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0.xml" ContentType="application/vnd.openxmlformats-officedocument.drawing+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style3.xml" ContentType="application/vnd.ms-office.chartstyle+xml"/>
  <Override PartName="/xl/worksheets/sheet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charts/chart1.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style2.xml" ContentType="application/vnd.ms-office.chartstyle+xml"/>
  <Override PartName="/xl/drawings/drawing4.xml" ContentType="application/vnd.openxmlformats-officedocument.drawing+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1.xml" ContentType="application/vnd.ms-excel.controlproperties+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updateLinks="never" codeName="ThisWorkbook"/>
  <mc:AlternateContent xmlns:mc="http://schemas.openxmlformats.org/markup-compatibility/2006">
    <mc:Choice Requires="x15">
      <x15ac:absPath xmlns:x15ac="http://schemas.microsoft.com/office/spreadsheetml/2010/11/ac" url="\\fsst01\個別アクセス制限フォルダ_地008_執行（温対課技術Ｌ）\16執行\⑤水素\1.ガイドライン\11_ホームページ公表\公表のための作業\HP\リンクを張る資料(水素LCA)\20170511広報室送付版\"/>
    </mc:Choice>
  </mc:AlternateContent>
  <workbookProtection workbookAlgorithmName="SHA-512" workbookHashValue="CHT5DRzuYtUoLR4CgMe4vjCfTIwLqp821YRem3vaSRkgnEIBOfTTvamqOqTBU3loFG7sYMw/1D08lulSgB2Y+g==" workbookSaltValue="o9aHj+FqB0kGQu5alPEiqg==" workbookSpinCount="100000" lockStructure="1"/>
  <bookViews>
    <workbookView xWindow="0" yWindow="0" windowWidth="17256" windowHeight="7224" tabRatio="696" activeTab="1"/>
  </bookViews>
  <sheets>
    <sheet name="【参考】目次" sheetId="73" r:id="rId1"/>
    <sheet name="事業情報 " sheetId="58" r:id="rId2"/>
    <sheet name="製造(P)" sheetId="67" r:id="rId3"/>
    <sheet name="貯蔵・輸送(ST)" sheetId="63" r:id="rId4"/>
    <sheet name="供給(D)" sheetId="68" r:id="rId5"/>
    <sheet name="小計（製造から供給）" sheetId="66" r:id="rId6"/>
    <sheet name="利用(U)" sheetId="45" r:id="rId7"/>
    <sheet name="利用集計" sheetId="47" r:id="rId8"/>
    <sheet name="確認項目" sheetId="72" r:id="rId9"/>
    <sheet name="資本財" sheetId="8" r:id="rId10"/>
    <sheet name="補助ﾘｽﾄ" sheetId="69" r:id="rId11"/>
    <sheet name="カットオフ候補の抽出" sheetId="74" state="hidden" r:id="rId12"/>
    <sheet name="その他原単位" sheetId="75" r:id="rId13"/>
    <sheet name="IDEAGLIO補助ﾘｽﾄ" sheetId="61" state="hidden" r:id="rId14"/>
    <sheet name="製品単位換算2" sheetId="52" state="hidden" r:id="rId15"/>
    <sheet name="共通データ" sheetId="7" r:id="rId16"/>
    <sheet name="IDEAv2" sheetId="70" r:id="rId17"/>
    <sheet name="IDEAv2原単位" sheetId="51" state="hidden" r:id="rId18"/>
    <sheet name="Color" sheetId="1" state="hidden" r:id="rId19"/>
    <sheet name="GLIO" sheetId="54" r:id="rId20"/>
    <sheet name="GWP" sheetId="53" r:id="rId21"/>
    <sheet name="輸送算定用" sheetId="64" state="hidden" r:id="rId22"/>
  </sheets>
  <externalReferences>
    <externalReference r:id="rId23"/>
    <externalReference r:id="rId24"/>
  </externalReferences>
  <definedNames>
    <definedName name="_xlnm._FilterDatabase" localSheetId="19" hidden="1">GLIO!$A$4:$E$4</definedName>
    <definedName name="_xlnm._FilterDatabase" localSheetId="16" hidden="1">IDEAv2!$A$2:$F$2</definedName>
    <definedName name="_xlnm._FilterDatabase" localSheetId="17" hidden="1">IDEAv2原単位!$A$2:$F$4021</definedName>
    <definedName name="_xlnm._FilterDatabase" localSheetId="4" hidden="1">'供給(D)'!$Q$183</definedName>
    <definedName name="_xlnm._FilterDatabase" localSheetId="9" hidden="1">資本財!$B$4:$C$30</definedName>
    <definedName name="_xlnm._FilterDatabase" localSheetId="2" hidden="1">'製造(P)'!$Q$183</definedName>
    <definedName name="_xlnm._FilterDatabase" localSheetId="14" hidden="1">製品単位換算2!$A$1:$O$2505</definedName>
    <definedName name="_xlnm._FilterDatabase" localSheetId="3" hidden="1">'貯蔵・輸送(ST)'!$Q$183</definedName>
    <definedName name="_xlnm.Print_Area" localSheetId="0">【参考】目次!$B$1:$U$36</definedName>
    <definedName name="_xlnm.Print_Area" localSheetId="8">確認項目!$B$1:$E$27</definedName>
    <definedName name="_xlnm.Print_Area" localSheetId="4">'供給(D)'!$B$1:$AE$221</definedName>
    <definedName name="_xlnm.Print_Area" localSheetId="15">共通データ!$A$1:$P$40</definedName>
    <definedName name="_xlnm.Print_Area" localSheetId="9">資本財!$B$1:$O$30</definedName>
    <definedName name="_xlnm.Print_Area" localSheetId="1">'事業情報 '!$B$3:$V$62</definedName>
    <definedName name="_xlnm.Print_Area" localSheetId="5">'小計（製造から供給）'!$B$1:$G$42</definedName>
    <definedName name="_xlnm.Print_Area" localSheetId="2">'製造(P)'!$B$1:$AE$221</definedName>
    <definedName name="_xlnm.Print_Area" localSheetId="3">'貯蔵・輸送(ST)'!$B$1:$AE$221</definedName>
    <definedName name="_xlnm.Print_Area" localSheetId="10">補助ﾘｽﾄ!$A$1:$D$52</definedName>
    <definedName name="_xlnm.Print_Area" localSheetId="6">'利用(U)'!$B$1:$P$65</definedName>
    <definedName name="_xlnm.Print_Area" localSheetId="7">利用集計!$B$1:$J$47</definedName>
    <definedName name="一般バス">'利用(U)'!$S$54:$Y$54</definedName>
    <definedName name="使用タイプ">'利用(U)'!$R$53:$R$54</definedName>
    <definedName name="利用集計グラフデータ" localSheetId="8">OFFSET([1]利用集計!$R$6,0,0,COUNT([1]利用集計!$R$6:$R$10),1)</definedName>
    <definedName name="利用集計グラフデータ">OFFSET(利用集計!$R$6,0,0,COUNT(利用集計!$R$6:$R$10),1)</definedName>
    <definedName name="利用集計グラフ軸" localSheetId="8">OFFSET([1]利用集計!$Q$6,0,0,COUNTA([1]利用集計!$Q$6:$Q$10),1)</definedName>
    <definedName name="利用集計グラフ軸">OFFSET(利用集計!$Q$6,0,0,COUNTA(利用集計!$Q$6:$Q$10),1)</definedName>
    <definedName name="利用集計グラフ軸比較対象" localSheetId="8">OFFSET([1]利用集計!$S$6,0,0,COUNTA([1]利用集計!$Q$6:$Q$10),1)</definedName>
    <definedName name="利用集計グラフ軸比較対象">OFFSET(利用集計!$S$6,0,0,COUNTA(利用集計!$Q$6:$Q$10),1)</definedName>
    <definedName name="利用集計グラフ比較対象データ" localSheetId="8">OFFSET([1]利用集計!$T$6,0,0,COUNT([1]利用集計!$R$6:$R$10),1)</definedName>
    <definedName name="利用集計グラフ比較対象データ">OFFSET(利用集計!$T$6,0,0,COUNT(利用集計!$R$6:$R$10),1)</definedName>
    <definedName name="路線バス">'利用(U)'!$S$53:$W$53</definedName>
  </definedNames>
  <calcPr calcId="162913" calcOnSave="0"/>
</workbook>
</file>

<file path=xl/calcChain.xml><?xml version="1.0" encoding="utf-8"?>
<calcChain xmlns="http://schemas.openxmlformats.org/spreadsheetml/2006/main">
  <c r="M38" i="45" l="1"/>
  <c r="O38" i="45" s="1"/>
  <c r="O48" i="45" l="1"/>
  <c r="F63" i="45"/>
  <c r="F115" i="74" l="1"/>
  <c r="F131" i="74"/>
  <c r="E100" i="74"/>
  <c r="E53" i="74"/>
  <c r="F53" i="74" s="1"/>
  <c r="E50" i="74"/>
  <c r="F50" i="74" s="1"/>
  <c r="E49" i="74"/>
  <c r="F49" i="74" s="1"/>
  <c r="E48" i="74"/>
  <c r="F48" i="74" s="1"/>
  <c r="E47" i="74"/>
  <c r="F47" i="74" s="1"/>
  <c r="E46" i="74"/>
  <c r="F46" i="74" s="1"/>
  <c r="E45" i="74"/>
  <c r="F45" i="74" s="1"/>
  <c r="E44" i="74"/>
  <c r="F44" i="74" s="1"/>
  <c r="E43" i="74"/>
  <c r="F43" i="74" s="1"/>
  <c r="E42" i="74"/>
  <c r="F42" i="74" s="1"/>
  <c r="E41" i="74"/>
  <c r="F41" i="74" s="1"/>
  <c r="E40" i="74"/>
  <c r="F40" i="74" s="1"/>
  <c r="E39" i="74"/>
  <c r="F39" i="74" s="1"/>
  <c r="E38" i="74"/>
  <c r="F38" i="74" s="1"/>
  <c r="E37" i="74"/>
  <c r="F37" i="74" s="1"/>
  <c r="E36" i="74"/>
  <c r="F36" i="74" s="1"/>
  <c r="E35" i="74"/>
  <c r="F35" i="74" s="1"/>
  <c r="E34" i="74"/>
  <c r="F34" i="74" s="1"/>
  <c r="E33" i="74"/>
  <c r="F33" i="74" s="1"/>
  <c r="E32" i="74"/>
  <c r="F32" i="74" s="1"/>
  <c r="E31" i="74"/>
  <c r="F31" i="74" s="1"/>
  <c r="E30" i="74"/>
  <c r="F30" i="74" s="1"/>
  <c r="E29" i="74"/>
  <c r="F29" i="74" s="1"/>
  <c r="E28" i="74"/>
  <c r="F28" i="74" s="1"/>
  <c r="E27" i="74"/>
  <c r="F27" i="74" s="1"/>
  <c r="E26" i="74"/>
  <c r="F26" i="74" s="1"/>
  <c r="E25" i="74"/>
  <c r="F25" i="74" s="1"/>
  <c r="E24" i="74"/>
  <c r="F24" i="74" s="1"/>
  <c r="E23" i="74"/>
  <c r="F23" i="74" s="1"/>
  <c r="E22" i="74"/>
  <c r="F22" i="74" s="1"/>
  <c r="E21" i="74"/>
  <c r="F21" i="74" s="1"/>
  <c r="E20" i="74"/>
  <c r="F20" i="74" s="1"/>
  <c r="E19" i="74"/>
  <c r="F19" i="74" s="1"/>
  <c r="E18" i="74"/>
  <c r="F18" i="74" s="1"/>
  <c r="E17" i="74"/>
  <c r="F17" i="74" s="1"/>
  <c r="E16" i="74"/>
  <c r="F16" i="74" s="1"/>
  <c r="E15" i="74"/>
  <c r="F15" i="74" s="1"/>
  <c r="E14" i="74"/>
  <c r="F14" i="74" s="1"/>
  <c r="E13" i="74"/>
  <c r="F13" i="74" s="1"/>
  <c r="E12" i="74"/>
  <c r="F12" i="74" s="1"/>
  <c r="E11" i="74"/>
  <c r="F11" i="74" s="1"/>
  <c r="E10" i="74"/>
  <c r="F10" i="74" s="1"/>
  <c r="E9" i="74"/>
  <c r="F9" i="74" s="1"/>
  <c r="E8" i="74"/>
  <c r="F8" i="74" s="1"/>
  <c r="E7" i="74"/>
  <c r="F7" i="74" s="1"/>
  <c r="E6" i="74"/>
  <c r="F6" i="74" s="1"/>
  <c r="E5" i="74"/>
  <c r="F5" i="74" s="1"/>
  <c r="E4" i="74"/>
  <c r="F4" i="74" s="1"/>
  <c r="E3" i="74"/>
  <c r="F3" i="74" s="1"/>
  <c r="E2" i="74"/>
  <c r="F2" i="74" s="1"/>
  <c r="E148" i="74"/>
  <c r="F148" i="74" s="1"/>
  <c r="E147" i="74"/>
  <c r="F147" i="74" s="1"/>
  <c r="E146" i="74"/>
  <c r="F146" i="74" s="1"/>
  <c r="E145" i="74"/>
  <c r="F145" i="74" s="1"/>
  <c r="E144" i="74"/>
  <c r="F144" i="74" s="1"/>
  <c r="E143" i="74"/>
  <c r="F143" i="74" s="1"/>
  <c r="E142" i="74"/>
  <c r="F142" i="74" s="1"/>
  <c r="E141" i="74"/>
  <c r="F141" i="74" s="1"/>
  <c r="E140" i="74"/>
  <c r="F140" i="74" s="1"/>
  <c r="E139" i="74"/>
  <c r="F139" i="74" s="1"/>
  <c r="E138" i="74"/>
  <c r="F138" i="74" s="1"/>
  <c r="C138" i="74"/>
  <c r="E137" i="74"/>
  <c r="F137" i="74" s="1"/>
  <c r="C137" i="74"/>
  <c r="E136" i="74"/>
  <c r="F136" i="74" s="1"/>
  <c r="C136" i="74"/>
  <c r="E135" i="74"/>
  <c r="F135" i="74" s="1"/>
  <c r="C135" i="74"/>
  <c r="E134" i="74"/>
  <c r="F134" i="74" s="1"/>
  <c r="C134" i="74"/>
  <c r="E133" i="74"/>
  <c r="F133" i="74" s="1"/>
  <c r="C133" i="74"/>
  <c r="E132" i="74"/>
  <c r="F132" i="74" s="1"/>
  <c r="C132" i="74"/>
  <c r="E131" i="74"/>
  <c r="C131" i="74"/>
  <c r="E130" i="74"/>
  <c r="F130" i="74" s="1"/>
  <c r="C130" i="74"/>
  <c r="E129" i="74"/>
  <c r="F129" i="74" s="1"/>
  <c r="C129" i="74"/>
  <c r="E128" i="74"/>
  <c r="F128" i="74" s="1"/>
  <c r="C128" i="74"/>
  <c r="E127" i="74"/>
  <c r="F127" i="74" s="1"/>
  <c r="C127" i="74"/>
  <c r="E126" i="74"/>
  <c r="F126" i="74" s="1"/>
  <c r="C126" i="74"/>
  <c r="E125" i="74"/>
  <c r="F125" i="74" s="1"/>
  <c r="C125" i="74"/>
  <c r="E124" i="74"/>
  <c r="F124" i="74" s="1"/>
  <c r="C124" i="74"/>
  <c r="E123" i="74"/>
  <c r="F123" i="74" s="1"/>
  <c r="C123" i="74"/>
  <c r="E122" i="74"/>
  <c r="F122" i="74" s="1"/>
  <c r="C122" i="74"/>
  <c r="E121" i="74"/>
  <c r="F121" i="74" s="1"/>
  <c r="C121" i="74"/>
  <c r="E120" i="74"/>
  <c r="F120" i="74" s="1"/>
  <c r="C120" i="74"/>
  <c r="E119" i="74"/>
  <c r="F119" i="74" s="1"/>
  <c r="C119" i="74"/>
  <c r="E118" i="74"/>
  <c r="F118" i="74" s="1"/>
  <c r="C118" i="74"/>
  <c r="E117" i="74"/>
  <c r="F117" i="74" s="1"/>
  <c r="C117" i="74"/>
  <c r="E116" i="74"/>
  <c r="F116" i="74" s="1"/>
  <c r="C116" i="74"/>
  <c r="E115" i="74"/>
  <c r="C115" i="74"/>
  <c r="E114" i="74"/>
  <c r="F114" i="74" s="1"/>
  <c r="C114" i="74"/>
  <c r="E113" i="74"/>
  <c r="F113" i="74" s="1"/>
  <c r="C113" i="74"/>
  <c r="E112" i="74"/>
  <c r="F112" i="74" s="1"/>
  <c r="C112" i="74"/>
  <c r="E111" i="74"/>
  <c r="F111" i="74" s="1"/>
  <c r="C111" i="74"/>
  <c r="E110" i="74"/>
  <c r="F110" i="74" s="1"/>
  <c r="C110" i="74"/>
  <c r="E109" i="74"/>
  <c r="F109" i="74" s="1"/>
  <c r="C109" i="74"/>
  <c r="E108" i="74"/>
  <c r="F108" i="74" s="1"/>
  <c r="C108" i="74"/>
  <c r="E107" i="74"/>
  <c r="F107" i="74" s="1"/>
  <c r="C107" i="74"/>
  <c r="E106" i="74"/>
  <c r="F106" i="74" s="1"/>
  <c r="C106" i="74"/>
  <c r="E105" i="74"/>
  <c r="F105" i="74" s="1"/>
  <c r="C105" i="74"/>
  <c r="E104" i="74"/>
  <c r="F104" i="74" s="1"/>
  <c r="C104" i="74"/>
  <c r="E103" i="74"/>
  <c r="F103" i="74" s="1"/>
  <c r="C103" i="74"/>
  <c r="E102" i="74"/>
  <c r="F102" i="74" s="1"/>
  <c r="C102" i="74"/>
  <c r="E101" i="74"/>
  <c r="F101" i="74" s="1"/>
  <c r="C101" i="74"/>
  <c r="C100" i="74"/>
  <c r="E99" i="74"/>
  <c r="F99" i="74" s="1"/>
  <c r="E98" i="74"/>
  <c r="F98" i="74" s="1"/>
  <c r="E97" i="74"/>
  <c r="F97" i="74" s="1"/>
  <c r="E96" i="74"/>
  <c r="F96" i="74" s="1"/>
  <c r="E95" i="74"/>
  <c r="F95" i="74" s="1"/>
  <c r="E94" i="74"/>
  <c r="F94" i="74" s="1"/>
  <c r="E93" i="74"/>
  <c r="F93" i="74" s="1"/>
  <c r="E92" i="74"/>
  <c r="F92" i="74" s="1"/>
  <c r="E91" i="74"/>
  <c r="F91" i="74" s="1"/>
  <c r="E90" i="74"/>
  <c r="F90" i="74" s="1"/>
  <c r="E89" i="74"/>
  <c r="F89" i="74" s="1"/>
  <c r="C89" i="74"/>
  <c r="E88" i="74"/>
  <c r="F88" i="74" s="1"/>
  <c r="C88" i="74"/>
  <c r="E87" i="74"/>
  <c r="F87" i="74" s="1"/>
  <c r="C87" i="74"/>
  <c r="E86" i="74"/>
  <c r="F86" i="74" s="1"/>
  <c r="C86" i="74"/>
  <c r="E85" i="74"/>
  <c r="F85" i="74" s="1"/>
  <c r="C85" i="74"/>
  <c r="E84" i="74"/>
  <c r="F84" i="74" s="1"/>
  <c r="C84" i="74"/>
  <c r="E83" i="74"/>
  <c r="C83" i="74"/>
  <c r="E82" i="74"/>
  <c r="F82" i="74" s="1"/>
  <c r="C82" i="74"/>
  <c r="E81" i="74"/>
  <c r="F81" i="74" s="1"/>
  <c r="C81" i="74"/>
  <c r="E80" i="74"/>
  <c r="F80" i="74" s="1"/>
  <c r="C80" i="74"/>
  <c r="E79" i="74"/>
  <c r="F79" i="74" s="1"/>
  <c r="C79" i="74"/>
  <c r="E78" i="74"/>
  <c r="F78" i="74" s="1"/>
  <c r="C78" i="74"/>
  <c r="E77" i="74"/>
  <c r="F77" i="74" s="1"/>
  <c r="C77" i="74"/>
  <c r="E76" i="74"/>
  <c r="F76" i="74" s="1"/>
  <c r="C76" i="74"/>
  <c r="E75" i="74"/>
  <c r="F75" i="74" s="1"/>
  <c r="C75" i="74"/>
  <c r="E74" i="74"/>
  <c r="F74" i="74" s="1"/>
  <c r="C74" i="74"/>
  <c r="E73" i="74"/>
  <c r="F73" i="74" s="1"/>
  <c r="C73" i="74"/>
  <c r="E72" i="74"/>
  <c r="F72" i="74" s="1"/>
  <c r="C72" i="74"/>
  <c r="E71" i="74"/>
  <c r="F71" i="74" s="1"/>
  <c r="C71" i="74"/>
  <c r="E70" i="74"/>
  <c r="F70" i="74" s="1"/>
  <c r="C70" i="74"/>
  <c r="E69" i="74"/>
  <c r="F69" i="74" s="1"/>
  <c r="C69" i="74"/>
  <c r="E68" i="74"/>
  <c r="F68" i="74" s="1"/>
  <c r="C68" i="74"/>
  <c r="E67" i="74"/>
  <c r="F67" i="74" s="1"/>
  <c r="C67" i="74"/>
  <c r="E66" i="74"/>
  <c r="F66" i="74" s="1"/>
  <c r="C66" i="74"/>
  <c r="E65" i="74"/>
  <c r="F65" i="74" s="1"/>
  <c r="C65" i="74"/>
  <c r="E64" i="74"/>
  <c r="F64" i="74" s="1"/>
  <c r="C64" i="74"/>
  <c r="E63" i="74"/>
  <c r="F63" i="74" s="1"/>
  <c r="C63" i="74"/>
  <c r="E62" i="74"/>
  <c r="F62" i="74" s="1"/>
  <c r="C62" i="74"/>
  <c r="E61" i="74"/>
  <c r="F61" i="74" s="1"/>
  <c r="C61" i="74"/>
  <c r="E60" i="74"/>
  <c r="F60" i="74" s="1"/>
  <c r="C60" i="74"/>
  <c r="E59" i="74"/>
  <c r="F59" i="74" s="1"/>
  <c r="C59" i="74"/>
  <c r="E58" i="74"/>
  <c r="F58" i="74" s="1"/>
  <c r="C58" i="74"/>
  <c r="E57" i="74"/>
  <c r="F57" i="74" s="1"/>
  <c r="C57" i="74"/>
  <c r="E56" i="74"/>
  <c r="F56" i="74" s="1"/>
  <c r="C56" i="74"/>
  <c r="E55" i="74"/>
  <c r="F55" i="74" s="1"/>
  <c r="C55" i="74"/>
  <c r="E54" i="74"/>
  <c r="F54" i="74" s="1"/>
  <c r="C54" i="74"/>
  <c r="C53" i="74"/>
  <c r="E52" i="74"/>
  <c r="F52" i="74" s="1"/>
  <c r="C52" i="74"/>
  <c r="E51" i="74"/>
  <c r="F51" i="74" s="1"/>
  <c r="C51" i="74"/>
  <c r="F83" i="74" l="1"/>
  <c r="F100" i="74"/>
  <c r="B5" i="8"/>
  <c r="B21" i="72" l="1"/>
  <c r="C26" i="72"/>
  <c r="B23" i="72"/>
  <c r="B24" i="72"/>
  <c r="B25" i="72"/>
  <c r="C23" i="72"/>
  <c r="B26" i="72"/>
  <c r="C24" i="72"/>
  <c r="B22" i="72"/>
  <c r="C25" i="72"/>
  <c r="D28" i="69"/>
  <c r="D29" i="69"/>
  <c r="D30" i="69"/>
  <c r="D31" i="69"/>
  <c r="D32" i="69"/>
  <c r="D33" i="69"/>
  <c r="D34" i="69"/>
  <c r="D35" i="69"/>
  <c r="D36" i="69"/>
  <c r="D37" i="69"/>
  <c r="D38" i="69"/>
  <c r="D39" i="69"/>
  <c r="D40" i="69"/>
  <c r="D41" i="69"/>
  <c r="D42" i="69"/>
  <c r="D43" i="69"/>
  <c r="D44" i="69"/>
  <c r="D45" i="69"/>
  <c r="D46" i="69"/>
  <c r="D47" i="69"/>
  <c r="D48" i="69"/>
  <c r="D49" i="69"/>
  <c r="D50" i="69"/>
  <c r="D51" i="69"/>
  <c r="D52" i="69"/>
  <c r="D27" i="69"/>
  <c r="C2" i="74" l="1"/>
  <c r="C39" i="74"/>
  <c r="C40" i="74"/>
  <c r="C38" i="74"/>
  <c r="C37" i="74"/>
  <c r="C32" i="74"/>
  <c r="C33" i="74"/>
  <c r="C30" i="74"/>
  <c r="C31" i="74"/>
  <c r="C29" i="74"/>
  <c r="C22" i="72" s="1"/>
  <c r="C36" i="74"/>
  <c r="C35" i="74"/>
  <c r="C34" i="74"/>
  <c r="C27" i="74"/>
  <c r="C28" i="74"/>
  <c r="C26" i="74"/>
  <c r="C24" i="74"/>
  <c r="C25" i="74"/>
  <c r="C23" i="74"/>
  <c r="C13" i="74"/>
  <c r="C14" i="74"/>
  <c r="C15" i="74"/>
  <c r="C16" i="74"/>
  <c r="C17" i="74"/>
  <c r="C18" i="74"/>
  <c r="C19" i="74"/>
  <c r="C20" i="74"/>
  <c r="C21" i="74"/>
  <c r="C22" i="74"/>
  <c r="C12" i="74"/>
  <c r="C3" i="74"/>
  <c r="C4" i="74"/>
  <c r="C5" i="74"/>
  <c r="C6" i="74"/>
  <c r="C21" i="72" s="1"/>
  <c r="C7" i="74"/>
  <c r="C8" i="74"/>
  <c r="C9" i="74"/>
  <c r="C10" i="74"/>
  <c r="C11" i="74"/>
  <c r="Q139" i="67" l="1"/>
  <c r="Q24" i="68"/>
  <c r="Q25" i="68"/>
  <c r="Q26" i="68"/>
  <c r="Q27" i="68"/>
  <c r="Q28" i="68"/>
  <c r="Q29" i="68"/>
  <c r="Q30" i="68"/>
  <c r="E24" i="68"/>
  <c r="O24" i="68" s="1"/>
  <c r="K24" i="68"/>
  <c r="E25" i="68"/>
  <c r="O25" i="68" s="1"/>
  <c r="K25" i="68"/>
  <c r="E26" i="68"/>
  <c r="O26" i="68" s="1"/>
  <c r="K26" i="68"/>
  <c r="E27" i="68"/>
  <c r="O27" i="68" s="1"/>
  <c r="K27" i="68"/>
  <c r="E28" i="68"/>
  <c r="O28" i="68" s="1"/>
  <c r="K28" i="68"/>
  <c r="E29" i="68"/>
  <c r="O29" i="68" s="1"/>
  <c r="K29" i="68"/>
  <c r="E30" i="68"/>
  <c r="O30" i="68" s="1"/>
  <c r="K30" i="68"/>
  <c r="Q24" i="67"/>
  <c r="Q25" i="67"/>
  <c r="Q26" i="67"/>
  <c r="Q27" i="67"/>
  <c r="Q28" i="67"/>
  <c r="Q29" i="67"/>
  <c r="Q30" i="67"/>
  <c r="Q24" i="63"/>
  <c r="Q25" i="63"/>
  <c r="Q26" i="63"/>
  <c r="Q27" i="63"/>
  <c r="Q28" i="63"/>
  <c r="Q29" i="63"/>
  <c r="Q30" i="63"/>
  <c r="E24" i="63"/>
  <c r="O24" i="63" s="1"/>
  <c r="K24" i="63"/>
  <c r="E25" i="63"/>
  <c r="O25" i="63" s="1"/>
  <c r="K25" i="63"/>
  <c r="E26" i="63"/>
  <c r="O26" i="63" s="1"/>
  <c r="K26" i="63"/>
  <c r="E27" i="63"/>
  <c r="O27" i="63" s="1"/>
  <c r="K27" i="63"/>
  <c r="E28" i="63"/>
  <c r="O28" i="63" s="1"/>
  <c r="K28" i="63"/>
  <c r="E29" i="63"/>
  <c r="O29" i="63" s="1"/>
  <c r="K29" i="63"/>
  <c r="E30" i="63"/>
  <c r="O30" i="63" s="1"/>
  <c r="K30" i="63"/>
  <c r="E24" i="67"/>
  <c r="O24" i="67" s="1"/>
  <c r="K24" i="67"/>
  <c r="E25" i="67"/>
  <c r="O25" i="67" s="1"/>
  <c r="K25" i="67"/>
  <c r="E26" i="67"/>
  <c r="O26" i="67" s="1"/>
  <c r="K26" i="67"/>
  <c r="E27" i="67"/>
  <c r="O27" i="67" s="1"/>
  <c r="K27" i="67"/>
  <c r="E28" i="67"/>
  <c r="O28" i="67" s="1"/>
  <c r="K28" i="67"/>
  <c r="E29" i="67"/>
  <c r="O29" i="67" s="1"/>
  <c r="K29" i="67"/>
  <c r="E30" i="67"/>
  <c r="O30" i="67" s="1"/>
  <c r="K30" i="67"/>
  <c r="E23" i="63" l="1"/>
  <c r="O23" i="63" s="1"/>
  <c r="K23" i="63"/>
  <c r="Q23" i="63"/>
  <c r="E31" i="63"/>
  <c r="O31" i="63" s="1"/>
  <c r="K31" i="63"/>
  <c r="Q31" i="63"/>
  <c r="E32" i="63"/>
  <c r="O32" i="63" s="1"/>
  <c r="K32" i="63"/>
  <c r="Q32" i="63"/>
  <c r="K39" i="63"/>
  <c r="N39" i="63"/>
  <c r="K40" i="63"/>
  <c r="M40" i="63"/>
  <c r="N40" i="63"/>
  <c r="O40" i="63"/>
  <c r="K41" i="63"/>
  <c r="M41" i="63"/>
  <c r="N41" i="63"/>
  <c r="O41" i="63"/>
  <c r="K42" i="63"/>
  <c r="M42" i="63"/>
  <c r="N42" i="63"/>
  <c r="O42" i="63"/>
  <c r="K43" i="63"/>
  <c r="M43" i="63"/>
  <c r="N43" i="63"/>
  <c r="O43" i="63"/>
  <c r="K44" i="63"/>
  <c r="M44" i="63"/>
  <c r="N44" i="63"/>
  <c r="O44" i="63"/>
  <c r="K45" i="63"/>
  <c r="M45" i="63"/>
  <c r="N45" i="63"/>
  <c r="O45" i="63"/>
  <c r="K46" i="63"/>
  <c r="M46" i="63"/>
  <c r="N46" i="63"/>
  <c r="O46" i="63"/>
  <c r="K47" i="63"/>
  <c r="M47" i="63"/>
  <c r="N47" i="63"/>
  <c r="O47" i="63"/>
  <c r="K48" i="63"/>
  <c r="M48" i="63"/>
  <c r="N48" i="63"/>
  <c r="O48" i="63"/>
  <c r="K49" i="63"/>
  <c r="M49" i="63"/>
  <c r="N49" i="63"/>
  <c r="E50" i="63"/>
  <c r="O50" i="63" s="1"/>
  <c r="K50" i="63"/>
  <c r="E51" i="63"/>
  <c r="O51" i="63" s="1"/>
  <c r="K51" i="63"/>
  <c r="E52" i="63"/>
  <c r="O52" i="63" s="1"/>
  <c r="K52" i="63"/>
  <c r="AT157" i="68" l="1"/>
  <c r="AT163" i="68" s="1"/>
  <c r="AY156" i="68"/>
  <c r="AY162" i="68" s="1"/>
  <c r="AX156" i="68"/>
  <c r="AX162" i="68" s="1"/>
  <c r="AW156" i="68"/>
  <c r="AW162" i="68" s="1"/>
  <c r="AV156" i="68"/>
  <c r="AV162" i="68" s="1"/>
  <c r="AU156" i="68"/>
  <c r="AU162" i="68" s="1"/>
  <c r="AT157" i="63"/>
  <c r="AT163" i="63" s="1"/>
  <c r="AY156" i="63"/>
  <c r="AY162" i="63" s="1"/>
  <c r="AX156" i="63"/>
  <c r="AX162" i="63" s="1"/>
  <c r="AW156" i="63"/>
  <c r="AW162" i="63" s="1"/>
  <c r="AV156" i="63"/>
  <c r="AV162" i="63" s="1"/>
  <c r="AU156" i="63"/>
  <c r="AU162" i="63" s="1"/>
  <c r="AU156" i="67"/>
  <c r="AU162" i="67" s="1"/>
  <c r="AT157" i="67"/>
  <c r="AT163" i="67" s="1"/>
  <c r="AY156" i="67"/>
  <c r="AY162" i="67" s="1"/>
  <c r="AX156" i="67"/>
  <c r="AX162" i="67" s="1"/>
  <c r="AW156" i="67"/>
  <c r="AW162" i="67" s="1"/>
  <c r="AV156" i="67"/>
  <c r="AV162" i="67" s="1"/>
  <c r="G14" i="58" l="1"/>
  <c r="G24" i="58"/>
  <c r="G25" i="58" s="1"/>
  <c r="D9" i="67" l="1"/>
  <c r="B8" i="67" l="1"/>
  <c r="B8" i="68"/>
  <c r="B8" i="63"/>
  <c r="C6" i="63"/>
  <c r="D10" i="67"/>
  <c r="B30" i="8" l="1"/>
  <c r="N106" i="67" l="1"/>
  <c r="N105" i="67"/>
  <c r="N104" i="67"/>
  <c r="S104" i="67" s="1"/>
  <c r="E62" i="45" l="1"/>
  <c r="G59" i="45"/>
  <c r="G62" i="45" s="1"/>
  <c r="F59" i="45"/>
  <c r="M94" i="67" l="1"/>
  <c r="N94" i="67"/>
  <c r="B13" i="8"/>
  <c r="B14" i="8"/>
  <c r="B15" i="8"/>
  <c r="B16" i="8"/>
  <c r="B17" i="8"/>
  <c r="B18" i="8"/>
  <c r="B19" i="8"/>
  <c r="B20" i="8"/>
  <c r="B21" i="8"/>
  <c r="B22" i="8"/>
  <c r="B23" i="8"/>
  <c r="B24" i="8"/>
  <c r="B25" i="8"/>
  <c r="B26" i="8"/>
  <c r="B27" i="8"/>
  <c r="B28" i="8"/>
  <c r="B29" i="8"/>
  <c r="Q83" i="67"/>
  <c r="U83" i="67" s="1"/>
  <c r="AA83" i="67" s="1"/>
  <c r="Q79" i="67"/>
  <c r="W77" i="67"/>
  <c r="V77" i="67"/>
  <c r="U77" i="67"/>
  <c r="T77" i="67"/>
  <c r="S77" i="67"/>
  <c r="X77" i="67" l="1"/>
  <c r="AD77" i="67" s="1"/>
  <c r="D34" i="74" s="1"/>
  <c r="V83" i="67"/>
  <c r="AB83" i="67" s="1"/>
  <c r="S83" i="67"/>
  <c r="Y83" i="67" s="1"/>
  <c r="W83" i="67"/>
  <c r="AC83" i="67" s="1"/>
  <c r="T83" i="67"/>
  <c r="Z83" i="67" s="1"/>
  <c r="G63" i="45"/>
  <c r="F62" i="45"/>
  <c r="D62" i="45"/>
  <c r="F127" i="68"/>
  <c r="G127" i="68"/>
  <c r="F64" i="45" l="1"/>
  <c r="X83" i="67"/>
  <c r="AD83" i="67" s="1"/>
  <c r="D36" i="74" s="1"/>
  <c r="C6" i="68"/>
  <c r="G194" i="68"/>
  <c r="G194" i="63"/>
  <c r="G194" i="67"/>
  <c r="W77" i="68" l="1"/>
  <c r="AC77" i="68" s="1"/>
  <c r="V77" i="68"/>
  <c r="AB77" i="68" s="1"/>
  <c r="U77" i="68"/>
  <c r="AA77" i="68" s="1"/>
  <c r="T77" i="68"/>
  <c r="Z77" i="68" s="1"/>
  <c r="S77" i="68"/>
  <c r="Y77" i="68" s="1"/>
  <c r="S77" i="63"/>
  <c r="W77" i="63"/>
  <c r="V77" i="63"/>
  <c r="U77" i="63"/>
  <c r="T77" i="63"/>
  <c r="X77" i="68" l="1"/>
  <c r="AD77" i="68" s="1"/>
  <c r="D132" i="74" s="1"/>
  <c r="N58" i="68"/>
  <c r="O37" i="7"/>
  <c r="M37" i="7"/>
  <c r="O36" i="7"/>
  <c r="M36" i="7"/>
  <c r="N58" i="67" s="1"/>
  <c r="O35" i="7"/>
  <c r="M35" i="7"/>
  <c r="N59" i="63" s="1"/>
  <c r="O34" i="7"/>
  <c r="M34" i="7"/>
  <c r="N59" i="67" s="1"/>
  <c r="O33" i="7"/>
  <c r="M33" i="7"/>
  <c r="N58" i="63" s="1"/>
  <c r="O32" i="7"/>
  <c r="M32" i="7"/>
  <c r="N57" i="68" s="1"/>
  <c r="N49" i="68"/>
  <c r="N48" i="68"/>
  <c r="N47" i="68"/>
  <c r="N46" i="68"/>
  <c r="N45" i="68"/>
  <c r="N44" i="68"/>
  <c r="N43" i="68"/>
  <c r="N42" i="68"/>
  <c r="N41" i="68"/>
  <c r="N40" i="68"/>
  <c r="N39" i="68"/>
  <c r="N48" i="67"/>
  <c r="N47" i="67"/>
  <c r="N46" i="67"/>
  <c r="N45" i="67"/>
  <c r="N44" i="67"/>
  <c r="N43" i="67"/>
  <c r="M16" i="7"/>
  <c r="L16" i="7" s="1"/>
  <c r="N42" i="67"/>
  <c r="N41" i="67"/>
  <c r="N40" i="67"/>
  <c r="K4" i="7"/>
  <c r="N59" i="68" l="1"/>
  <c r="N57" i="67"/>
  <c r="N57" i="63"/>
  <c r="K3" i="7"/>
  <c r="M27" i="7"/>
  <c r="L27" i="7" s="1"/>
  <c r="C26" i="7"/>
  <c r="M25" i="7"/>
  <c r="L25" i="7" s="1"/>
  <c r="M22" i="7"/>
  <c r="L22" i="7" s="1"/>
  <c r="C22" i="7"/>
  <c r="M21" i="7"/>
  <c r="L21" i="7" s="1"/>
  <c r="C21" i="7"/>
  <c r="M20" i="7"/>
  <c r="L20" i="7" s="1"/>
  <c r="C20" i="7"/>
  <c r="M19" i="7"/>
  <c r="L19" i="7" s="1"/>
  <c r="M18" i="7"/>
  <c r="L18" i="7" s="1"/>
  <c r="M15" i="7"/>
  <c r="L15" i="7" s="1"/>
  <c r="M14" i="7"/>
  <c r="L14" i="7" s="1"/>
  <c r="M13" i="7"/>
  <c r="L13" i="7" s="1"/>
  <c r="M10" i="7"/>
  <c r="L10" i="7" s="1"/>
  <c r="M9" i="7"/>
  <c r="L9" i="7" s="1"/>
  <c r="C8" i="7"/>
  <c r="M7" i="7"/>
  <c r="L7" i="7" s="1"/>
  <c r="M6" i="7"/>
  <c r="L6" i="7" s="1"/>
  <c r="M5" i="7"/>
  <c r="M4" i="7"/>
  <c r="L4" i="7" s="1"/>
  <c r="M3" i="7"/>
  <c r="M11" i="7"/>
  <c r="L11" i="7" s="1"/>
  <c r="L3" i="7" l="1"/>
  <c r="S139" i="67"/>
  <c r="O45" i="45" l="1"/>
  <c r="O25" i="45"/>
  <c r="F25" i="45"/>
  <c r="P3" i="8" l="1"/>
  <c r="K106" i="67" l="1"/>
  <c r="E106" i="67"/>
  <c r="K105" i="67"/>
  <c r="E105" i="67"/>
  <c r="O105" i="67" s="1"/>
  <c r="K104" i="67"/>
  <c r="E104" i="67"/>
  <c r="K106" i="63"/>
  <c r="E106" i="63"/>
  <c r="K105" i="63"/>
  <c r="E105" i="63"/>
  <c r="K104" i="63"/>
  <c r="E104" i="63"/>
  <c r="F26" i="66"/>
  <c r="F4" i="66"/>
  <c r="D6" i="47" l="1"/>
  <c r="C6" i="47"/>
  <c r="B16" i="47"/>
  <c r="B10" i="47"/>
  <c r="B4" i="47"/>
  <c r="B127" i="68"/>
  <c r="N127" i="68" s="1"/>
  <c r="M42" i="45" l="1"/>
  <c r="M44" i="45"/>
  <c r="O47" i="45" l="1"/>
  <c r="M43" i="45"/>
  <c r="O44" i="45" s="1"/>
  <c r="M15" i="45"/>
  <c r="O15" i="45" s="1"/>
  <c r="D45" i="45"/>
  <c r="F46" i="45"/>
  <c r="G45" i="45"/>
  <c r="D33" i="45" l="1"/>
  <c r="G24" i="45"/>
  <c r="D18" i="47" l="1"/>
  <c r="D12" i="47"/>
  <c r="I6" i="47"/>
  <c r="H6" i="47"/>
  <c r="I12" i="47"/>
  <c r="H12" i="47"/>
  <c r="E14" i="47" l="1"/>
  <c r="E20" i="47"/>
  <c r="E8" i="47"/>
  <c r="Q179" i="68" l="1"/>
  <c r="Q179" i="63"/>
  <c r="Q179" i="67"/>
  <c r="I187" i="68" l="1"/>
  <c r="I202" i="68" s="1"/>
  <c r="J187" i="68"/>
  <c r="J202" i="68" s="1"/>
  <c r="G187" i="68"/>
  <c r="G202" i="68" s="1"/>
  <c r="F187" i="68"/>
  <c r="F202" i="68" s="1"/>
  <c r="H187" i="68"/>
  <c r="H202" i="68" s="1"/>
  <c r="G187" i="63"/>
  <c r="G202" i="63" s="1"/>
  <c r="H187" i="63"/>
  <c r="H202" i="63" s="1"/>
  <c r="I187" i="63"/>
  <c r="I202" i="63" s="1"/>
  <c r="J187" i="63"/>
  <c r="J202" i="63" s="1"/>
  <c r="F187" i="63"/>
  <c r="F202" i="63" s="1"/>
  <c r="O28" i="45"/>
  <c r="L6" i="47"/>
  <c r="D23" i="69" l="1"/>
  <c r="E23" i="69"/>
  <c r="D24" i="69"/>
  <c r="E24" i="69"/>
  <c r="D25" i="69"/>
  <c r="E25" i="69"/>
  <c r="D26" i="69"/>
  <c r="E26" i="69"/>
  <c r="D4" i="69"/>
  <c r="E4" i="69"/>
  <c r="D5" i="69"/>
  <c r="E5" i="69"/>
  <c r="D6" i="69"/>
  <c r="E6" i="69"/>
  <c r="D7" i="69"/>
  <c r="E7" i="69"/>
  <c r="D8" i="69"/>
  <c r="E8" i="69"/>
  <c r="D9" i="69"/>
  <c r="E9" i="69"/>
  <c r="D10" i="69"/>
  <c r="E10" i="69"/>
  <c r="E27" i="69"/>
  <c r="A35" i="61"/>
  <c r="B35" i="61"/>
  <c r="C35" i="61"/>
  <c r="A36" i="61"/>
  <c r="B36" i="61"/>
  <c r="C36" i="61"/>
  <c r="A37" i="61"/>
  <c r="B37" i="61"/>
  <c r="C37" i="61"/>
  <c r="A38" i="61"/>
  <c r="B38" i="61"/>
  <c r="C38" i="61"/>
  <c r="A39" i="61"/>
  <c r="B39" i="61"/>
  <c r="C39" i="61"/>
  <c r="A40" i="61"/>
  <c r="B40" i="61"/>
  <c r="C40" i="61"/>
  <c r="A41" i="61"/>
  <c r="B41" i="61"/>
  <c r="C41" i="61"/>
  <c r="A42" i="61"/>
  <c r="B42" i="61"/>
  <c r="C42" i="61"/>
  <c r="A43" i="61"/>
  <c r="B43" i="61"/>
  <c r="C43" i="61"/>
  <c r="A44" i="61"/>
  <c r="B44" i="61"/>
  <c r="C44" i="61"/>
  <c r="A45" i="61"/>
  <c r="B45" i="61"/>
  <c r="C45" i="61"/>
  <c r="A46" i="61"/>
  <c r="B46" i="61"/>
  <c r="C46" i="61"/>
  <c r="A47" i="61"/>
  <c r="B47" i="61"/>
  <c r="C47" i="61"/>
  <c r="D47" i="61"/>
  <c r="A48" i="61"/>
  <c r="B48" i="61"/>
  <c r="C48" i="61"/>
  <c r="A49" i="61"/>
  <c r="B49" i="61"/>
  <c r="C49" i="61"/>
  <c r="A50" i="61"/>
  <c r="B50" i="61"/>
  <c r="C50" i="61"/>
  <c r="A3" i="61"/>
  <c r="B3" i="61"/>
  <c r="C3" i="61"/>
  <c r="A4" i="61"/>
  <c r="B4" i="61"/>
  <c r="C4" i="61"/>
  <c r="A5" i="61"/>
  <c r="B5" i="61"/>
  <c r="C5" i="61"/>
  <c r="A6" i="61"/>
  <c r="B6" i="61"/>
  <c r="C6" i="61"/>
  <c r="A7" i="61"/>
  <c r="B7" i="61"/>
  <c r="C7" i="61"/>
  <c r="A8" i="61"/>
  <c r="B8" i="61"/>
  <c r="C8" i="61"/>
  <c r="A9" i="61"/>
  <c r="B9" i="61"/>
  <c r="C9" i="61"/>
  <c r="A10" i="61"/>
  <c r="B10" i="61"/>
  <c r="C10" i="61"/>
  <c r="A11" i="61"/>
  <c r="B11" i="61"/>
  <c r="C11" i="61"/>
  <c r="A12" i="61"/>
  <c r="B12" i="61"/>
  <c r="C12" i="61"/>
  <c r="A13" i="61"/>
  <c r="B13" i="61"/>
  <c r="C13" i="61"/>
  <c r="A14" i="61"/>
  <c r="B14" i="61"/>
  <c r="C14" i="61"/>
  <c r="A15" i="61"/>
  <c r="B15" i="61"/>
  <c r="C15" i="61"/>
  <c r="A16" i="61"/>
  <c r="B16" i="61"/>
  <c r="C16" i="61"/>
  <c r="A17" i="61"/>
  <c r="B17" i="61"/>
  <c r="C17" i="61"/>
  <c r="A18" i="61"/>
  <c r="B18" i="61"/>
  <c r="C18" i="61"/>
  <c r="A19" i="61"/>
  <c r="B19" i="61"/>
  <c r="C19" i="61"/>
  <c r="A20" i="61"/>
  <c r="B20" i="61"/>
  <c r="C20" i="61"/>
  <c r="A21" i="61"/>
  <c r="B21" i="61"/>
  <c r="C21" i="61"/>
  <c r="A22" i="61"/>
  <c r="B22" i="61"/>
  <c r="C22" i="61"/>
  <c r="A23" i="61"/>
  <c r="B23" i="61"/>
  <c r="C23" i="61"/>
  <c r="A24" i="61"/>
  <c r="B24" i="61"/>
  <c r="C24" i="61"/>
  <c r="A25" i="61"/>
  <c r="B25" i="61"/>
  <c r="C25" i="61"/>
  <c r="A26" i="61"/>
  <c r="B26" i="61"/>
  <c r="C26" i="61"/>
  <c r="A27" i="61"/>
  <c r="B27" i="61"/>
  <c r="C27" i="61"/>
  <c r="A28" i="61"/>
  <c r="B28" i="61"/>
  <c r="C28" i="61"/>
  <c r="A29" i="61"/>
  <c r="B29" i="61"/>
  <c r="C29" i="61"/>
  <c r="A30" i="61"/>
  <c r="B30" i="61"/>
  <c r="C30" i="61"/>
  <c r="A31" i="61"/>
  <c r="B31" i="61"/>
  <c r="C31" i="61"/>
  <c r="A32" i="61"/>
  <c r="B32" i="61"/>
  <c r="C32" i="61"/>
  <c r="A33" i="61"/>
  <c r="B33" i="61"/>
  <c r="C33" i="61"/>
  <c r="A34" i="61"/>
  <c r="B34" i="61"/>
  <c r="C34" i="61"/>
  <c r="D34" i="61"/>
  <c r="E36" i="69"/>
  <c r="D35" i="61"/>
  <c r="E37" i="69"/>
  <c r="D36" i="61"/>
  <c r="E38" i="69"/>
  <c r="D37" i="61"/>
  <c r="E39" i="69"/>
  <c r="D38" i="61"/>
  <c r="E40" i="69"/>
  <c r="D39" i="61"/>
  <c r="E41" i="69"/>
  <c r="D40" i="61"/>
  <c r="E42" i="69"/>
  <c r="D41" i="61"/>
  <c r="E43" i="69"/>
  <c r="D42" i="61"/>
  <c r="E44" i="69"/>
  <c r="D43" i="61"/>
  <c r="E45" i="69"/>
  <c r="D44" i="61"/>
  <c r="E46" i="69"/>
  <c r="D45" i="61"/>
  <c r="E47" i="69"/>
  <c r="D46" i="61"/>
  <c r="E48" i="69"/>
  <c r="D48" i="61"/>
  <c r="E50" i="69"/>
  <c r="D49" i="61"/>
  <c r="E51" i="69"/>
  <c r="D50" i="61"/>
  <c r="E52" i="69"/>
  <c r="E11" i="69"/>
  <c r="E12" i="69"/>
  <c r="E13" i="69"/>
  <c r="E14" i="69"/>
  <c r="E15" i="69"/>
  <c r="E16" i="69"/>
  <c r="E17" i="69"/>
  <c r="E18" i="69"/>
  <c r="E19" i="69"/>
  <c r="D11" i="69"/>
  <c r="D12" i="69"/>
  <c r="D3" i="61" s="1"/>
  <c r="D13" i="69"/>
  <c r="D4" i="61" s="1"/>
  <c r="D14" i="69"/>
  <c r="D5" i="61" s="1"/>
  <c r="D15" i="69"/>
  <c r="D6" i="61" s="1"/>
  <c r="D16" i="69"/>
  <c r="D7" i="61" s="1"/>
  <c r="D17" i="69"/>
  <c r="D8" i="61" s="1"/>
  <c r="D18" i="69"/>
  <c r="D9" i="61" s="1"/>
  <c r="D19" i="69"/>
  <c r="D10" i="61" s="1"/>
  <c r="D20" i="69"/>
  <c r="D11" i="61" s="1"/>
  <c r="E13" i="61" l="1"/>
  <c r="F30" i="61"/>
  <c r="E30" i="61"/>
  <c r="F50" i="61"/>
  <c r="E50" i="61"/>
  <c r="E45" i="61"/>
  <c r="F45" i="61"/>
  <c r="E41" i="61"/>
  <c r="F41" i="61"/>
  <c r="E31" i="61"/>
  <c r="F31" i="61"/>
  <c r="E27" i="61"/>
  <c r="F27" i="61"/>
  <c r="F46" i="61"/>
  <c r="E46" i="61"/>
  <c r="F42" i="61"/>
  <c r="E42" i="61"/>
  <c r="F38" i="61"/>
  <c r="E38" i="61"/>
  <c r="F32" i="61"/>
  <c r="E32" i="61"/>
  <c r="F28" i="61"/>
  <c r="E28" i="61"/>
  <c r="E24" i="61"/>
  <c r="F10" i="61"/>
  <c r="F8" i="61"/>
  <c r="F4" i="61"/>
  <c r="F48" i="61"/>
  <c r="E48" i="61"/>
  <c r="E47" i="61"/>
  <c r="F47" i="61"/>
  <c r="E43" i="61"/>
  <c r="F43" i="61"/>
  <c r="E39" i="61"/>
  <c r="F39" i="61"/>
  <c r="E35" i="61"/>
  <c r="F35" i="61"/>
  <c r="F34" i="61"/>
  <c r="E34" i="61"/>
  <c r="E37" i="61"/>
  <c r="F37" i="61"/>
  <c r="E33" i="61"/>
  <c r="F33" i="61"/>
  <c r="E29" i="61"/>
  <c r="F29" i="61"/>
  <c r="E25" i="61"/>
  <c r="F25" i="61"/>
  <c r="E49" i="61"/>
  <c r="F49" i="61"/>
  <c r="F44" i="61"/>
  <c r="E44" i="61"/>
  <c r="F40" i="61"/>
  <c r="E40" i="61"/>
  <c r="F36" i="61"/>
  <c r="E36" i="61"/>
  <c r="F26" i="61"/>
  <c r="E26" i="61"/>
  <c r="F15" i="61"/>
  <c r="E7" i="61"/>
  <c r="F9" i="61"/>
  <c r="E3" i="61"/>
  <c r="F11" i="61"/>
  <c r="E9" i="61"/>
  <c r="E5" i="61"/>
  <c r="F12" i="61"/>
  <c r="E6" i="61"/>
  <c r="E11" i="61"/>
  <c r="F22" i="61"/>
  <c r="F14" i="61"/>
  <c r="F7" i="61"/>
  <c r="F5" i="61"/>
  <c r="F3" i="61"/>
  <c r="E8" i="61"/>
  <c r="F6" i="61"/>
  <c r="E10" i="61"/>
  <c r="F13" i="61"/>
  <c r="E12" i="61"/>
  <c r="E4" i="61"/>
  <c r="E15" i="61"/>
  <c r="E19" i="61"/>
  <c r="E23" i="61"/>
  <c r="F24" i="61"/>
  <c r="E22" i="61"/>
  <c r="E14" i="61"/>
  <c r="F20" i="61"/>
  <c r="E18" i="61"/>
  <c r="F23" i="61"/>
  <c r="F19" i="61"/>
  <c r="F16" i="61"/>
  <c r="E20" i="61"/>
  <c r="E17" i="61"/>
  <c r="F21" i="61"/>
  <c r="E21" i="61"/>
  <c r="F17" i="61"/>
  <c r="E16" i="61"/>
  <c r="F18" i="61"/>
  <c r="D22" i="61" l="1"/>
  <c r="D23" i="61"/>
  <c r="D24" i="61"/>
  <c r="D25" i="61"/>
  <c r="D26" i="61"/>
  <c r="E28" i="69"/>
  <c r="D27" i="61"/>
  <c r="E29" i="69"/>
  <c r="D28" i="61"/>
  <c r="E30" i="69"/>
  <c r="D29" i="61"/>
  <c r="E31" i="69"/>
  <c r="D30" i="61"/>
  <c r="E32" i="69"/>
  <c r="D31" i="61"/>
  <c r="E33" i="69"/>
  <c r="D32" i="61"/>
  <c r="E34" i="69"/>
  <c r="D33" i="61"/>
  <c r="E35" i="69"/>
  <c r="D15" i="61"/>
  <c r="D16" i="61"/>
  <c r="D17" i="61"/>
  <c r="D18" i="61"/>
  <c r="D19" i="61"/>
  <c r="D20" i="61"/>
  <c r="D21" i="61"/>
  <c r="D19" i="47" l="1"/>
  <c r="S146" i="67"/>
  <c r="V142" i="67"/>
  <c r="W150" i="67"/>
  <c r="V150" i="67"/>
  <c r="U150" i="67"/>
  <c r="T150" i="67"/>
  <c r="S150" i="67"/>
  <c r="W149" i="67"/>
  <c r="V149" i="67"/>
  <c r="U149" i="67"/>
  <c r="T149" i="67"/>
  <c r="S149" i="67"/>
  <c r="W148" i="67"/>
  <c r="V148" i="67"/>
  <c r="U148" i="67"/>
  <c r="T148" i="67"/>
  <c r="S148" i="67"/>
  <c r="W147" i="67"/>
  <c r="V147" i="67"/>
  <c r="U147" i="67"/>
  <c r="T147" i="67"/>
  <c r="S147" i="67"/>
  <c r="W146" i="67"/>
  <c r="U146" i="67"/>
  <c r="W145" i="67"/>
  <c r="V145" i="67"/>
  <c r="U145" i="67"/>
  <c r="T145" i="67"/>
  <c r="S145" i="67"/>
  <c r="W144" i="67"/>
  <c r="V144" i="67"/>
  <c r="U144" i="67"/>
  <c r="T144" i="67"/>
  <c r="S144" i="67"/>
  <c r="W143" i="67"/>
  <c r="V143" i="67"/>
  <c r="U143" i="67"/>
  <c r="T143" i="67"/>
  <c r="S143" i="67"/>
  <c r="W141" i="67"/>
  <c r="V141" i="67"/>
  <c r="U141" i="67"/>
  <c r="T141" i="67"/>
  <c r="W140" i="67"/>
  <c r="V140" i="67"/>
  <c r="U140" i="67"/>
  <c r="T140" i="67"/>
  <c r="W139" i="67"/>
  <c r="V139" i="67"/>
  <c r="U139" i="67"/>
  <c r="T139" i="67"/>
  <c r="W142" i="67" l="1"/>
  <c r="T146" i="67"/>
  <c r="T142" i="67"/>
  <c r="S142" i="67"/>
  <c r="U142" i="67"/>
  <c r="V146" i="67"/>
  <c r="S140" i="67"/>
  <c r="S141" i="67"/>
  <c r="M22" i="45" l="1"/>
  <c r="M24" i="45" l="1"/>
  <c r="M23" i="45"/>
  <c r="O24" i="45" s="1"/>
  <c r="O27" i="45"/>
  <c r="O29" i="45" s="1"/>
  <c r="O26" i="45" l="1"/>
  <c r="J8" i="47"/>
  <c r="D21" i="69"/>
  <c r="D12" i="61" s="1"/>
  <c r="D22" i="69"/>
  <c r="D13" i="61" s="1"/>
  <c r="D14" i="61"/>
  <c r="D2" i="61"/>
  <c r="I7" i="47" l="1"/>
  <c r="Q6" i="8"/>
  <c r="Q7" i="8"/>
  <c r="Q8" i="8"/>
  <c r="Q9" i="8"/>
  <c r="Q10" i="8"/>
  <c r="Q11" i="8"/>
  <c r="Q12" i="8"/>
  <c r="Q13" i="8"/>
  <c r="Q14" i="8"/>
  <c r="Q15" i="8"/>
  <c r="Q16" i="8"/>
  <c r="Q17" i="8"/>
  <c r="Q18" i="8"/>
  <c r="Q19" i="8"/>
  <c r="Q20" i="8"/>
  <c r="Q21" i="8"/>
  <c r="Q22" i="8"/>
  <c r="Q23" i="8"/>
  <c r="Q24" i="8"/>
  <c r="Q25" i="8"/>
  <c r="Q26" i="8"/>
  <c r="Q27" i="8"/>
  <c r="Q28" i="8"/>
  <c r="Q29" i="8"/>
  <c r="Q30" i="8"/>
  <c r="Q5" i="8"/>
  <c r="G127" i="67"/>
  <c r="H127" i="67"/>
  <c r="D20" i="45"/>
  <c r="D24" i="45" s="1"/>
  <c r="L10" i="47" l="1"/>
  <c r="L9" i="47"/>
  <c r="L8" i="47"/>
  <c r="L7" i="47"/>
  <c r="E20" i="69" l="1"/>
  <c r="E21" i="69"/>
  <c r="E22" i="69"/>
  <c r="C2" i="61"/>
  <c r="B2" i="61"/>
  <c r="A2" i="61"/>
  <c r="N28" i="68" l="1"/>
  <c r="N30" i="68"/>
  <c r="N28" i="63"/>
  <c r="N30" i="63"/>
  <c r="M25" i="67"/>
  <c r="N27" i="67"/>
  <c r="N29" i="67"/>
  <c r="N25" i="67"/>
  <c r="M25" i="63"/>
  <c r="M26" i="63"/>
  <c r="N30" i="67"/>
  <c r="M25" i="68"/>
  <c r="N25" i="63"/>
  <c r="M27" i="63"/>
  <c r="M27" i="67"/>
  <c r="M29" i="63"/>
  <c r="N24" i="67"/>
  <c r="M30" i="68"/>
  <c r="N25" i="68"/>
  <c r="M27" i="68"/>
  <c r="M29" i="68"/>
  <c r="N27" i="63"/>
  <c r="M28" i="67"/>
  <c r="N26" i="67"/>
  <c r="M28" i="63"/>
  <c r="N27" i="68"/>
  <c r="N29" i="68"/>
  <c r="N29" i="63"/>
  <c r="M24" i="67"/>
  <c r="M26" i="67"/>
  <c r="N28" i="67"/>
  <c r="M30" i="67"/>
  <c r="M30" i="63"/>
  <c r="M24" i="63"/>
  <c r="M29" i="67"/>
  <c r="M24" i="68"/>
  <c r="M26" i="68"/>
  <c r="N24" i="63"/>
  <c r="N26" i="63"/>
  <c r="N24" i="68"/>
  <c r="N26" i="68"/>
  <c r="M28" i="68"/>
  <c r="N31" i="63"/>
  <c r="N52" i="63"/>
  <c r="M31" i="63"/>
  <c r="N50" i="63"/>
  <c r="N32" i="63"/>
  <c r="M23" i="63"/>
  <c r="N51" i="63"/>
  <c r="N23" i="63"/>
  <c r="M52" i="63"/>
  <c r="M51" i="63"/>
  <c r="M50" i="63"/>
  <c r="M32" i="63"/>
  <c r="E70" i="68"/>
  <c r="O70" i="68" s="1"/>
  <c r="E66" i="68"/>
  <c r="O66" i="68" s="1"/>
  <c r="E67" i="63"/>
  <c r="O67" i="63" s="1"/>
  <c r="E69" i="67"/>
  <c r="O69" i="67" s="1"/>
  <c r="E69" i="68"/>
  <c r="O69" i="68" s="1"/>
  <c r="E70" i="63"/>
  <c r="O70" i="63" s="1"/>
  <c r="E66" i="63"/>
  <c r="O66" i="63" s="1"/>
  <c r="E70" i="67"/>
  <c r="O70" i="67" s="1"/>
  <c r="E68" i="68"/>
  <c r="O68" i="68" s="1"/>
  <c r="E69" i="63"/>
  <c r="O69" i="63" s="1"/>
  <c r="E67" i="67"/>
  <c r="O67" i="67" s="1"/>
  <c r="E66" i="67"/>
  <c r="O66" i="67" s="1"/>
  <c r="E67" i="68"/>
  <c r="O67" i="68" s="1"/>
  <c r="E68" i="63"/>
  <c r="O68" i="63" s="1"/>
  <c r="E68" i="67"/>
  <c r="O68" i="67" s="1"/>
  <c r="N51" i="68"/>
  <c r="N50" i="68"/>
  <c r="N52" i="68"/>
  <c r="E50" i="67"/>
  <c r="F2" i="61"/>
  <c r="E2" i="61"/>
  <c r="AQ80" i="68"/>
  <c r="AP80" i="68"/>
  <c r="AO80" i="68"/>
  <c r="AN80" i="68"/>
  <c r="AM80" i="68"/>
  <c r="AL80" i="68"/>
  <c r="AQ79" i="68"/>
  <c r="AP79" i="68"/>
  <c r="AO79" i="68"/>
  <c r="AN79" i="68"/>
  <c r="AM79" i="68"/>
  <c r="AL79" i="68"/>
  <c r="K141" i="68"/>
  <c r="K140" i="68"/>
  <c r="K139" i="68"/>
  <c r="J129" i="68"/>
  <c r="I129" i="68"/>
  <c r="H129" i="68"/>
  <c r="G129" i="68"/>
  <c r="F129" i="68"/>
  <c r="B129" i="68"/>
  <c r="J128" i="68"/>
  <c r="I128" i="68"/>
  <c r="H128" i="68"/>
  <c r="G128" i="68"/>
  <c r="F128" i="68"/>
  <c r="B128" i="68"/>
  <c r="J127" i="68"/>
  <c r="I127" i="68"/>
  <c r="H127" i="68"/>
  <c r="O127" i="68"/>
  <c r="Q106" i="68"/>
  <c r="N106" i="68"/>
  <c r="W106" i="68" s="1"/>
  <c r="AC106" i="68" s="1"/>
  <c r="K106" i="68"/>
  <c r="E106" i="68"/>
  <c r="Q105" i="68"/>
  <c r="N105" i="68"/>
  <c r="V105" i="68" s="1"/>
  <c r="AB105" i="68" s="1"/>
  <c r="K105" i="68"/>
  <c r="E105" i="68"/>
  <c r="O105" i="68" s="1"/>
  <c r="Q104" i="68"/>
  <c r="N104" i="68"/>
  <c r="T104" i="68" s="1"/>
  <c r="Z104" i="68" s="1"/>
  <c r="K104" i="68"/>
  <c r="E104" i="68"/>
  <c r="O104" i="68" s="1"/>
  <c r="Q97" i="68"/>
  <c r="O97" i="68"/>
  <c r="K97" i="68"/>
  <c r="E97" i="68"/>
  <c r="Q96" i="68"/>
  <c r="O96" i="68"/>
  <c r="K96" i="68"/>
  <c r="E96" i="68"/>
  <c r="Q95" i="68"/>
  <c r="O95" i="68"/>
  <c r="K95" i="68"/>
  <c r="E95" i="68"/>
  <c r="N94" i="68"/>
  <c r="T94" i="68" s="1"/>
  <c r="Z94" i="68" s="1"/>
  <c r="M94" i="68"/>
  <c r="K94" i="68"/>
  <c r="Q70" i="68"/>
  <c r="K70" i="68"/>
  <c r="Q69" i="68"/>
  <c r="K69" i="68"/>
  <c r="Q68" i="68"/>
  <c r="K68" i="68"/>
  <c r="Q67" i="68"/>
  <c r="K67" i="68"/>
  <c r="Q66" i="68"/>
  <c r="K66" i="68"/>
  <c r="Q59" i="68"/>
  <c r="O59" i="68"/>
  <c r="W59" i="68"/>
  <c r="AC59" i="68" s="1"/>
  <c r="K59" i="68"/>
  <c r="Q58" i="68"/>
  <c r="O58" i="68"/>
  <c r="U58" i="68"/>
  <c r="AA58" i="68" s="1"/>
  <c r="K58" i="68"/>
  <c r="Q57" i="68"/>
  <c r="O57" i="68"/>
  <c r="W57" i="68"/>
  <c r="AC57" i="68" s="1"/>
  <c r="K57" i="68"/>
  <c r="R52" i="68"/>
  <c r="K52" i="68"/>
  <c r="E52" i="68"/>
  <c r="O52" i="68" s="1"/>
  <c r="R51" i="68"/>
  <c r="K51" i="68"/>
  <c r="E51" i="68"/>
  <c r="O51" i="68" s="1"/>
  <c r="R50" i="68"/>
  <c r="K50" i="68"/>
  <c r="E50" i="68"/>
  <c r="O50" i="68" s="1"/>
  <c r="T49" i="68"/>
  <c r="Z49" i="68" s="1"/>
  <c r="M49" i="68"/>
  <c r="K49" i="68"/>
  <c r="O48" i="68"/>
  <c r="T48" i="68"/>
  <c r="Z48" i="68" s="1"/>
  <c r="M48" i="68"/>
  <c r="K48" i="68"/>
  <c r="O47" i="68"/>
  <c r="U47" i="68"/>
  <c r="AA47" i="68" s="1"/>
  <c r="M47" i="68"/>
  <c r="K47" i="68"/>
  <c r="O46" i="68"/>
  <c r="V46" i="68"/>
  <c r="AB46" i="68" s="1"/>
  <c r="M46" i="68"/>
  <c r="K46" i="68"/>
  <c r="O45" i="68"/>
  <c r="W45" i="68"/>
  <c r="AC45" i="68" s="1"/>
  <c r="M45" i="68"/>
  <c r="K45" i="68"/>
  <c r="O44" i="68"/>
  <c r="T44" i="68"/>
  <c r="Z44" i="68" s="1"/>
  <c r="M44" i="68"/>
  <c r="K44" i="68"/>
  <c r="O43" i="68"/>
  <c r="U43" i="68"/>
  <c r="AA43" i="68" s="1"/>
  <c r="M43" i="68"/>
  <c r="K43" i="68"/>
  <c r="O42" i="68"/>
  <c r="V42" i="68"/>
  <c r="AB42" i="68" s="1"/>
  <c r="M42" i="68"/>
  <c r="K42" i="68"/>
  <c r="O41" i="68"/>
  <c r="W41" i="68"/>
  <c r="AC41" i="68" s="1"/>
  <c r="M41" i="68"/>
  <c r="K41" i="68"/>
  <c r="O40" i="68"/>
  <c r="T40" i="68"/>
  <c r="Z40" i="68" s="1"/>
  <c r="M40" i="68"/>
  <c r="K40" i="68"/>
  <c r="U39" i="68"/>
  <c r="AA39" i="68" s="1"/>
  <c r="K39" i="68"/>
  <c r="Q32" i="68"/>
  <c r="K32" i="68"/>
  <c r="E32" i="68"/>
  <c r="O32" i="68" s="1"/>
  <c r="Q31" i="68"/>
  <c r="K31" i="68"/>
  <c r="E31" i="68"/>
  <c r="O31" i="68" s="1"/>
  <c r="Q23" i="68"/>
  <c r="K23" i="68"/>
  <c r="E23" i="68"/>
  <c r="O23" i="68" s="1"/>
  <c r="K141" i="63"/>
  <c r="K140" i="63"/>
  <c r="K139" i="63"/>
  <c r="J129" i="63"/>
  <c r="I129" i="63"/>
  <c r="H129" i="63"/>
  <c r="G129" i="63"/>
  <c r="F129" i="63"/>
  <c r="B129" i="63"/>
  <c r="J128" i="63"/>
  <c r="I128" i="63"/>
  <c r="H128" i="63"/>
  <c r="G128" i="63"/>
  <c r="F128" i="63"/>
  <c r="B128" i="63"/>
  <c r="J127" i="63"/>
  <c r="I127" i="63"/>
  <c r="H127" i="63"/>
  <c r="G127" i="63"/>
  <c r="F127" i="63"/>
  <c r="B127" i="63"/>
  <c r="Q106" i="63"/>
  <c r="Q105" i="63"/>
  <c r="Q104" i="63"/>
  <c r="N106" i="63"/>
  <c r="T106" i="63" s="1"/>
  <c r="Z106" i="63" s="1"/>
  <c r="O106" i="63"/>
  <c r="N105" i="63"/>
  <c r="V105" i="63" s="1"/>
  <c r="AB105" i="63" s="1"/>
  <c r="N104" i="63"/>
  <c r="T104" i="63" s="1"/>
  <c r="Z104" i="63" s="1"/>
  <c r="Q97" i="63"/>
  <c r="Q96" i="63"/>
  <c r="Q95" i="63"/>
  <c r="O97" i="63"/>
  <c r="K97" i="63"/>
  <c r="O96" i="63"/>
  <c r="K96" i="63"/>
  <c r="O95" i="63"/>
  <c r="K95" i="63"/>
  <c r="N94" i="63"/>
  <c r="V94" i="63" s="1"/>
  <c r="AB94" i="63" s="1"/>
  <c r="M94" i="63"/>
  <c r="K94" i="63"/>
  <c r="E97" i="63"/>
  <c r="E96" i="63"/>
  <c r="E95" i="63"/>
  <c r="Q70" i="63"/>
  <c r="Q69" i="63"/>
  <c r="Q68" i="63"/>
  <c r="Q67" i="63"/>
  <c r="Q66" i="63"/>
  <c r="K70" i="63"/>
  <c r="K69" i="63"/>
  <c r="K68" i="63"/>
  <c r="K67" i="63"/>
  <c r="K66" i="63"/>
  <c r="Q59" i="63"/>
  <c r="Q58" i="63"/>
  <c r="Q57" i="63"/>
  <c r="O59" i="63"/>
  <c r="W59" i="63"/>
  <c r="AC59" i="63" s="1"/>
  <c r="K59" i="63"/>
  <c r="O58" i="63"/>
  <c r="T58" i="63"/>
  <c r="Z58" i="63" s="1"/>
  <c r="K58" i="63"/>
  <c r="O57" i="63"/>
  <c r="U57" i="63"/>
  <c r="AA57" i="63" s="1"/>
  <c r="K57" i="63"/>
  <c r="R52" i="63"/>
  <c r="R51" i="63"/>
  <c r="R50" i="63"/>
  <c r="Q23" i="67"/>
  <c r="Q96" i="67"/>
  <c r="Q97" i="67"/>
  <c r="Q95" i="67"/>
  <c r="Q106" i="67"/>
  <c r="Q105" i="67"/>
  <c r="Q104" i="67"/>
  <c r="S24" i="68" l="1"/>
  <c r="Y24" i="68" s="1"/>
  <c r="T24" i="68"/>
  <c r="Z24" i="68" s="1"/>
  <c r="U24" i="68"/>
  <c r="AA24" i="68" s="1"/>
  <c r="V24" i="68"/>
  <c r="AB24" i="68" s="1"/>
  <c r="W24" i="68"/>
  <c r="AC24" i="68" s="1"/>
  <c r="T26" i="67"/>
  <c r="Z26" i="67" s="1"/>
  <c r="W26" i="67"/>
  <c r="AC26" i="67" s="1"/>
  <c r="U26" i="67"/>
  <c r="AA26" i="67" s="1"/>
  <c r="V26" i="67"/>
  <c r="AB26" i="67" s="1"/>
  <c r="S26" i="67"/>
  <c r="V25" i="67"/>
  <c r="U25" i="67"/>
  <c r="AA25" i="67" s="1"/>
  <c r="T25" i="67"/>
  <c r="Z25" i="67" s="1"/>
  <c r="S25" i="67"/>
  <c r="W25" i="67"/>
  <c r="AC25" i="67" s="1"/>
  <c r="U26" i="63"/>
  <c r="AA26" i="63" s="1"/>
  <c r="V26" i="63"/>
  <c r="AB26" i="63" s="1"/>
  <c r="T26" i="63"/>
  <c r="Z26" i="63" s="1"/>
  <c r="W26" i="63"/>
  <c r="AC26" i="63" s="1"/>
  <c r="S26" i="63"/>
  <c r="Y26" i="63" s="1"/>
  <c r="W24" i="63"/>
  <c r="AC24" i="63" s="1"/>
  <c r="S24" i="63"/>
  <c r="Y24" i="63" s="1"/>
  <c r="T24" i="63"/>
  <c r="Z24" i="63" s="1"/>
  <c r="U24" i="63"/>
  <c r="AA24" i="63" s="1"/>
  <c r="V24" i="63"/>
  <c r="AB24" i="63" s="1"/>
  <c r="W27" i="63"/>
  <c r="AC27" i="63" s="1"/>
  <c r="T27" i="63"/>
  <c r="Z27" i="63" s="1"/>
  <c r="S27" i="63"/>
  <c r="Y27" i="63" s="1"/>
  <c r="U27" i="63"/>
  <c r="AA27" i="63" s="1"/>
  <c r="V27" i="63"/>
  <c r="AB27" i="63" s="1"/>
  <c r="S27" i="67"/>
  <c r="W27" i="67"/>
  <c r="AC27" i="67" s="1"/>
  <c r="U27" i="67"/>
  <c r="AA27" i="67" s="1"/>
  <c r="T27" i="67"/>
  <c r="Z27" i="67" s="1"/>
  <c r="V27" i="67"/>
  <c r="AB27" i="67" s="1"/>
  <c r="W28" i="67"/>
  <c r="AC28" i="67" s="1"/>
  <c r="T28" i="67"/>
  <c r="Z28" i="67" s="1"/>
  <c r="U28" i="67"/>
  <c r="AA28" i="67" s="1"/>
  <c r="S28" i="67"/>
  <c r="V28" i="67"/>
  <c r="AB28" i="67" s="1"/>
  <c r="S25" i="63"/>
  <c r="Y25" i="63" s="1"/>
  <c r="T25" i="63"/>
  <c r="Z25" i="63" s="1"/>
  <c r="U25" i="63"/>
  <c r="AA25" i="63" s="1"/>
  <c r="V25" i="63"/>
  <c r="AB25" i="63" s="1"/>
  <c r="W25" i="63"/>
  <c r="AC25" i="63" s="1"/>
  <c r="S29" i="63"/>
  <c r="Y29" i="63" s="1"/>
  <c r="T29" i="63"/>
  <c r="Z29" i="63" s="1"/>
  <c r="U29" i="63"/>
  <c r="AA29" i="63" s="1"/>
  <c r="V29" i="63"/>
  <c r="AB29" i="63" s="1"/>
  <c r="W29" i="63"/>
  <c r="AC29" i="63" s="1"/>
  <c r="U30" i="63"/>
  <c r="AA30" i="63" s="1"/>
  <c r="V30" i="63"/>
  <c r="AB30" i="63" s="1"/>
  <c r="W30" i="63"/>
  <c r="AC30" i="63" s="1"/>
  <c r="T30" i="63"/>
  <c r="Z30" i="63" s="1"/>
  <c r="S30" i="63"/>
  <c r="Y30" i="63" s="1"/>
  <c r="S29" i="68"/>
  <c r="Y29" i="68" s="1"/>
  <c r="T29" i="68"/>
  <c r="Z29" i="68" s="1"/>
  <c r="U29" i="68"/>
  <c r="AA29" i="68" s="1"/>
  <c r="V29" i="68"/>
  <c r="AB29" i="68" s="1"/>
  <c r="W29" i="68"/>
  <c r="AC29" i="68" s="1"/>
  <c r="S25" i="68"/>
  <c r="Y25" i="68" s="1"/>
  <c r="T25" i="68"/>
  <c r="Z25" i="68" s="1"/>
  <c r="U25" i="68"/>
  <c r="AA25" i="68" s="1"/>
  <c r="V25" i="68"/>
  <c r="AB25" i="68" s="1"/>
  <c r="W25" i="68"/>
  <c r="AC25" i="68" s="1"/>
  <c r="S30" i="67"/>
  <c r="V30" i="67"/>
  <c r="AB30" i="67" s="1"/>
  <c r="W30" i="67"/>
  <c r="AC30" i="67" s="1"/>
  <c r="U30" i="67"/>
  <c r="AA30" i="67" s="1"/>
  <c r="T30" i="67"/>
  <c r="Z30" i="67" s="1"/>
  <c r="V28" i="63"/>
  <c r="AB28" i="63" s="1"/>
  <c r="S28" i="63"/>
  <c r="Y28" i="63" s="1"/>
  <c r="T28" i="63"/>
  <c r="Z28" i="63" s="1"/>
  <c r="U28" i="63"/>
  <c r="AA28" i="63" s="1"/>
  <c r="W28" i="63"/>
  <c r="AC28" i="63" s="1"/>
  <c r="V27" i="68"/>
  <c r="AB27" i="68" s="1"/>
  <c r="W27" i="68"/>
  <c r="AC27" i="68" s="1"/>
  <c r="S27" i="68"/>
  <c r="Y27" i="68" s="1"/>
  <c r="T27" i="68"/>
  <c r="Z27" i="68" s="1"/>
  <c r="U27" i="68"/>
  <c r="AA27" i="68" s="1"/>
  <c r="T30" i="68"/>
  <c r="Z30" i="68" s="1"/>
  <c r="U30" i="68"/>
  <c r="AA30" i="68" s="1"/>
  <c r="V30" i="68"/>
  <c r="AB30" i="68" s="1"/>
  <c r="W30" i="68"/>
  <c r="AC30" i="68" s="1"/>
  <c r="S30" i="68"/>
  <c r="Y30" i="68" s="1"/>
  <c r="W29" i="67"/>
  <c r="AC29" i="67" s="1"/>
  <c r="S29" i="67"/>
  <c r="U29" i="67"/>
  <c r="AA29" i="67" s="1"/>
  <c r="T29" i="67"/>
  <c r="Z29" i="67" s="1"/>
  <c r="V29" i="67"/>
  <c r="AB29" i="67" s="1"/>
  <c r="T26" i="68"/>
  <c r="Z26" i="68" s="1"/>
  <c r="U26" i="68"/>
  <c r="AA26" i="68" s="1"/>
  <c r="V26" i="68"/>
  <c r="AB26" i="68" s="1"/>
  <c r="W26" i="68"/>
  <c r="AC26" i="68" s="1"/>
  <c r="S26" i="68"/>
  <c r="Y26" i="68" s="1"/>
  <c r="S24" i="67"/>
  <c r="Y24" i="67" s="1"/>
  <c r="V24" i="67"/>
  <c r="AB24" i="67" s="1"/>
  <c r="U24" i="67"/>
  <c r="AA24" i="67" s="1"/>
  <c r="W24" i="67"/>
  <c r="AC24" i="67" s="1"/>
  <c r="T24" i="67"/>
  <c r="S28" i="68"/>
  <c r="Y28" i="68" s="1"/>
  <c r="T28" i="68"/>
  <c r="Z28" i="68" s="1"/>
  <c r="U28" i="68"/>
  <c r="AA28" i="68" s="1"/>
  <c r="V28" i="68"/>
  <c r="AB28" i="68" s="1"/>
  <c r="W28" i="68"/>
  <c r="AC28" i="68" s="1"/>
  <c r="U23" i="63"/>
  <c r="AA23" i="63" s="1"/>
  <c r="W23" i="63"/>
  <c r="AC23" i="63" s="1"/>
  <c r="T23" i="63"/>
  <c r="Z23" i="63" s="1"/>
  <c r="S23" i="63"/>
  <c r="V23" i="63"/>
  <c r="AB23" i="63" s="1"/>
  <c r="W32" i="63"/>
  <c r="AC32" i="63" s="1"/>
  <c r="V32" i="63"/>
  <c r="AB32" i="63" s="1"/>
  <c r="U32" i="63"/>
  <c r="AA32" i="63" s="1"/>
  <c r="S32" i="63"/>
  <c r="Y32" i="63" s="1"/>
  <c r="T32" i="63"/>
  <c r="Z32" i="63" s="1"/>
  <c r="W31" i="63"/>
  <c r="AC31" i="63" s="1"/>
  <c r="S31" i="63"/>
  <c r="Y31" i="63" s="1"/>
  <c r="T31" i="63"/>
  <c r="Z31" i="63" s="1"/>
  <c r="V31" i="63"/>
  <c r="AB31" i="63" s="1"/>
  <c r="U31" i="63"/>
  <c r="AA31" i="63" s="1"/>
  <c r="Q128" i="68"/>
  <c r="N128" i="68"/>
  <c r="T128" i="68" s="1"/>
  <c r="Z128" i="68" s="1"/>
  <c r="O127" i="63"/>
  <c r="N127" i="63"/>
  <c r="O129" i="63"/>
  <c r="N129" i="63"/>
  <c r="W129" i="63" s="1"/>
  <c r="AC129" i="63" s="1"/>
  <c r="Q129" i="68"/>
  <c r="N129" i="68"/>
  <c r="U129" i="68" s="1"/>
  <c r="AA129" i="68" s="1"/>
  <c r="O128" i="63"/>
  <c r="N128" i="63"/>
  <c r="U128" i="63" s="1"/>
  <c r="AA128" i="63" s="1"/>
  <c r="S47" i="68"/>
  <c r="Y47" i="68" s="1"/>
  <c r="V47" i="68"/>
  <c r="AB47" i="68" s="1"/>
  <c r="U104" i="68"/>
  <c r="AA104" i="68" s="1"/>
  <c r="S46" i="68"/>
  <c r="Y46" i="68" s="1"/>
  <c r="W104" i="68"/>
  <c r="AC104" i="68" s="1"/>
  <c r="S105" i="68"/>
  <c r="Y105" i="68" s="1"/>
  <c r="S42" i="68"/>
  <c r="Y42" i="68" s="1"/>
  <c r="S106" i="63"/>
  <c r="Y106" i="63" s="1"/>
  <c r="T105" i="63"/>
  <c r="Z105" i="63" s="1"/>
  <c r="V106" i="63"/>
  <c r="AB106" i="63" s="1"/>
  <c r="K129" i="63"/>
  <c r="U105" i="63"/>
  <c r="AA105" i="63" s="1"/>
  <c r="W106" i="63"/>
  <c r="AC106" i="63" s="1"/>
  <c r="K128" i="63"/>
  <c r="S43" i="68"/>
  <c r="Y43" i="68" s="1"/>
  <c r="T46" i="68"/>
  <c r="Z46" i="68" s="1"/>
  <c r="W47" i="68"/>
  <c r="AC47" i="68" s="1"/>
  <c r="S104" i="68"/>
  <c r="Y104" i="68" s="1"/>
  <c r="W42" i="68"/>
  <c r="AC42" i="68" s="1"/>
  <c r="T41" i="68"/>
  <c r="Z41" i="68" s="1"/>
  <c r="V43" i="68"/>
  <c r="AB43" i="68" s="1"/>
  <c r="W46" i="68"/>
  <c r="AC46" i="68" s="1"/>
  <c r="W43" i="68"/>
  <c r="AC43" i="68" s="1"/>
  <c r="V104" i="68"/>
  <c r="AB104" i="68" s="1"/>
  <c r="W105" i="68"/>
  <c r="AC105" i="68" s="1"/>
  <c r="S94" i="63"/>
  <c r="Y94" i="63" s="1"/>
  <c r="W94" i="63"/>
  <c r="AC94" i="63" s="1"/>
  <c r="U104" i="63"/>
  <c r="AA104" i="63" s="1"/>
  <c r="S105" i="63"/>
  <c r="Y105" i="63" s="1"/>
  <c r="W105" i="63"/>
  <c r="AC105" i="63" s="1"/>
  <c r="U106" i="63"/>
  <c r="AA106" i="63" s="1"/>
  <c r="Q129" i="63"/>
  <c r="T94" i="63"/>
  <c r="Z94" i="63" s="1"/>
  <c r="V104" i="63"/>
  <c r="AB104" i="63" s="1"/>
  <c r="U94" i="63"/>
  <c r="AA94" i="63" s="1"/>
  <c r="S104" i="63"/>
  <c r="W104" i="63"/>
  <c r="AC104" i="63" s="1"/>
  <c r="Q128" i="63"/>
  <c r="U59" i="63"/>
  <c r="AA59" i="63" s="1"/>
  <c r="V58" i="63"/>
  <c r="AB58" i="63" s="1"/>
  <c r="T59" i="63"/>
  <c r="Z59" i="63" s="1"/>
  <c r="U58" i="63"/>
  <c r="AA58" i="63" s="1"/>
  <c r="S58" i="63"/>
  <c r="Y58" i="63" s="1"/>
  <c r="W58" i="63"/>
  <c r="AC58" i="63" s="1"/>
  <c r="V59" i="63"/>
  <c r="AB59" i="63" s="1"/>
  <c r="S59" i="63"/>
  <c r="Y59" i="63" s="1"/>
  <c r="V58" i="68"/>
  <c r="AB58" i="68" s="1"/>
  <c r="K127" i="63"/>
  <c r="V57" i="63"/>
  <c r="AB57" i="63" s="1"/>
  <c r="Q127" i="63"/>
  <c r="S57" i="63"/>
  <c r="T57" i="63"/>
  <c r="Z57" i="63" s="1"/>
  <c r="W57" i="63"/>
  <c r="AC57" i="63" s="1"/>
  <c r="Q127" i="68"/>
  <c r="K128" i="68"/>
  <c r="K127" i="68"/>
  <c r="O129" i="68"/>
  <c r="O128" i="68"/>
  <c r="K129" i="68"/>
  <c r="T106" i="68"/>
  <c r="Z106" i="68" s="1"/>
  <c r="T105" i="68"/>
  <c r="Z105" i="68" s="1"/>
  <c r="O106" i="68"/>
  <c r="U106" i="68"/>
  <c r="AA106" i="68" s="1"/>
  <c r="U105" i="68"/>
  <c r="AA105" i="68" s="1"/>
  <c r="V106" i="68"/>
  <c r="AB106" i="68" s="1"/>
  <c r="S106" i="68"/>
  <c r="Y106" i="68" s="1"/>
  <c r="U94" i="68"/>
  <c r="AA94" i="68" s="1"/>
  <c r="V94" i="68"/>
  <c r="AB94" i="68" s="1"/>
  <c r="S94" i="68"/>
  <c r="Y94" i="68" s="1"/>
  <c r="W94" i="68"/>
  <c r="AC94" i="68" s="1"/>
  <c r="T59" i="68"/>
  <c r="Z59" i="68" s="1"/>
  <c r="T57" i="68"/>
  <c r="U57" i="68"/>
  <c r="S58" i="68"/>
  <c r="Y58" i="68" s="1"/>
  <c r="W58" i="68"/>
  <c r="AC58" i="68" s="1"/>
  <c r="U59" i="68"/>
  <c r="AA59" i="68" s="1"/>
  <c r="V57" i="68"/>
  <c r="AB57" i="68" s="1"/>
  <c r="T58" i="68"/>
  <c r="Z58" i="68" s="1"/>
  <c r="V59" i="68"/>
  <c r="AB59" i="68" s="1"/>
  <c r="S57" i="68"/>
  <c r="S59" i="68"/>
  <c r="Y59" i="68" s="1"/>
  <c r="U44" i="68"/>
  <c r="AA44" i="68" s="1"/>
  <c r="T45" i="68"/>
  <c r="Z45" i="68" s="1"/>
  <c r="U48" i="68"/>
  <c r="AA48" i="68" s="1"/>
  <c r="U49" i="68"/>
  <c r="AA49" i="68" s="1"/>
  <c r="V39" i="68"/>
  <c r="AB39" i="68" s="1"/>
  <c r="U41" i="68"/>
  <c r="AA41" i="68" s="1"/>
  <c r="T42" i="68"/>
  <c r="Z42" i="68" s="1"/>
  <c r="V44" i="68"/>
  <c r="AB44" i="68" s="1"/>
  <c r="U45" i="68"/>
  <c r="AA45" i="68" s="1"/>
  <c r="V48" i="68"/>
  <c r="AB48" i="68" s="1"/>
  <c r="V49" i="68"/>
  <c r="AB49" i="68" s="1"/>
  <c r="T39" i="68"/>
  <c r="Z39" i="68" s="1"/>
  <c r="S40" i="68"/>
  <c r="Y40" i="68" s="1"/>
  <c r="W40" i="68"/>
  <c r="AC40" i="68" s="1"/>
  <c r="V41" i="68"/>
  <c r="AB41" i="68" s="1"/>
  <c r="U42" i="68"/>
  <c r="AA42" i="68" s="1"/>
  <c r="T43" i="68"/>
  <c r="Z43" i="68" s="1"/>
  <c r="S44" i="68"/>
  <c r="Y44" i="68" s="1"/>
  <c r="W44" i="68"/>
  <c r="AC44" i="68" s="1"/>
  <c r="V45" i="68"/>
  <c r="AB45" i="68" s="1"/>
  <c r="U46" i="68"/>
  <c r="AA46" i="68" s="1"/>
  <c r="T47" i="68"/>
  <c r="Z47" i="68" s="1"/>
  <c r="S48" i="68"/>
  <c r="Y48" i="68" s="1"/>
  <c r="W48" i="68"/>
  <c r="AC48" i="68" s="1"/>
  <c r="S49" i="68"/>
  <c r="Y49" i="68" s="1"/>
  <c r="W49" i="68"/>
  <c r="AC49" i="68" s="1"/>
  <c r="U40" i="68"/>
  <c r="AA40" i="68" s="1"/>
  <c r="S39" i="68"/>
  <c r="W39" i="68"/>
  <c r="AC39" i="68" s="1"/>
  <c r="V40" i="68"/>
  <c r="AB40" i="68" s="1"/>
  <c r="S41" i="68"/>
  <c r="Y41" i="68" s="1"/>
  <c r="S45" i="68"/>
  <c r="Y45" i="68" s="1"/>
  <c r="O105" i="63"/>
  <c r="O104" i="63"/>
  <c r="B128" i="67"/>
  <c r="N128" i="67" s="1"/>
  <c r="B129" i="67"/>
  <c r="N129" i="67" s="1"/>
  <c r="B127" i="67"/>
  <c r="N127" i="67" s="1"/>
  <c r="Q70" i="67"/>
  <c r="Q69" i="67"/>
  <c r="Q68" i="67"/>
  <c r="Q67" i="67"/>
  <c r="Q66" i="67"/>
  <c r="Q58" i="67"/>
  <c r="Q59" i="67"/>
  <c r="Q57" i="67"/>
  <c r="Q32" i="67"/>
  <c r="Q31" i="67"/>
  <c r="E51" i="67"/>
  <c r="O51" i="67" s="1"/>
  <c r="E52" i="67"/>
  <c r="O52" i="67" s="1"/>
  <c r="E31" i="67"/>
  <c r="O31" i="67" s="1"/>
  <c r="E32" i="67"/>
  <c r="B6" i="8"/>
  <c r="B7" i="8"/>
  <c r="B8" i="8"/>
  <c r="B9" i="8"/>
  <c r="B10" i="8"/>
  <c r="B11" i="8"/>
  <c r="B12" i="8"/>
  <c r="X26" i="68" l="1"/>
  <c r="AD26" i="68" s="1"/>
  <c r="D103" i="74" s="1"/>
  <c r="X30" i="68"/>
  <c r="AD30" i="68" s="1"/>
  <c r="D107" i="74" s="1"/>
  <c r="X24" i="68"/>
  <c r="AD24" i="68" s="1"/>
  <c r="D101" i="74" s="1"/>
  <c r="X26" i="63"/>
  <c r="AD26" i="63" s="1"/>
  <c r="D54" i="74" s="1"/>
  <c r="X28" i="63"/>
  <c r="AD28" i="63" s="1"/>
  <c r="D56" i="74" s="1"/>
  <c r="Y29" i="67"/>
  <c r="X29" i="67"/>
  <c r="AD29" i="67" s="1"/>
  <c r="D8" i="74" s="1"/>
  <c r="Y28" i="67"/>
  <c r="X28" i="67"/>
  <c r="AD28" i="67" s="1"/>
  <c r="D7" i="74" s="1"/>
  <c r="X27" i="67"/>
  <c r="X24" i="67"/>
  <c r="X30" i="67"/>
  <c r="AD30" i="67" s="1"/>
  <c r="D9" i="74" s="1"/>
  <c r="Y30" i="67"/>
  <c r="X26" i="67"/>
  <c r="Y25" i="67"/>
  <c r="X25" i="67"/>
  <c r="X29" i="68"/>
  <c r="AD29" i="68" s="1"/>
  <c r="D106" i="74" s="1"/>
  <c r="X27" i="68"/>
  <c r="AD27" i="68" s="1"/>
  <c r="D104" i="74" s="1"/>
  <c r="X29" i="63"/>
  <c r="AD29" i="63" s="1"/>
  <c r="D57" i="74" s="1"/>
  <c r="X24" i="63"/>
  <c r="AD24" i="63" s="1"/>
  <c r="D52" i="74" s="1"/>
  <c r="X28" i="68"/>
  <c r="AD28" i="68" s="1"/>
  <c r="D105" i="74" s="1"/>
  <c r="X25" i="68"/>
  <c r="AD25" i="68" s="1"/>
  <c r="D102" i="74" s="1"/>
  <c r="X30" i="63"/>
  <c r="AD30" i="63" s="1"/>
  <c r="D58" i="74" s="1"/>
  <c r="X27" i="63"/>
  <c r="AD27" i="63" s="1"/>
  <c r="D55" i="74" s="1"/>
  <c r="X25" i="63"/>
  <c r="AD25" i="63" s="1"/>
  <c r="D53" i="74" s="1"/>
  <c r="V33" i="63"/>
  <c r="X31" i="63"/>
  <c r="AD31" i="63" s="1"/>
  <c r="D59" i="74" s="1"/>
  <c r="S33" i="63"/>
  <c r="X23" i="63"/>
  <c r="T33" i="63"/>
  <c r="W33" i="63"/>
  <c r="X32" i="63"/>
  <c r="AD32" i="63" s="1"/>
  <c r="D60" i="74" s="1"/>
  <c r="U33" i="63"/>
  <c r="U129" i="63"/>
  <c r="AA129" i="63" s="1"/>
  <c r="T129" i="63"/>
  <c r="Z129" i="63" s="1"/>
  <c r="S129" i="63"/>
  <c r="Y129" i="63" s="1"/>
  <c r="S128" i="63"/>
  <c r="Y128" i="63" s="1"/>
  <c r="V129" i="63"/>
  <c r="AB129" i="63" s="1"/>
  <c r="W128" i="63"/>
  <c r="AC128" i="63" s="1"/>
  <c r="V128" i="63"/>
  <c r="AB128" i="63" s="1"/>
  <c r="T128" i="63"/>
  <c r="Z128" i="63" s="1"/>
  <c r="V129" i="68"/>
  <c r="AB129" i="68" s="1"/>
  <c r="T129" i="68"/>
  <c r="Z129" i="68" s="1"/>
  <c r="U128" i="68"/>
  <c r="AA128" i="68" s="1"/>
  <c r="V128" i="68"/>
  <c r="AB128" i="68" s="1"/>
  <c r="W129" i="68"/>
  <c r="AC129" i="68" s="1"/>
  <c r="W128" i="68"/>
  <c r="AC128" i="68" s="1"/>
  <c r="S129" i="68"/>
  <c r="Y129" i="68" s="1"/>
  <c r="S128" i="68"/>
  <c r="Y128" i="68" s="1"/>
  <c r="X33" i="63" l="1"/>
  <c r="K5" i="8"/>
  <c r="F194" i="68" l="1"/>
  <c r="F194" i="63"/>
  <c r="F194" i="67"/>
  <c r="W175" i="68" l="1"/>
  <c r="V175" i="68"/>
  <c r="U175" i="68"/>
  <c r="T175" i="68"/>
  <c r="S175" i="68"/>
  <c r="W174" i="68"/>
  <c r="V174" i="68"/>
  <c r="U174" i="68"/>
  <c r="T174" i="68"/>
  <c r="S174" i="68"/>
  <c r="W173" i="68"/>
  <c r="V173" i="68"/>
  <c r="U173" i="68"/>
  <c r="T173" i="68"/>
  <c r="S173" i="68"/>
  <c r="W175" i="63"/>
  <c r="V175" i="63"/>
  <c r="U175" i="63"/>
  <c r="T175" i="63"/>
  <c r="S175" i="63"/>
  <c r="W174" i="63"/>
  <c r="V174" i="63"/>
  <c r="U174" i="63"/>
  <c r="T174" i="63"/>
  <c r="S174" i="63"/>
  <c r="W173" i="63"/>
  <c r="V173" i="63"/>
  <c r="U173" i="63"/>
  <c r="T173" i="63"/>
  <c r="S173" i="63"/>
  <c r="X175" i="63" l="1"/>
  <c r="AY160" i="63" s="1"/>
  <c r="AY166" i="63" s="1"/>
  <c r="X173" i="63"/>
  <c r="AY158" i="63" s="1"/>
  <c r="AY164" i="63" s="1"/>
  <c r="X174" i="63"/>
  <c r="AY159" i="63" s="1"/>
  <c r="AY165" i="63" s="1"/>
  <c r="X174" i="68"/>
  <c r="AY159" i="68" s="1"/>
  <c r="AY165" i="68" s="1"/>
  <c r="X173" i="68"/>
  <c r="AY158" i="68" s="1"/>
  <c r="AY164" i="68" s="1"/>
  <c r="X175" i="68"/>
  <c r="AY160" i="68" s="1"/>
  <c r="AY166" i="68" s="1"/>
  <c r="K18" i="66" l="1"/>
  <c r="K14" i="66"/>
  <c r="D11" i="67" l="1"/>
  <c r="J144" i="67"/>
  <c r="AJ58" i="68"/>
  <c r="AJ57" i="68"/>
  <c r="F128" i="67"/>
  <c r="G128" i="67"/>
  <c r="H128" i="67"/>
  <c r="I128" i="67"/>
  <c r="J128" i="67"/>
  <c r="F129" i="67"/>
  <c r="G129" i="67"/>
  <c r="H129" i="67"/>
  <c r="I129" i="67"/>
  <c r="J129" i="67"/>
  <c r="I127" i="67"/>
  <c r="J127" i="67"/>
  <c r="F127" i="67"/>
  <c r="Q128" i="67"/>
  <c r="O58" i="67"/>
  <c r="O59" i="67"/>
  <c r="O57" i="67"/>
  <c r="K59" i="67"/>
  <c r="AJ58" i="67"/>
  <c r="K58" i="67"/>
  <c r="AJ57" i="67"/>
  <c r="K57" i="67"/>
  <c r="AJ128" i="68"/>
  <c r="AJ127" i="68"/>
  <c r="AJ128" i="63"/>
  <c r="AJ127" i="63"/>
  <c r="AJ128" i="67"/>
  <c r="AJ127" i="67"/>
  <c r="T6" i="8"/>
  <c r="T7" i="8"/>
  <c r="T8" i="8"/>
  <c r="V8" i="8" s="1"/>
  <c r="T9" i="8"/>
  <c r="T10" i="8"/>
  <c r="T11" i="8"/>
  <c r="T12" i="8"/>
  <c r="V12" i="8" s="1"/>
  <c r="T13" i="8"/>
  <c r="T14" i="8"/>
  <c r="T15" i="8"/>
  <c r="U15" i="8" s="1"/>
  <c r="T16" i="8"/>
  <c r="V16" i="8" s="1"/>
  <c r="T17" i="8"/>
  <c r="T18" i="8"/>
  <c r="T19" i="8"/>
  <c r="U19" i="8" s="1"/>
  <c r="T20" i="8"/>
  <c r="T21" i="8"/>
  <c r="T22" i="8"/>
  <c r="T23" i="8"/>
  <c r="U23" i="8" s="1"/>
  <c r="T24" i="8"/>
  <c r="V24" i="8" s="1"/>
  <c r="T25" i="8"/>
  <c r="T26" i="8"/>
  <c r="T27" i="8"/>
  <c r="T28" i="8"/>
  <c r="V28" i="8" s="1"/>
  <c r="T29" i="8"/>
  <c r="T30" i="8"/>
  <c r="T5" i="8"/>
  <c r="U5" i="8" s="1"/>
  <c r="D9" i="63" l="1"/>
  <c r="T59" i="67"/>
  <c r="Z59" i="67" s="1"/>
  <c r="U59" i="67"/>
  <c r="AA59" i="67" s="1"/>
  <c r="S59" i="67"/>
  <c r="Y59" i="67" s="1"/>
  <c r="V59" i="67"/>
  <c r="AB59" i="67" s="1"/>
  <c r="W59" i="67"/>
  <c r="AC59" i="67" s="1"/>
  <c r="T58" i="67"/>
  <c r="Z58" i="67" s="1"/>
  <c r="S58" i="67"/>
  <c r="Y58" i="67" s="1"/>
  <c r="W58" i="67"/>
  <c r="AC58" i="67" s="1"/>
  <c r="U58" i="67"/>
  <c r="AA58" i="67" s="1"/>
  <c r="V58" i="67"/>
  <c r="AB58" i="67" s="1"/>
  <c r="T57" i="67"/>
  <c r="Z57" i="67" s="1"/>
  <c r="V57" i="67"/>
  <c r="AB57" i="67" s="1"/>
  <c r="S57" i="67"/>
  <c r="W57" i="67"/>
  <c r="AC57" i="67" s="1"/>
  <c r="U57" i="67"/>
  <c r="AA57" i="67" s="1"/>
  <c r="W129" i="67"/>
  <c r="AC129" i="67" s="1"/>
  <c r="T129" i="67"/>
  <c r="Z129" i="67" s="1"/>
  <c r="U129" i="67"/>
  <c r="AA129" i="67" s="1"/>
  <c r="S129" i="67"/>
  <c r="Y129" i="67" s="1"/>
  <c r="V129" i="67"/>
  <c r="AB129" i="67" s="1"/>
  <c r="U127" i="67"/>
  <c r="AA127" i="67" s="1"/>
  <c r="V127" i="67"/>
  <c r="AB127" i="67" s="1"/>
  <c r="S127" i="67"/>
  <c r="W127" i="67"/>
  <c r="AC127" i="67" s="1"/>
  <c r="T127" i="67"/>
  <c r="Z127" i="67" s="1"/>
  <c r="W13" i="8"/>
  <c r="W9" i="8"/>
  <c r="W5" i="8"/>
  <c r="W29" i="8"/>
  <c r="K128" i="67"/>
  <c r="Q127" i="67"/>
  <c r="K127" i="67"/>
  <c r="O127" i="67"/>
  <c r="K129" i="67"/>
  <c r="O128" i="67"/>
  <c r="S60" i="63"/>
  <c r="V60" i="68"/>
  <c r="V60" i="63"/>
  <c r="Q129" i="67"/>
  <c r="O129" i="67"/>
  <c r="U30" i="8"/>
  <c r="V30" i="8"/>
  <c r="W30" i="8"/>
  <c r="U22" i="8"/>
  <c r="V22" i="8"/>
  <c r="W22" i="8"/>
  <c r="U14" i="8"/>
  <c r="V14" i="8"/>
  <c r="W14" i="8"/>
  <c r="U6" i="8"/>
  <c r="V6" i="8"/>
  <c r="W6" i="8"/>
  <c r="U25" i="8"/>
  <c r="V25" i="8"/>
  <c r="U17" i="8"/>
  <c r="V17" i="8"/>
  <c r="W28" i="8"/>
  <c r="U28" i="8"/>
  <c r="W24" i="8"/>
  <c r="U24" i="8"/>
  <c r="W20" i="8"/>
  <c r="U20" i="8"/>
  <c r="W16" i="8"/>
  <c r="U16" i="8"/>
  <c r="W12" i="8"/>
  <c r="U12" i="8"/>
  <c r="W8" i="8"/>
  <c r="U8" i="8"/>
  <c r="V5" i="8"/>
  <c r="W25" i="8"/>
  <c r="V20" i="8"/>
  <c r="V15" i="8"/>
  <c r="W15" i="8"/>
  <c r="V27" i="8"/>
  <c r="W27" i="8"/>
  <c r="V23" i="8"/>
  <c r="W23" i="8"/>
  <c r="V19" i="8"/>
  <c r="W19" i="8"/>
  <c r="V11" i="8"/>
  <c r="W11" i="8"/>
  <c r="V7" i="8"/>
  <c r="W7" i="8"/>
  <c r="W17" i="8"/>
  <c r="U7" i="8"/>
  <c r="U26" i="8"/>
  <c r="V26" i="8"/>
  <c r="W26" i="8"/>
  <c r="U18" i="8"/>
  <c r="V18" i="8"/>
  <c r="W18" i="8"/>
  <c r="U10" i="8"/>
  <c r="V10" i="8"/>
  <c r="W10" i="8"/>
  <c r="U29" i="8"/>
  <c r="V29" i="8"/>
  <c r="U21" i="8"/>
  <c r="V21" i="8"/>
  <c r="U13" i="8"/>
  <c r="V13" i="8"/>
  <c r="U9" i="8"/>
  <c r="V9" i="8"/>
  <c r="U27" i="8"/>
  <c r="W21" i="8"/>
  <c r="U11" i="8"/>
  <c r="W150" i="68"/>
  <c r="V150" i="68"/>
  <c r="U150" i="68"/>
  <c r="T150" i="68"/>
  <c r="S150" i="68"/>
  <c r="W149" i="68"/>
  <c r="V149" i="68"/>
  <c r="U149" i="68"/>
  <c r="T149" i="68"/>
  <c r="S149" i="68"/>
  <c r="W148" i="68"/>
  <c r="V148" i="68"/>
  <c r="U148" i="68"/>
  <c r="T148" i="68"/>
  <c r="S148" i="68"/>
  <c r="W147" i="68"/>
  <c r="V147" i="68"/>
  <c r="U147" i="68"/>
  <c r="T147" i="68"/>
  <c r="S147" i="68"/>
  <c r="Q147" i="68"/>
  <c r="W146" i="68"/>
  <c r="V146" i="68"/>
  <c r="U146" i="68"/>
  <c r="T146" i="68"/>
  <c r="S146" i="68"/>
  <c r="W145" i="68"/>
  <c r="V145" i="68"/>
  <c r="U145" i="68"/>
  <c r="T145" i="68"/>
  <c r="S145" i="68"/>
  <c r="W144" i="68"/>
  <c r="V144" i="68"/>
  <c r="U144" i="68"/>
  <c r="T144" i="68"/>
  <c r="S144" i="68"/>
  <c r="W143" i="68"/>
  <c r="V143" i="68"/>
  <c r="U143" i="68"/>
  <c r="T143" i="68"/>
  <c r="S143" i="68"/>
  <c r="Q143" i="68"/>
  <c r="W142" i="68"/>
  <c r="V142" i="68"/>
  <c r="U142" i="68"/>
  <c r="T142" i="68"/>
  <c r="S142" i="68"/>
  <c r="W141" i="68"/>
  <c r="V141" i="68"/>
  <c r="U141" i="68"/>
  <c r="T141" i="68"/>
  <c r="S141" i="68"/>
  <c r="W140" i="68"/>
  <c r="V140" i="68"/>
  <c r="U140" i="68"/>
  <c r="T140" i="68"/>
  <c r="S140" i="68"/>
  <c r="W139" i="68"/>
  <c r="V139" i="68"/>
  <c r="U139" i="68"/>
  <c r="T139" i="68"/>
  <c r="S139" i="68"/>
  <c r="Q139" i="68"/>
  <c r="AJ106" i="68"/>
  <c r="AJ105" i="68"/>
  <c r="AJ104" i="68"/>
  <c r="AH97" i="68"/>
  <c r="AH96" i="68"/>
  <c r="AH95" i="68"/>
  <c r="AJ94" i="68"/>
  <c r="Q83" i="68"/>
  <c r="Q79" i="68"/>
  <c r="AJ77" i="68"/>
  <c r="AJ67" i="68"/>
  <c r="AJ66" i="68"/>
  <c r="AJ50" i="68"/>
  <c r="AJ49" i="68"/>
  <c r="AJ48" i="68"/>
  <c r="AJ47" i="68"/>
  <c r="AJ46" i="68"/>
  <c r="AJ45" i="68"/>
  <c r="AJ44" i="68"/>
  <c r="AJ43" i="68"/>
  <c r="AJ42" i="68"/>
  <c r="AJ41" i="68"/>
  <c r="AJ40" i="68"/>
  <c r="AJ39" i="68"/>
  <c r="AJ32" i="68"/>
  <c r="AJ31" i="68"/>
  <c r="AJ23" i="68"/>
  <c r="W150" i="63"/>
  <c r="V150" i="63"/>
  <c r="U150" i="63"/>
  <c r="T150" i="63"/>
  <c r="S150" i="63"/>
  <c r="W149" i="63"/>
  <c r="V149" i="63"/>
  <c r="U149" i="63"/>
  <c r="T149" i="63"/>
  <c r="S149" i="63"/>
  <c r="W148" i="63"/>
  <c r="V148" i="63"/>
  <c r="U148" i="63"/>
  <c r="T148" i="63"/>
  <c r="S148" i="63"/>
  <c r="W147" i="63"/>
  <c r="V147" i="63"/>
  <c r="U147" i="63"/>
  <c r="T147" i="63"/>
  <c r="S147" i="63"/>
  <c r="Q147" i="63"/>
  <c r="W146" i="63"/>
  <c r="V146" i="63"/>
  <c r="U146" i="63"/>
  <c r="T146" i="63"/>
  <c r="S146" i="63"/>
  <c r="W145" i="63"/>
  <c r="V145" i="63"/>
  <c r="U145" i="63"/>
  <c r="T145" i="63"/>
  <c r="S145" i="63"/>
  <c r="W144" i="63"/>
  <c r="V144" i="63"/>
  <c r="U144" i="63"/>
  <c r="T144" i="63"/>
  <c r="S144" i="63"/>
  <c r="W143" i="63"/>
  <c r="V143" i="63"/>
  <c r="U143" i="63"/>
  <c r="T143" i="63"/>
  <c r="S143" i="63"/>
  <c r="Q143" i="63"/>
  <c r="W142" i="63"/>
  <c r="V142" i="63"/>
  <c r="U142" i="63"/>
  <c r="T142" i="63"/>
  <c r="S142" i="63"/>
  <c r="W141" i="63"/>
  <c r="V141" i="63"/>
  <c r="U141" i="63"/>
  <c r="T141" i="63"/>
  <c r="S141" i="63"/>
  <c r="W140" i="63"/>
  <c r="V140" i="63"/>
  <c r="U140" i="63"/>
  <c r="T140" i="63"/>
  <c r="S140" i="63"/>
  <c r="W139" i="63"/>
  <c r="V139" i="63"/>
  <c r="U139" i="63"/>
  <c r="T139" i="63"/>
  <c r="S139" i="63"/>
  <c r="Q139" i="63"/>
  <c r="AJ106" i="63"/>
  <c r="AJ105" i="63"/>
  <c r="AJ104" i="63"/>
  <c r="AH97" i="63"/>
  <c r="AH96" i="63"/>
  <c r="AH95" i="63"/>
  <c r="AJ94" i="63"/>
  <c r="Q83" i="63"/>
  <c r="AQ80" i="63"/>
  <c r="AP80" i="63"/>
  <c r="AO80" i="63"/>
  <c r="AN80" i="63"/>
  <c r="AM80" i="63"/>
  <c r="AL80" i="63"/>
  <c r="AQ79" i="63"/>
  <c r="AP79" i="63"/>
  <c r="AO79" i="63"/>
  <c r="AN79" i="63"/>
  <c r="AM79" i="63"/>
  <c r="AL79" i="63"/>
  <c r="Q79" i="63"/>
  <c r="AJ50" i="63"/>
  <c r="AJ49" i="63"/>
  <c r="AJ48" i="63"/>
  <c r="AJ47" i="63"/>
  <c r="AJ46" i="63"/>
  <c r="AJ45" i="63"/>
  <c r="AJ44" i="63"/>
  <c r="AJ43" i="63"/>
  <c r="AJ42" i="63"/>
  <c r="AJ41" i="63"/>
  <c r="AJ40" i="63"/>
  <c r="AJ39" i="63"/>
  <c r="AJ32" i="63"/>
  <c r="AJ31" i="63"/>
  <c r="AJ23" i="63"/>
  <c r="Q113" i="67" l="1"/>
  <c r="V113" i="63"/>
  <c r="U113" i="63"/>
  <c r="W113" i="63"/>
  <c r="S115" i="68"/>
  <c r="W115" i="68"/>
  <c r="T118" i="68"/>
  <c r="S119" i="68"/>
  <c r="W119" i="68"/>
  <c r="V120" i="68"/>
  <c r="U121" i="68"/>
  <c r="T122" i="68"/>
  <c r="S116" i="68"/>
  <c r="W116" i="68"/>
  <c r="V117" i="68"/>
  <c r="U118" i="68"/>
  <c r="T119" i="68"/>
  <c r="S120" i="68"/>
  <c r="W120" i="68"/>
  <c r="V121" i="68"/>
  <c r="U122" i="68"/>
  <c r="S117" i="68"/>
  <c r="W117" i="68"/>
  <c r="V118" i="68"/>
  <c r="U119" i="68"/>
  <c r="T120" i="68"/>
  <c r="S121" i="68"/>
  <c r="W121" i="68"/>
  <c r="V122" i="68"/>
  <c r="W113" i="68"/>
  <c r="T117" i="68"/>
  <c r="S118" i="68"/>
  <c r="W118" i="68"/>
  <c r="V119" i="68"/>
  <c r="U120" i="68"/>
  <c r="T121" i="68"/>
  <c r="S122" i="68"/>
  <c r="W122" i="68"/>
  <c r="W114" i="68"/>
  <c r="AG114" i="68"/>
  <c r="AG118" i="68"/>
  <c r="AG122" i="68"/>
  <c r="AG115" i="68"/>
  <c r="V115" i="68" s="1"/>
  <c r="AG119" i="68"/>
  <c r="AG123" i="68"/>
  <c r="AG116" i="68"/>
  <c r="AG120" i="68"/>
  <c r="AG117" i="68"/>
  <c r="U117" i="68" s="1"/>
  <c r="AG121" i="68"/>
  <c r="V117" i="63"/>
  <c r="T117" i="63"/>
  <c r="T120" i="63"/>
  <c r="T122" i="63"/>
  <c r="U118" i="63"/>
  <c r="U122" i="63"/>
  <c r="W120" i="63"/>
  <c r="V114" i="63"/>
  <c r="V118" i="63"/>
  <c r="V122" i="63"/>
  <c r="U116" i="63"/>
  <c r="U117" i="63"/>
  <c r="U119" i="63"/>
  <c r="U121" i="63"/>
  <c r="W122" i="63"/>
  <c r="V119" i="63"/>
  <c r="W114" i="63"/>
  <c r="W115" i="63"/>
  <c r="W116" i="63"/>
  <c r="W117" i="63"/>
  <c r="W118" i="63"/>
  <c r="W119" i="63"/>
  <c r="V116" i="63"/>
  <c r="V120" i="63"/>
  <c r="S117" i="63"/>
  <c r="S118" i="63"/>
  <c r="S119" i="63"/>
  <c r="S120" i="63"/>
  <c r="S121" i="63"/>
  <c r="S122" i="63"/>
  <c r="V121" i="63"/>
  <c r="T116" i="63"/>
  <c r="T118" i="63"/>
  <c r="T119" i="63"/>
  <c r="T121" i="63"/>
  <c r="U120" i="63"/>
  <c r="W121" i="63"/>
  <c r="AG122" i="67"/>
  <c r="AG120" i="67"/>
  <c r="V113" i="67"/>
  <c r="AG123" i="67"/>
  <c r="U113" i="67"/>
  <c r="AG119" i="67"/>
  <c r="AG121" i="67"/>
  <c r="AG114" i="63"/>
  <c r="T114" i="63" s="1"/>
  <c r="AG118" i="63"/>
  <c r="AG122" i="63"/>
  <c r="AG115" i="63"/>
  <c r="V115" i="63" s="1"/>
  <c r="AG119" i="63"/>
  <c r="AG123" i="63"/>
  <c r="AG116" i="63"/>
  <c r="S116" i="63" s="1"/>
  <c r="AG120" i="63"/>
  <c r="AG117" i="63"/>
  <c r="AG121" i="63"/>
  <c r="AG113" i="67"/>
  <c r="T113" i="67" s="1"/>
  <c r="AG118" i="67"/>
  <c r="Q121" i="67"/>
  <c r="Q118" i="67"/>
  <c r="Q122" i="67"/>
  <c r="Q119" i="67"/>
  <c r="Q120" i="67"/>
  <c r="S118" i="67"/>
  <c r="V119" i="67"/>
  <c r="S122" i="67"/>
  <c r="V120" i="67"/>
  <c r="S120" i="67"/>
  <c r="U118" i="67"/>
  <c r="V121" i="67"/>
  <c r="V118" i="67"/>
  <c r="T120" i="67"/>
  <c r="S121" i="67"/>
  <c r="W121" i="67"/>
  <c r="V122" i="67"/>
  <c r="W122" i="67"/>
  <c r="S119" i="67"/>
  <c r="U121" i="67"/>
  <c r="W120" i="67"/>
  <c r="U122" i="67"/>
  <c r="T79" i="68"/>
  <c r="Z79" i="68" s="1"/>
  <c r="W79" i="68"/>
  <c r="AC79" i="68" s="1"/>
  <c r="S79" i="68"/>
  <c r="Y79" i="68" s="1"/>
  <c r="V79" i="68"/>
  <c r="AB79" i="68" s="1"/>
  <c r="U79" i="68"/>
  <c r="AA79" i="68" s="1"/>
  <c r="V83" i="68"/>
  <c r="AB83" i="68" s="1"/>
  <c r="U83" i="68"/>
  <c r="AA83" i="68" s="1"/>
  <c r="T83" i="68"/>
  <c r="Z83" i="68" s="1"/>
  <c r="W83" i="68"/>
  <c r="AC83" i="68" s="1"/>
  <c r="S83" i="68"/>
  <c r="W83" i="63"/>
  <c r="AC83" i="63" s="1"/>
  <c r="S83" i="63"/>
  <c r="Y83" i="63" s="1"/>
  <c r="U83" i="63"/>
  <c r="AA83" i="63" s="1"/>
  <c r="T83" i="63"/>
  <c r="Z83" i="63" s="1"/>
  <c r="V83" i="63"/>
  <c r="AB83" i="63" s="1"/>
  <c r="D10" i="63"/>
  <c r="J144" i="63"/>
  <c r="U114" i="67"/>
  <c r="V114" i="67"/>
  <c r="AG114" i="67"/>
  <c r="W114" i="67"/>
  <c r="D9" i="68"/>
  <c r="D11" i="63"/>
  <c r="U115" i="67"/>
  <c r="S117" i="67"/>
  <c r="AG116" i="67"/>
  <c r="T116" i="67" s="1"/>
  <c r="U120" i="67"/>
  <c r="Q116" i="67"/>
  <c r="Q117" i="67"/>
  <c r="U116" i="67"/>
  <c r="W115" i="67"/>
  <c r="U117" i="67"/>
  <c r="Q114" i="67"/>
  <c r="T121" i="67"/>
  <c r="S116" i="67"/>
  <c r="V117" i="67"/>
  <c r="AG115" i="67"/>
  <c r="U119" i="67"/>
  <c r="Q115" i="67"/>
  <c r="AG117" i="67"/>
  <c r="T117" i="67" s="1"/>
  <c r="AG113" i="68"/>
  <c r="V113" i="68" s="1"/>
  <c r="Q116" i="68"/>
  <c r="C142" i="74" s="1"/>
  <c r="Q120" i="68"/>
  <c r="C146" i="74" s="1"/>
  <c r="Q117" i="68"/>
  <c r="C143" i="74" s="1"/>
  <c r="Q121" i="68"/>
  <c r="C147" i="74" s="1"/>
  <c r="Q114" i="68"/>
  <c r="C140" i="74" s="1"/>
  <c r="Q118" i="68"/>
  <c r="C144" i="74" s="1"/>
  <c r="Q122" i="68"/>
  <c r="C148" i="74" s="1"/>
  <c r="Q115" i="68"/>
  <c r="C141" i="74" s="1"/>
  <c r="Q119" i="68"/>
  <c r="C145" i="74" s="1"/>
  <c r="AG113" i="63"/>
  <c r="T113" i="63" s="1"/>
  <c r="Q116" i="63"/>
  <c r="C93" i="74" s="1"/>
  <c r="Q120" i="63"/>
  <c r="C97" i="74" s="1"/>
  <c r="Q117" i="63"/>
  <c r="C94" i="74" s="1"/>
  <c r="Q121" i="63"/>
  <c r="C98" i="74" s="1"/>
  <c r="Q119" i="63"/>
  <c r="C96" i="74" s="1"/>
  <c r="Q114" i="63"/>
  <c r="C91" i="74" s="1"/>
  <c r="Q118" i="63"/>
  <c r="C95" i="74" s="1"/>
  <c r="Q122" i="63"/>
  <c r="C99" i="74" s="1"/>
  <c r="Q115" i="63"/>
  <c r="C92" i="74" s="1"/>
  <c r="W42" i="63"/>
  <c r="AC42" i="63" s="1"/>
  <c r="S42" i="63"/>
  <c r="Y42" i="63" s="1"/>
  <c r="T42" i="63"/>
  <c r="Z42" i="63" s="1"/>
  <c r="V42" i="63"/>
  <c r="AB42" i="63" s="1"/>
  <c r="U42" i="63"/>
  <c r="AA42" i="63" s="1"/>
  <c r="T45" i="63"/>
  <c r="Z45" i="63" s="1"/>
  <c r="W45" i="63"/>
  <c r="AC45" i="63" s="1"/>
  <c r="S45" i="63"/>
  <c r="Y45" i="63" s="1"/>
  <c r="V45" i="63"/>
  <c r="AB45" i="63" s="1"/>
  <c r="U45" i="63"/>
  <c r="AA45" i="63" s="1"/>
  <c r="V47" i="63"/>
  <c r="AB47" i="63" s="1"/>
  <c r="U47" i="63"/>
  <c r="AA47" i="63" s="1"/>
  <c r="T47" i="63"/>
  <c r="Z47" i="63" s="1"/>
  <c r="W47" i="63"/>
  <c r="AC47" i="63" s="1"/>
  <c r="S47" i="63"/>
  <c r="Y47" i="63" s="1"/>
  <c r="U48" i="63"/>
  <c r="AA48" i="63" s="1"/>
  <c r="T48" i="63"/>
  <c r="Z48" i="63" s="1"/>
  <c r="W48" i="63"/>
  <c r="AC48" i="63" s="1"/>
  <c r="S48" i="63"/>
  <c r="Y48" i="63" s="1"/>
  <c r="V48" i="63"/>
  <c r="AB48" i="63" s="1"/>
  <c r="T49" i="63"/>
  <c r="Z49" i="63" s="1"/>
  <c r="W49" i="63"/>
  <c r="AC49" i="63" s="1"/>
  <c r="S49" i="63"/>
  <c r="Y49" i="63" s="1"/>
  <c r="V49" i="63"/>
  <c r="AB49" i="63" s="1"/>
  <c r="U49" i="63"/>
  <c r="AA49" i="63" s="1"/>
  <c r="U40" i="63"/>
  <c r="AA40" i="63" s="1"/>
  <c r="V40" i="63"/>
  <c r="AB40" i="63" s="1"/>
  <c r="T40" i="63"/>
  <c r="Z40" i="63" s="1"/>
  <c r="W40" i="63"/>
  <c r="AC40" i="63" s="1"/>
  <c r="S40" i="63"/>
  <c r="T41" i="63"/>
  <c r="Z41" i="63" s="1"/>
  <c r="W41" i="63"/>
  <c r="AC41" i="63" s="1"/>
  <c r="S41" i="63"/>
  <c r="Y41" i="63" s="1"/>
  <c r="V41" i="63"/>
  <c r="AB41" i="63" s="1"/>
  <c r="U41" i="63"/>
  <c r="AA41" i="63" s="1"/>
  <c r="V43" i="63"/>
  <c r="AB43" i="63" s="1"/>
  <c r="W43" i="63"/>
  <c r="AC43" i="63" s="1"/>
  <c r="U43" i="63"/>
  <c r="AA43" i="63" s="1"/>
  <c r="T43" i="63"/>
  <c r="Z43" i="63" s="1"/>
  <c r="S43" i="63"/>
  <c r="Y43" i="63" s="1"/>
  <c r="W46" i="63"/>
  <c r="AC46" i="63" s="1"/>
  <c r="S46" i="63"/>
  <c r="Y46" i="63" s="1"/>
  <c r="T46" i="63"/>
  <c r="Z46" i="63" s="1"/>
  <c r="V46" i="63"/>
  <c r="AB46" i="63" s="1"/>
  <c r="U46" i="63"/>
  <c r="AA46" i="63" s="1"/>
  <c r="W79" i="63"/>
  <c r="S79" i="63"/>
  <c r="V79" i="63"/>
  <c r="U79" i="63"/>
  <c r="T79" i="63"/>
  <c r="AJ95" i="63"/>
  <c r="N95" i="63"/>
  <c r="M95" i="63"/>
  <c r="U44" i="63"/>
  <c r="AA44" i="63" s="1"/>
  <c r="T44" i="63"/>
  <c r="Z44" i="63" s="1"/>
  <c r="W44" i="63"/>
  <c r="AC44" i="63" s="1"/>
  <c r="S44" i="63"/>
  <c r="Y44" i="63" s="1"/>
  <c r="V44" i="63"/>
  <c r="AB44" i="63" s="1"/>
  <c r="AJ96" i="63"/>
  <c r="N96" i="63"/>
  <c r="M96" i="63"/>
  <c r="AJ97" i="63"/>
  <c r="N97" i="63"/>
  <c r="M97" i="63"/>
  <c r="U127" i="63"/>
  <c r="AA127" i="63" s="1"/>
  <c r="T127" i="63"/>
  <c r="Z127" i="63" s="1"/>
  <c r="W127" i="63"/>
  <c r="AC127" i="63" s="1"/>
  <c r="S127" i="63"/>
  <c r="V127" i="63"/>
  <c r="AB127" i="63" s="1"/>
  <c r="W127" i="68"/>
  <c r="AC127" i="68" s="1"/>
  <c r="S127" i="68"/>
  <c r="U127" i="68"/>
  <c r="T127" i="68"/>
  <c r="V127" i="68"/>
  <c r="AB127" i="68" s="1"/>
  <c r="U39" i="63"/>
  <c r="AA39" i="63" s="1"/>
  <c r="T39" i="63"/>
  <c r="Z39" i="63" s="1"/>
  <c r="W39" i="63"/>
  <c r="AC39" i="63" s="1"/>
  <c r="S39" i="63"/>
  <c r="V39" i="63"/>
  <c r="AB39" i="63" s="1"/>
  <c r="T60" i="67"/>
  <c r="AJ97" i="68"/>
  <c r="M97" i="68"/>
  <c r="N97" i="68"/>
  <c r="AJ95" i="68"/>
  <c r="N95" i="68"/>
  <c r="M95" i="68"/>
  <c r="AJ96" i="68"/>
  <c r="N96" i="68"/>
  <c r="M96" i="68"/>
  <c r="R172" i="63"/>
  <c r="R160" i="63"/>
  <c r="AT160" i="63" s="1"/>
  <c r="AT166" i="63" s="1"/>
  <c r="R164" i="63"/>
  <c r="R175" i="63"/>
  <c r="R168" i="63"/>
  <c r="R162" i="63"/>
  <c r="R166" i="63"/>
  <c r="R170" i="63"/>
  <c r="R173" i="63"/>
  <c r="R158" i="63"/>
  <c r="AT158" i="63" s="1"/>
  <c r="AT164" i="63" s="1"/>
  <c r="R174" i="63"/>
  <c r="R163" i="63"/>
  <c r="R167" i="63"/>
  <c r="R171" i="63"/>
  <c r="R159" i="63"/>
  <c r="AT159" i="63" s="1"/>
  <c r="AT165" i="63" s="1"/>
  <c r="V128" i="67"/>
  <c r="AB128" i="67" s="1"/>
  <c r="T128" i="67"/>
  <c r="Z128" i="67" s="1"/>
  <c r="S128" i="67"/>
  <c r="Y128" i="67" s="1"/>
  <c r="U128" i="67"/>
  <c r="AA128" i="67" s="1"/>
  <c r="W128" i="67"/>
  <c r="AC128" i="67" s="1"/>
  <c r="R167" i="68"/>
  <c r="R174" i="68"/>
  <c r="R171" i="68"/>
  <c r="R159" i="68"/>
  <c r="AT159" i="68" s="1"/>
  <c r="AT165" i="68" s="1"/>
  <c r="R163" i="68"/>
  <c r="R170" i="68"/>
  <c r="R158" i="68"/>
  <c r="AT158" i="68" s="1"/>
  <c r="AT164" i="68" s="1"/>
  <c r="R162" i="68"/>
  <c r="R166" i="68"/>
  <c r="R173" i="68"/>
  <c r="R164" i="68"/>
  <c r="R172" i="68"/>
  <c r="R160" i="68"/>
  <c r="AT160" i="68" s="1"/>
  <c r="AT166" i="68" s="1"/>
  <c r="R175" i="68"/>
  <c r="R168" i="68"/>
  <c r="X139" i="68"/>
  <c r="X142" i="68"/>
  <c r="X144" i="68"/>
  <c r="X145" i="68"/>
  <c r="X148" i="68"/>
  <c r="X140" i="68"/>
  <c r="X149" i="68"/>
  <c r="X143" i="68"/>
  <c r="X146" i="68"/>
  <c r="X150" i="68"/>
  <c r="X141" i="68"/>
  <c r="X147" i="68"/>
  <c r="X58" i="63"/>
  <c r="AD58" i="63" s="1"/>
  <c r="D76" i="74" s="1"/>
  <c r="R215" i="63"/>
  <c r="R200" i="63"/>
  <c r="R205" i="63"/>
  <c r="R210" i="63"/>
  <c r="R195" i="63"/>
  <c r="R220" i="63"/>
  <c r="R190" i="63"/>
  <c r="R185" i="63"/>
  <c r="R209" i="63"/>
  <c r="R214" i="63"/>
  <c r="R199" i="63"/>
  <c r="R184" i="63"/>
  <c r="R219" i="63"/>
  <c r="R204" i="63"/>
  <c r="R189" i="63"/>
  <c r="R194" i="63"/>
  <c r="R211" i="63"/>
  <c r="R196" i="63"/>
  <c r="R216" i="63"/>
  <c r="R201" i="63"/>
  <c r="R186" i="63"/>
  <c r="R221" i="63"/>
  <c r="R206" i="63"/>
  <c r="R191" i="63"/>
  <c r="S60" i="67"/>
  <c r="W60" i="63"/>
  <c r="W60" i="68"/>
  <c r="X57" i="68"/>
  <c r="U60" i="68"/>
  <c r="U60" i="63"/>
  <c r="S60" i="68"/>
  <c r="X58" i="68"/>
  <c r="AD58" i="68" s="1"/>
  <c r="D125" i="74" s="1"/>
  <c r="T60" i="68"/>
  <c r="X59" i="68"/>
  <c r="AD59" i="68" s="1"/>
  <c r="D126" i="74" s="1"/>
  <c r="T60" i="63"/>
  <c r="X57" i="63"/>
  <c r="X59" i="63"/>
  <c r="AD59" i="63" s="1"/>
  <c r="D77" i="74" s="1"/>
  <c r="W60" i="67"/>
  <c r="X57" i="67"/>
  <c r="X58" i="67"/>
  <c r="AD58" i="67" s="1"/>
  <c r="D27" i="74" s="1"/>
  <c r="X59" i="67"/>
  <c r="AD59" i="67" s="1"/>
  <c r="D28" i="74" s="1"/>
  <c r="U60" i="67"/>
  <c r="V60" i="67"/>
  <c r="Q113" i="63"/>
  <c r="C90" i="74" s="1"/>
  <c r="Q113" i="68"/>
  <c r="C139" i="74" s="1"/>
  <c r="X145" i="63"/>
  <c r="X149" i="63"/>
  <c r="X142" i="63"/>
  <c r="X144" i="63"/>
  <c r="X148" i="63"/>
  <c r="X140" i="63"/>
  <c r="X146" i="63"/>
  <c r="X150" i="63"/>
  <c r="X139" i="63"/>
  <c r="X141" i="63"/>
  <c r="X143" i="63"/>
  <c r="X147" i="63"/>
  <c r="X77" i="63"/>
  <c r="AM79" i="67"/>
  <c r="AN79" i="67"/>
  <c r="U79" i="67" s="1"/>
  <c r="AO79" i="67"/>
  <c r="V79" i="67" s="1"/>
  <c r="AP79" i="67"/>
  <c r="W79" i="67" s="1"/>
  <c r="AQ79" i="67"/>
  <c r="AL79" i="67"/>
  <c r="AM80" i="67"/>
  <c r="AN80" i="67"/>
  <c r="AO80" i="67"/>
  <c r="AP80" i="67"/>
  <c r="AQ80" i="67"/>
  <c r="AL80" i="67"/>
  <c r="C42" i="74" l="1"/>
  <c r="C43" i="74"/>
  <c r="C48" i="74"/>
  <c r="C47" i="74"/>
  <c r="C45" i="74"/>
  <c r="C50" i="74"/>
  <c r="C44" i="74"/>
  <c r="C46" i="74"/>
  <c r="C41" i="74"/>
  <c r="C49" i="74"/>
  <c r="U88" i="67"/>
  <c r="W88" i="67"/>
  <c r="S79" i="67"/>
  <c r="T113" i="68"/>
  <c r="U114" i="68"/>
  <c r="U114" i="63"/>
  <c r="V116" i="68"/>
  <c r="U115" i="68"/>
  <c r="T116" i="68"/>
  <c r="U115" i="63"/>
  <c r="S115" i="63"/>
  <c r="V88" i="67"/>
  <c r="T79" i="67"/>
  <c r="W119" i="67"/>
  <c r="X79" i="68"/>
  <c r="AD79" i="68" s="1"/>
  <c r="D133" i="74" s="1"/>
  <c r="X83" i="68"/>
  <c r="J144" i="68"/>
  <c r="U88" i="63"/>
  <c r="D10" i="68"/>
  <c r="D11" i="68"/>
  <c r="AJ162" i="63"/>
  <c r="AJ166" i="63"/>
  <c r="AJ152" i="63"/>
  <c r="T88" i="68"/>
  <c r="W88" i="68"/>
  <c r="S88" i="68"/>
  <c r="U88" i="68"/>
  <c r="V88" i="68"/>
  <c r="T97" i="63"/>
  <c r="Z97" i="63" s="1"/>
  <c r="W97" i="63"/>
  <c r="AC97" i="63" s="1"/>
  <c r="S97" i="63"/>
  <c r="Y97" i="63" s="1"/>
  <c r="V97" i="63"/>
  <c r="AB97" i="63" s="1"/>
  <c r="U97" i="63"/>
  <c r="AA97" i="63" s="1"/>
  <c r="T95" i="63"/>
  <c r="Z95" i="63" s="1"/>
  <c r="W95" i="63"/>
  <c r="AC95" i="63" s="1"/>
  <c r="S95" i="63"/>
  <c r="Y95" i="63" s="1"/>
  <c r="V95" i="63"/>
  <c r="AB95" i="63" s="1"/>
  <c r="U95" i="63"/>
  <c r="AA95" i="63" s="1"/>
  <c r="V88" i="63"/>
  <c r="S88" i="63"/>
  <c r="AJ153" i="63"/>
  <c r="AJ154" i="63"/>
  <c r="T88" i="63"/>
  <c r="W88" i="63"/>
  <c r="V96" i="63"/>
  <c r="AB96" i="63" s="1"/>
  <c r="U96" i="63"/>
  <c r="AA96" i="63" s="1"/>
  <c r="T96" i="63"/>
  <c r="Z96" i="63" s="1"/>
  <c r="W96" i="63"/>
  <c r="AC96" i="63" s="1"/>
  <c r="S96" i="63"/>
  <c r="Y96" i="63" s="1"/>
  <c r="X60" i="68"/>
  <c r="AJ159" i="68"/>
  <c r="AJ156" i="68"/>
  <c r="AJ157" i="68"/>
  <c r="AJ158" i="68"/>
  <c r="V96" i="68"/>
  <c r="AB96" i="68" s="1"/>
  <c r="U96" i="68"/>
  <c r="AA96" i="68" s="1"/>
  <c r="T96" i="68"/>
  <c r="Z96" i="68" s="1"/>
  <c r="W96" i="68"/>
  <c r="AC96" i="68" s="1"/>
  <c r="S96" i="68"/>
  <c r="Y96" i="68" s="1"/>
  <c r="W97" i="68"/>
  <c r="AC97" i="68" s="1"/>
  <c r="S97" i="68"/>
  <c r="Y97" i="68" s="1"/>
  <c r="V97" i="68"/>
  <c r="AB97" i="68" s="1"/>
  <c r="U97" i="68"/>
  <c r="AA97" i="68" s="1"/>
  <c r="T97" i="68"/>
  <c r="Z97" i="68" s="1"/>
  <c r="U95" i="68"/>
  <c r="AA95" i="68" s="1"/>
  <c r="T95" i="68"/>
  <c r="Z95" i="68" s="1"/>
  <c r="W95" i="68"/>
  <c r="AC95" i="68" s="1"/>
  <c r="S95" i="68"/>
  <c r="Y95" i="68" s="1"/>
  <c r="V95" i="68"/>
  <c r="AB95" i="68" s="1"/>
  <c r="AJ156" i="63"/>
  <c r="AJ159" i="63"/>
  <c r="AJ157" i="63"/>
  <c r="AJ165" i="63"/>
  <c r="AJ161" i="63"/>
  <c r="AJ155" i="63"/>
  <c r="AJ158" i="63"/>
  <c r="AJ160" i="63"/>
  <c r="AJ163" i="63"/>
  <c r="AJ167" i="63"/>
  <c r="AJ164" i="63"/>
  <c r="X60" i="63"/>
  <c r="X45" i="63"/>
  <c r="AD45" i="63" s="1"/>
  <c r="D67" i="74" s="1"/>
  <c r="X41" i="63"/>
  <c r="AD41" i="63" s="1"/>
  <c r="D63" i="74" s="1"/>
  <c r="X60" i="67"/>
  <c r="X104" i="68"/>
  <c r="AD104" i="68" s="1"/>
  <c r="X49" i="68"/>
  <c r="AD49" i="68" s="1"/>
  <c r="D120" i="74" s="1"/>
  <c r="X105" i="68"/>
  <c r="AD105" i="68" s="1"/>
  <c r="X105" i="63"/>
  <c r="AD105" i="63" s="1"/>
  <c r="X40" i="63"/>
  <c r="X49" i="63"/>
  <c r="AD49" i="63" s="1"/>
  <c r="D71" i="74" s="1"/>
  <c r="X83" i="63"/>
  <c r="AD83" i="63" s="1"/>
  <c r="D85" i="74" s="1"/>
  <c r="X47" i="68"/>
  <c r="AD47" i="68" s="1"/>
  <c r="D118" i="74" s="1"/>
  <c r="X45" i="68"/>
  <c r="AD45" i="68" s="1"/>
  <c r="D116" i="74" s="1"/>
  <c r="X44" i="68"/>
  <c r="AD44" i="68" s="1"/>
  <c r="D115" i="74" s="1"/>
  <c r="X106" i="68"/>
  <c r="AD106" i="68" s="1"/>
  <c r="X48" i="68"/>
  <c r="AD48" i="68" s="1"/>
  <c r="D119" i="74" s="1"/>
  <c r="S107" i="68"/>
  <c r="V107" i="68"/>
  <c r="X94" i="68"/>
  <c r="AD94" i="68" s="1"/>
  <c r="D135" i="74" s="1"/>
  <c r="W107" i="68"/>
  <c r="X41" i="68"/>
  <c r="AD41" i="68" s="1"/>
  <c r="D112" i="74" s="1"/>
  <c r="X40" i="68"/>
  <c r="AD40" i="68" s="1"/>
  <c r="D111" i="74" s="1"/>
  <c r="X42" i="68"/>
  <c r="AD42" i="68" s="1"/>
  <c r="D113" i="74" s="1"/>
  <c r="X46" i="68"/>
  <c r="AD46" i="68" s="1"/>
  <c r="D117" i="74" s="1"/>
  <c r="T107" i="68"/>
  <c r="U107" i="68"/>
  <c r="X43" i="68"/>
  <c r="AD43" i="68" s="1"/>
  <c r="D114" i="74" s="1"/>
  <c r="X39" i="68"/>
  <c r="U107" i="63"/>
  <c r="X44" i="63"/>
  <c r="AD44" i="63" s="1"/>
  <c r="D66" i="74" s="1"/>
  <c r="T107" i="63"/>
  <c r="X46" i="63"/>
  <c r="AD46" i="63" s="1"/>
  <c r="D68" i="74" s="1"/>
  <c r="X42" i="63"/>
  <c r="AD42" i="63" s="1"/>
  <c r="D64" i="74" s="1"/>
  <c r="X47" i="63"/>
  <c r="AD47" i="63" s="1"/>
  <c r="D69" i="74" s="1"/>
  <c r="X39" i="63"/>
  <c r="S107" i="63"/>
  <c r="X104" i="63"/>
  <c r="X106" i="63"/>
  <c r="AD106" i="63" s="1"/>
  <c r="W107" i="63"/>
  <c r="X43" i="63"/>
  <c r="AD43" i="63" s="1"/>
  <c r="D65" i="74" s="1"/>
  <c r="X94" i="63"/>
  <c r="AD94" i="63" s="1"/>
  <c r="D86" i="74" s="1"/>
  <c r="V107" i="63"/>
  <c r="X48" i="63"/>
  <c r="AD48" i="63" s="1"/>
  <c r="D70" i="74" s="1"/>
  <c r="X79" i="63"/>
  <c r="AD79" i="63" s="1"/>
  <c r="D84" i="74" s="1"/>
  <c r="AH95" i="67"/>
  <c r="AH97" i="67"/>
  <c r="M97" i="67" s="1"/>
  <c r="AH96" i="67"/>
  <c r="F41" i="45"/>
  <c r="F45" i="45" s="1"/>
  <c r="F47" i="45" s="1"/>
  <c r="F20" i="45"/>
  <c r="F24" i="45" s="1"/>
  <c r="F26" i="45" s="1"/>
  <c r="AJ170" i="63" l="1"/>
  <c r="S88" i="67"/>
  <c r="X79" i="67"/>
  <c r="T88" i="67"/>
  <c r="X88" i="68"/>
  <c r="D13" i="47"/>
  <c r="D7" i="47"/>
  <c r="AJ155" i="68"/>
  <c r="W98" i="63"/>
  <c r="AJ167" i="68"/>
  <c r="AJ160" i="68"/>
  <c r="AJ164" i="68"/>
  <c r="AJ153" i="68"/>
  <c r="AJ162" i="68"/>
  <c r="AJ165" i="68"/>
  <c r="AJ152" i="68"/>
  <c r="AJ161" i="68"/>
  <c r="AJ163" i="68"/>
  <c r="AJ166" i="68"/>
  <c r="AJ154" i="68"/>
  <c r="X88" i="63"/>
  <c r="X95" i="63"/>
  <c r="AD95" i="63" s="1"/>
  <c r="D87" i="74" s="1"/>
  <c r="S98" i="63"/>
  <c r="W98" i="68"/>
  <c r="X97" i="63"/>
  <c r="AD97" i="63" s="1"/>
  <c r="D89" i="74" s="1"/>
  <c r="U98" i="63"/>
  <c r="S98" i="68"/>
  <c r="V98" i="63"/>
  <c r="T98" i="63"/>
  <c r="X96" i="63"/>
  <c r="AD96" i="63" s="1"/>
  <c r="D88" i="74" s="1"/>
  <c r="X96" i="68"/>
  <c r="AD96" i="68" s="1"/>
  <c r="D137" i="74" s="1"/>
  <c r="U98" i="68"/>
  <c r="V98" i="68"/>
  <c r="X97" i="68"/>
  <c r="AD97" i="68" s="1"/>
  <c r="D138" i="74" s="1"/>
  <c r="X95" i="68"/>
  <c r="AD95" i="68" s="1"/>
  <c r="D136" i="74" s="1"/>
  <c r="X107" i="68"/>
  <c r="T98" i="68"/>
  <c r="X107" i="63"/>
  <c r="AJ170" i="68" l="1"/>
  <c r="X88" i="67"/>
  <c r="AD79" i="67"/>
  <c r="D35" i="74" s="1"/>
  <c r="X98" i="63"/>
  <c r="X98" i="68"/>
  <c r="R220" i="68"/>
  <c r="R219" i="68"/>
  <c r="R215" i="68"/>
  <c r="R214" i="68"/>
  <c r="R210" i="68"/>
  <c r="R209" i="68"/>
  <c r="R205" i="68"/>
  <c r="R204" i="68"/>
  <c r="R200" i="68"/>
  <c r="R199" i="68"/>
  <c r="R195" i="68"/>
  <c r="R194" i="68"/>
  <c r="R190" i="68"/>
  <c r="R189" i="68"/>
  <c r="R185" i="68"/>
  <c r="R184" i="68"/>
  <c r="AI167" i="68"/>
  <c r="AH164" i="68"/>
  <c r="AI164" i="68" s="1"/>
  <c r="AI163" i="68"/>
  <c r="AH162" i="68"/>
  <c r="AI162" i="68" s="1"/>
  <c r="AI159" i="68"/>
  <c r="AI155" i="68"/>
  <c r="AH153" i="68"/>
  <c r="AI153" i="68" s="1"/>
  <c r="AH166" i="68"/>
  <c r="AI166" i="68" s="1"/>
  <c r="AH152" i="68"/>
  <c r="AI152" i="68" s="1"/>
  <c r="AI167" i="63"/>
  <c r="AI163" i="63"/>
  <c r="AI159" i="63"/>
  <c r="AH158" i="63"/>
  <c r="AI158" i="63" s="1"/>
  <c r="AI155" i="63"/>
  <c r="AH154" i="63"/>
  <c r="AI154" i="63" s="1"/>
  <c r="AH161" i="63"/>
  <c r="AI161" i="63" s="1"/>
  <c r="AH166" i="63"/>
  <c r="AI166" i="63" s="1"/>
  <c r="AH164" i="63"/>
  <c r="AI164" i="63" s="1"/>
  <c r="R196" i="68" l="1"/>
  <c r="R221" i="68"/>
  <c r="R186" i="68"/>
  <c r="R191" i="68"/>
  <c r="R206" i="68"/>
  <c r="R201" i="68"/>
  <c r="R211" i="68"/>
  <c r="R216" i="68"/>
  <c r="AH154" i="68"/>
  <c r="AI154" i="68" s="1"/>
  <c r="AH156" i="68"/>
  <c r="AI156" i="68" s="1"/>
  <c r="AH158" i="68"/>
  <c r="AI158" i="68" s="1"/>
  <c r="AH160" i="68"/>
  <c r="AI160" i="68" s="1"/>
  <c r="AH165" i="68"/>
  <c r="AI165" i="68" s="1"/>
  <c r="AH157" i="68"/>
  <c r="AI157" i="68" s="1"/>
  <c r="AH161" i="68"/>
  <c r="AI161" i="68" s="1"/>
  <c r="AH165" i="63"/>
  <c r="AI165" i="63" s="1"/>
  <c r="AH160" i="63"/>
  <c r="AI160" i="63" s="1"/>
  <c r="AH156" i="63"/>
  <c r="AI156" i="63" s="1"/>
  <c r="AH162" i="63"/>
  <c r="AI162" i="63" s="1"/>
  <c r="AH152" i="63"/>
  <c r="AI152" i="63" s="1"/>
  <c r="AH153" i="63"/>
  <c r="AI153" i="63" s="1"/>
  <c r="AH157" i="63"/>
  <c r="AI157" i="63" s="1"/>
  <c r="AI163" i="67"/>
  <c r="V218" i="63" l="1"/>
  <c r="T219" i="63"/>
  <c r="U219" i="63"/>
  <c r="W218" i="63"/>
  <c r="S218" i="63"/>
  <c r="U208" i="63"/>
  <c r="S208" i="63"/>
  <c r="V208" i="63"/>
  <c r="W208" i="63"/>
  <c r="T208" i="63"/>
  <c r="V210" i="63"/>
  <c r="T218" i="63"/>
  <c r="U218" i="63"/>
  <c r="V220" i="63"/>
  <c r="W219" i="63"/>
  <c r="S219" i="63"/>
  <c r="U211" i="63"/>
  <c r="W209" i="63"/>
  <c r="T221" i="63"/>
  <c r="U221" i="63"/>
  <c r="V221" i="63"/>
  <c r="W221" i="63"/>
  <c r="S221" i="63"/>
  <c r="U210" i="63"/>
  <c r="S210" i="63"/>
  <c r="V209" i="63"/>
  <c r="W211" i="63"/>
  <c r="T210" i="63"/>
  <c r="S211" i="63"/>
  <c r="T211" i="63"/>
  <c r="T220" i="63"/>
  <c r="U220" i="63"/>
  <c r="V219" i="63"/>
  <c r="W220" i="63"/>
  <c r="S220" i="63"/>
  <c r="U209" i="63"/>
  <c r="S209" i="63"/>
  <c r="V211" i="63"/>
  <c r="W210" i="63"/>
  <c r="T209" i="63"/>
  <c r="U205" i="63"/>
  <c r="W206" i="63"/>
  <c r="V204" i="63"/>
  <c r="T206" i="63"/>
  <c r="S206" i="63"/>
  <c r="S205" i="63"/>
  <c r="U204" i="63"/>
  <c r="W205" i="63"/>
  <c r="V206" i="63"/>
  <c r="U206" i="63"/>
  <c r="W204" i="63"/>
  <c r="V205" i="63"/>
  <c r="T204" i="63"/>
  <c r="S204" i="63"/>
  <c r="U203" i="63"/>
  <c r="W203" i="63"/>
  <c r="V203" i="63"/>
  <c r="T203" i="63"/>
  <c r="S203" i="63"/>
  <c r="T205" i="63"/>
  <c r="X150" i="67"/>
  <c r="X142" i="67"/>
  <c r="X146" i="67"/>
  <c r="G7" i="47"/>
  <c r="G13" i="47" s="1"/>
  <c r="G19" i="47" s="1"/>
  <c r="B13" i="47"/>
  <c r="B19" i="47" s="1"/>
  <c r="X208" i="63" l="1"/>
  <c r="X204" i="63"/>
  <c r="X205" i="63"/>
  <c r="X219" i="63"/>
  <c r="X203" i="63"/>
  <c r="X220" i="63"/>
  <c r="X221" i="63"/>
  <c r="X206" i="63"/>
  <c r="X209" i="63"/>
  <c r="X211" i="63"/>
  <c r="X210" i="63"/>
  <c r="X218" i="63"/>
  <c r="AJ167" i="67"/>
  <c r="AJ166" i="67"/>
  <c r="AJ165" i="67"/>
  <c r="AJ164" i="67"/>
  <c r="L194" i="63" l="1"/>
  <c r="L194" i="68"/>
  <c r="O104" i="67"/>
  <c r="O97" i="67"/>
  <c r="O96" i="67"/>
  <c r="O95" i="67"/>
  <c r="E97" i="67"/>
  <c r="E96" i="67"/>
  <c r="E95" i="67"/>
  <c r="T105" i="67" l="1"/>
  <c r="Z105" i="67" s="1"/>
  <c r="U105" i="67"/>
  <c r="AA105" i="67" s="1"/>
  <c r="S105" i="67"/>
  <c r="Y105" i="67" s="1"/>
  <c r="W105" i="67"/>
  <c r="AC105" i="67" s="1"/>
  <c r="V105" i="67"/>
  <c r="AB105" i="67" s="1"/>
  <c r="W104" i="67"/>
  <c r="AC104" i="67" s="1"/>
  <c r="U104" i="67"/>
  <c r="AA104" i="67" s="1"/>
  <c r="T104" i="67"/>
  <c r="Z104" i="67" s="1"/>
  <c r="V104" i="67"/>
  <c r="AB104" i="67" s="1"/>
  <c r="S106" i="67"/>
  <c r="Y106" i="67" s="1"/>
  <c r="W106" i="67"/>
  <c r="AC106" i="67" s="1"/>
  <c r="T106" i="67"/>
  <c r="Z106" i="67" s="1"/>
  <c r="U106" i="67"/>
  <c r="AA106" i="67" s="1"/>
  <c r="V106" i="67"/>
  <c r="AB106" i="67" s="1"/>
  <c r="O106" i="67"/>
  <c r="L13" i="8"/>
  <c r="K13" i="8"/>
  <c r="L11" i="8"/>
  <c r="K11" i="8"/>
  <c r="J11" i="8" s="1"/>
  <c r="M11" i="8" s="1"/>
  <c r="L9" i="8"/>
  <c r="K9" i="8"/>
  <c r="J9" i="8" s="1"/>
  <c r="M9" i="8" s="1"/>
  <c r="E23" i="67"/>
  <c r="O23" i="67" s="1"/>
  <c r="L5" i="8"/>
  <c r="J5" i="8"/>
  <c r="J13" i="8" l="1"/>
  <c r="M13" i="8" s="1"/>
  <c r="K6" i="8"/>
  <c r="J6" i="8" s="1"/>
  <c r="M6" i="8" s="1"/>
  <c r="K7" i="8"/>
  <c r="J7" i="8" s="1"/>
  <c r="M7" i="8" s="1"/>
  <c r="M23" i="67"/>
  <c r="K8" i="8"/>
  <c r="J8" i="8" s="1"/>
  <c r="M8" i="8" s="1"/>
  <c r="L10" i="8"/>
  <c r="N10" i="8" s="1"/>
  <c r="P10" i="8" s="1"/>
  <c r="S113" i="68" s="1"/>
  <c r="L12" i="8"/>
  <c r="N12" i="8" s="1"/>
  <c r="P12" i="8" s="1"/>
  <c r="N23" i="67"/>
  <c r="S23" i="67" s="1"/>
  <c r="L8" i="8"/>
  <c r="N8" i="8" s="1"/>
  <c r="P8" i="8" s="1"/>
  <c r="K10" i="8"/>
  <c r="J10" i="8" s="1"/>
  <c r="M10" i="8" s="1"/>
  <c r="K12" i="8"/>
  <c r="J12" i="8" s="1"/>
  <c r="M12" i="8" s="1"/>
  <c r="L6" i="8"/>
  <c r="N6" i="8" s="1"/>
  <c r="P6" i="8" s="1"/>
  <c r="S114" i="67" s="1"/>
  <c r="L7" i="8"/>
  <c r="N69" i="68"/>
  <c r="N67" i="68"/>
  <c r="N31" i="68"/>
  <c r="N70" i="63"/>
  <c r="N69" i="63"/>
  <c r="N68" i="63"/>
  <c r="N67" i="63"/>
  <c r="N66" i="63"/>
  <c r="N68" i="68"/>
  <c r="N66" i="68"/>
  <c r="N23" i="68"/>
  <c r="N70" i="68"/>
  <c r="N32" i="68"/>
  <c r="N67" i="67"/>
  <c r="N66" i="67"/>
  <c r="L17" i="8"/>
  <c r="L21" i="8"/>
  <c r="L25" i="8"/>
  <c r="L29" i="8"/>
  <c r="N70" i="67"/>
  <c r="N31" i="67"/>
  <c r="L14" i="8"/>
  <c r="N14" i="8" s="1"/>
  <c r="P14" i="8" s="1"/>
  <c r="L18" i="8"/>
  <c r="N18" i="8" s="1"/>
  <c r="P18" i="8" s="1"/>
  <c r="L22" i="8"/>
  <c r="N22" i="8" s="1"/>
  <c r="P22" i="8" s="1"/>
  <c r="L26" i="8"/>
  <c r="N26" i="8" s="1"/>
  <c r="P26" i="8" s="1"/>
  <c r="L30" i="8"/>
  <c r="N30" i="8" s="1"/>
  <c r="P30" i="8" s="1"/>
  <c r="N69" i="67"/>
  <c r="L15" i="8"/>
  <c r="L19" i="8"/>
  <c r="L23" i="8"/>
  <c r="L27" i="8"/>
  <c r="N68" i="67"/>
  <c r="L16" i="8"/>
  <c r="N16" i="8" s="1"/>
  <c r="P16" i="8" s="1"/>
  <c r="L20" i="8"/>
  <c r="N20" i="8" s="1"/>
  <c r="P20" i="8" s="1"/>
  <c r="L24" i="8"/>
  <c r="N24" i="8" s="1"/>
  <c r="P24" i="8" s="1"/>
  <c r="L28" i="8"/>
  <c r="N28" i="8" s="1"/>
  <c r="P28" i="8" s="1"/>
  <c r="M32" i="68"/>
  <c r="M69" i="68"/>
  <c r="M67" i="68"/>
  <c r="M52" i="68"/>
  <c r="M31" i="68"/>
  <c r="M70" i="63"/>
  <c r="M69" i="63"/>
  <c r="M68" i="63"/>
  <c r="M67" i="63"/>
  <c r="M66" i="63"/>
  <c r="M68" i="68"/>
  <c r="M66" i="68"/>
  <c r="M51" i="68"/>
  <c r="M23" i="68"/>
  <c r="M70" i="68"/>
  <c r="M50" i="68"/>
  <c r="M70" i="67"/>
  <c r="M31" i="67"/>
  <c r="M69" i="67"/>
  <c r="M66" i="67"/>
  <c r="K21" i="8"/>
  <c r="J21" i="8" s="1"/>
  <c r="M21" i="8" s="1"/>
  <c r="K29" i="8"/>
  <c r="J29" i="8" s="1"/>
  <c r="M29" i="8" s="1"/>
  <c r="K14" i="8"/>
  <c r="J14" i="8" s="1"/>
  <c r="M14" i="8" s="1"/>
  <c r="K18" i="8"/>
  <c r="J18" i="8" s="1"/>
  <c r="M18" i="8" s="1"/>
  <c r="K22" i="8"/>
  <c r="J22" i="8" s="1"/>
  <c r="M22" i="8" s="1"/>
  <c r="K26" i="8"/>
  <c r="J26" i="8" s="1"/>
  <c r="M26" i="8" s="1"/>
  <c r="M68" i="67"/>
  <c r="K30" i="8"/>
  <c r="J30" i="8" s="1"/>
  <c r="M30" i="8" s="1"/>
  <c r="M67" i="67"/>
  <c r="K15" i="8"/>
  <c r="J15" i="8" s="1"/>
  <c r="M15" i="8" s="1"/>
  <c r="K19" i="8"/>
  <c r="J19" i="8" s="1"/>
  <c r="M19" i="8" s="1"/>
  <c r="K23" i="8"/>
  <c r="J23" i="8" s="1"/>
  <c r="M23" i="8" s="1"/>
  <c r="K27" i="8"/>
  <c r="J27" i="8" s="1"/>
  <c r="M27" i="8" s="1"/>
  <c r="K16" i="8"/>
  <c r="J16" i="8" s="1"/>
  <c r="M16" i="8" s="1"/>
  <c r="K20" i="8"/>
  <c r="J20" i="8" s="1"/>
  <c r="M20" i="8" s="1"/>
  <c r="K24" i="8"/>
  <c r="J24" i="8" s="1"/>
  <c r="M24" i="8" s="1"/>
  <c r="K28" i="8"/>
  <c r="J28" i="8" s="1"/>
  <c r="M28" i="8" s="1"/>
  <c r="K17" i="8"/>
  <c r="J17" i="8" s="1"/>
  <c r="M17" i="8" s="1"/>
  <c r="K25" i="8"/>
  <c r="J25" i="8" s="1"/>
  <c r="M25" i="8" s="1"/>
  <c r="M51" i="67"/>
  <c r="M52" i="67"/>
  <c r="N51" i="67"/>
  <c r="N52" i="67"/>
  <c r="M32" i="67"/>
  <c r="M50" i="67"/>
  <c r="O32" i="67"/>
  <c r="O50" i="67"/>
  <c r="N32" i="67"/>
  <c r="N50" i="67"/>
  <c r="M8" i="47"/>
  <c r="C17" i="47"/>
  <c r="B17" i="47"/>
  <c r="M10" i="47"/>
  <c r="M7" i="47"/>
  <c r="H11" i="47"/>
  <c r="G11" i="47"/>
  <c r="C11" i="47"/>
  <c r="B11" i="47"/>
  <c r="M9" i="47"/>
  <c r="M6" i="47"/>
  <c r="H5" i="47"/>
  <c r="G5" i="47"/>
  <c r="C5" i="47"/>
  <c r="B5" i="47"/>
  <c r="Q147" i="67"/>
  <c r="Q143" i="67"/>
  <c r="V114" i="68" l="1"/>
  <c r="T115" i="68"/>
  <c r="V115" i="67"/>
  <c r="V116" i="67"/>
  <c r="T122" i="67"/>
  <c r="T119" i="67"/>
  <c r="W118" i="67"/>
  <c r="W116" i="67"/>
  <c r="V50" i="67"/>
  <c r="AB50" i="67" s="1"/>
  <c r="S50" i="67"/>
  <c r="W50" i="67"/>
  <c r="AC50" i="67" s="1"/>
  <c r="T50" i="67"/>
  <c r="Z50" i="67" s="1"/>
  <c r="U50" i="67"/>
  <c r="AA50" i="67" s="1"/>
  <c r="W52" i="67"/>
  <c r="AC52" i="67" s="1"/>
  <c r="T52" i="67"/>
  <c r="Z52" i="67" s="1"/>
  <c r="U52" i="67"/>
  <c r="AA52" i="67" s="1"/>
  <c r="V52" i="67"/>
  <c r="AB52" i="67" s="1"/>
  <c r="S52" i="67"/>
  <c r="Y52" i="67" s="1"/>
  <c r="W31" i="67"/>
  <c r="AC31" i="67" s="1"/>
  <c r="V31" i="67"/>
  <c r="AB31" i="67" s="1"/>
  <c r="U31" i="67"/>
  <c r="AA31" i="67" s="1"/>
  <c r="S31" i="67"/>
  <c r="T31" i="67"/>
  <c r="Z31" i="67" s="1"/>
  <c r="W32" i="68"/>
  <c r="AC32" i="68" s="1"/>
  <c r="U32" i="68"/>
  <c r="AA32" i="68" s="1"/>
  <c r="S32" i="68"/>
  <c r="Y32" i="68" s="1"/>
  <c r="V32" i="68"/>
  <c r="AB32" i="68" s="1"/>
  <c r="T32" i="68"/>
  <c r="Z32" i="68" s="1"/>
  <c r="V51" i="68"/>
  <c r="AB51" i="68" s="1"/>
  <c r="T51" i="68"/>
  <c r="Z51" i="68" s="1"/>
  <c r="S51" i="68"/>
  <c r="Y51" i="68" s="1"/>
  <c r="U51" i="68"/>
  <c r="AA51" i="68" s="1"/>
  <c r="W51" i="68"/>
  <c r="AC51" i="68" s="1"/>
  <c r="V67" i="63"/>
  <c r="AB67" i="63" s="1"/>
  <c r="U67" i="63"/>
  <c r="AA67" i="63" s="1"/>
  <c r="T67" i="63"/>
  <c r="Z67" i="63" s="1"/>
  <c r="W67" i="63"/>
  <c r="AC67" i="63" s="1"/>
  <c r="S67" i="63"/>
  <c r="Y67" i="63" s="1"/>
  <c r="U31" i="68"/>
  <c r="AA31" i="68" s="1"/>
  <c r="S31" i="68"/>
  <c r="Y31" i="68" s="1"/>
  <c r="W31" i="68"/>
  <c r="AC31" i="68" s="1"/>
  <c r="T31" i="68"/>
  <c r="Z31" i="68" s="1"/>
  <c r="V31" i="68"/>
  <c r="AB31" i="68" s="1"/>
  <c r="V51" i="67"/>
  <c r="AB51" i="67" s="1"/>
  <c r="W51" i="67"/>
  <c r="AC51" i="67" s="1"/>
  <c r="T51" i="67"/>
  <c r="Z51" i="67" s="1"/>
  <c r="S51" i="67"/>
  <c r="Y51" i="67" s="1"/>
  <c r="U51" i="67"/>
  <c r="AA51" i="67" s="1"/>
  <c r="T68" i="67"/>
  <c r="Z68" i="67" s="1"/>
  <c r="U68" i="67"/>
  <c r="AA68" i="67" s="1"/>
  <c r="V68" i="67"/>
  <c r="AB68" i="67" s="1"/>
  <c r="S68" i="67"/>
  <c r="Y68" i="67" s="1"/>
  <c r="W68" i="67"/>
  <c r="AC68" i="67" s="1"/>
  <c r="S70" i="67"/>
  <c r="Y70" i="67" s="1"/>
  <c r="T70" i="67"/>
  <c r="Z70" i="67" s="1"/>
  <c r="U70" i="67"/>
  <c r="AA70" i="67" s="1"/>
  <c r="V70" i="67"/>
  <c r="AB70" i="67" s="1"/>
  <c r="W70" i="67"/>
  <c r="AC70" i="67" s="1"/>
  <c r="U50" i="68"/>
  <c r="AA50" i="68" s="1"/>
  <c r="W50" i="68"/>
  <c r="AC50" i="68" s="1"/>
  <c r="V50" i="68"/>
  <c r="AB50" i="68" s="1"/>
  <c r="T50" i="68"/>
  <c r="Z50" i="68" s="1"/>
  <c r="S50" i="68"/>
  <c r="Y50" i="68" s="1"/>
  <c r="V66" i="68"/>
  <c r="AB66" i="68" s="1"/>
  <c r="W66" i="68"/>
  <c r="AC66" i="68" s="1"/>
  <c r="U66" i="68"/>
  <c r="AA66" i="68" s="1"/>
  <c r="S66" i="68"/>
  <c r="Y66" i="68" s="1"/>
  <c r="T66" i="68"/>
  <c r="Z66" i="68" s="1"/>
  <c r="T68" i="63"/>
  <c r="Z68" i="63" s="1"/>
  <c r="W68" i="63"/>
  <c r="AC68" i="63" s="1"/>
  <c r="S68" i="63"/>
  <c r="Y68" i="63" s="1"/>
  <c r="V68" i="63"/>
  <c r="AB68" i="63" s="1"/>
  <c r="U68" i="63"/>
  <c r="AA68" i="63" s="1"/>
  <c r="T52" i="68"/>
  <c r="Z52" i="68" s="1"/>
  <c r="V52" i="68"/>
  <c r="AB52" i="68" s="1"/>
  <c r="U52" i="68"/>
  <c r="AA52" i="68" s="1"/>
  <c r="S52" i="68"/>
  <c r="Y52" i="68" s="1"/>
  <c r="W52" i="68"/>
  <c r="AC52" i="68" s="1"/>
  <c r="U32" i="67"/>
  <c r="AA32" i="67" s="1"/>
  <c r="V32" i="67"/>
  <c r="AB32" i="67" s="1"/>
  <c r="W32" i="67"/>
  <c r="AC32" i="67" s="1"/>
  <c r="T32" i="67"/>
  <c r="Z32" i="67" s="1"/>
  <c r="S32" i="67"/>
  <c r="V51" i="63"/>
  <c r="AB51" i="63" s="1"/>
  <c r="U51" i="63"/>
  <c r="AA51" i="63" s="1"/>
  <c r="T51" i="63"/>
  <c r="Z51" i="63" s="1"/>
  <c r="W51" i="63"/>
  <c r="AC51" i="63" s="1"/>
  <c r="S51" i="63"/>
  <c r="Y51" i="63" s="1"/>
  <c r="V69" i="67"/>
  <c r="AB69" i="67" s="1"/>
  <c r="W69" i="67"/>
  <c r="AC69" i="67" s="1"/>
  <c r="S69" i="67"/>
  <c r="Y69" i="67" s="1"/>
  <c r="T69" i="67"/>
  <c r="Z69" i="67" s="1"/>
  <c r="U69" i="67"/>
  <c r="AA69" i="67" s="1"/>
  <c r="T66" i="67"/>
  <c r="Z66" i="67" s="1"/>
  <c r="W66" i="67"/>
  <c r="AC66" i="67" s="1"/>
  <c r="V66" i="67"/>
  <c r="AB66" i="67" s="1"/>
  <c r="U66" i="67"/>
  <c r="AA66" i="67" s="1"/>
  <c r="S66" i="67"/>
  <c r="W70" i="68"/>
  <c r="AC70" i="68" s="1"/>
  <c r="U70" i="68"/>
  <c r="AA70" i="68" s="1"/>
  <c r="V70" i="68"/>
  <c r="AB70" i="68" s="1"/>
  <c r="S70" i="68"/>
  <c r="Y70" i="68" s="1"/>
  <c r="T70" i="68"/>
  <c r="Z70" i="68" s="1"/>
  <c r="T68" i="68"/>
  <c r="Z68" i="68" s="1"/>
  <c r="W68" i="68"/>
  <c r="AC68" i="68" s="1"/>
  <c r="U68" i="68"/>
  <c r="AA68" i="68" s="1"/>
  <c r="S68" i="68"/>
  <c r="Y68" i="68" s="1"/>
  <c r="V68" i="68"/>
  <c r="AB68" i="68" s="1"/>
  <c r="V69" i="63"/>
  <c r="AB69" i="63" s="1"/>
  <c r="U69" i="63"/>
  <c r="AA69" i="63" s="1"/>
  <c r="T69" i="63"/>
  <c r="Z69" i="63" s="1"/>
  <c r="W69" i="63"/>
  <c r="AC69" i="63" s="1"/>
  <c r="S69" i="63"/>
  <c r="Y69" i="63" s="1"/>
  <c r="T67" i="68"/>
  <c r="Z67" i="68" s="1"/>
  <c r="V67" i="68"/>
  <c r="AB67" i="68" s="1"/>
  <c r="S67" i="68"/>
  <c r="Y67" i="68" s="1"/>
  <c r="W67" i="68"/>
  <c r="AC67" i="68" s="1"/>
  <c r="U67" i="68"/>
  <c r="AA67" i="68" s="1"/>
  <c r="W50" i="63"/>
  <c r="AC50" i="63" s="1"/>
  <c r="S50" i="63"/>
  <c r="Y50" i="63" s="1"/>
  <c r="V50" i="63"/>
  <c r="AB50" i="63" s="1"/>
  <c r="U50" i="63"/>
  <c r="AA50" i="63" s="1"/>
  <c r="T50" i="63"/>
  <c r="Z50" i="63" s="1"/>
  <c r="U52" i="63"/>
  <c r="AA52" i="63" s="1"/>
  <c r="T52" i="63"/>
  <c r="Z52" i="63" s="1"/>
  <c r="W52" i="63"/>
  <c r="AC52" i="63" s="1"/>
  <c r="S52" i="63"/>
  <c r="Y52" i="63" s="1"/>
  <c r="V52" i="63"/>
  <c r="AB52" i="63" s="1"/>
  <c r="T67" i="67"/>
  <c r="Z67" i="67" s="1"/>
  <c r="U67" i="67"/>
  <c r="AA67" i="67" s="1"/>
  <c r="V67" i="67"/>
  <c r="AB67" i="67" s="1"/>
  <c r="S67" i="67"/>
  <c r="Y67" i="67" s="1"/>
  <c r="W67" i="67"/>
  <c r="AC67" i="67" s="1"/>
  <c r="T23" i="68"/>
  <c r="Z23" i="68" s="1"/>
  <c r="W23" i="68"/>
  <c r="AC23" i="68" s="1"/>
  <c r="U23" i="68"/>
  <c r="AA23" i="68" s="1"/>
  <c r="V23" i="68"/>
  <c r="AB23" i="68" s="1"/>
  <c r="S23" i="68"/>
  <c r="T66" i="63"/>
  <c r="Z66" i="63" s="1"/>
  <c r="W66" i="63"/>
  <c r="AC66" i="63" s="1"/>
  <c r="S66" i="63"/>
  <c r="Y66" i="63" s="1"/>
  <c r="V66" i="63"/>
  <c r="AB66" i="63" s="1"/>
  <c r="U66" i="63"/>
  <c r="AA66" i="63" s="1"/>
  <c r="T70" i="63"/>
  <c r="Z70" i="63" s="1"/>
  <c r="W70" i="63"/>
  <c r="AC70" i="63" s="1"/>
  <c r="S70" i="63"/>
  <c r="Y70" i="63" s="1"/>
  <c r="V70" i="63"/>
  <c r="AB70" i="63" s="1"/>
  <c r="U70" i="63"/>
  <c r="AA70" i="63" s="1"/>
  <c r="V69" i="68"/>
  <c r="AB69" i="68" s="1"/>
  <c r="T69" i="68"/>
  <c r="Z69" i="68" s="1"/>
  <c r="S69" i="68"/>
  <c r="Y69" i="68" s="1"/>
  <c r="W69" i="68"/>
  <c r="AC69" i="68" s="1"/>
  <c r="U69" i="68"/>
  <c r="AA69" i="68" s="1"/>
  <c r="U23" i="67"/>
  <c r="AA23" i="67" s="1"/>
  <c r="V23" i="67"/>
  <c r="AB23" i="67" s="1"/>
  <c r="W23" i="67"/>
  <c r="AC23" i="67" s="1"/>
  <c r="T23" i="67"/>
  <c r="R170" i="67"/>
  <c r="AH160" i="67"/>
  <c r="AI160" i="67" s="1"/>
  <c r="R171" i="67"/>
  <c r="AH162" i="67"/>
  <c r="AI162" i="67" s="1"/>
  <c r="R172" i="67"/>
  <c r="AH161" i="67"/>
  <c r="AI161" i="67" s="1"/>
  <c r="C18" i="47"/>
  <c r="D17" i="47"/>
  <c r="C12" i="47"/>
  <c r="I11" i="47"/>
  <c r="D11" i="47"/>
  <c r="I5" i="47"/>
  <c r="D5" i="47"/>
  <c r="X31" i="67" l="1"/>
  <c r="AD31" i="67" s="1"/>
  <c r="D10" i="74" s="1"/>
  <c r="Y31" i="67"/>
  <c r="X23" i="67"/>
  <c r="X32" i="67"/>
  <c r="AD32" i="67" s="1"/>
  <c r="D11" i="74" s="1"/>
  <c r="Y32" i="67"/>
  <c r="W53" i="63"/>
  <c r="U53" i="68"/>
  <c r="W53" i="68"/>
  <c r="V53" i="68"/>
  <c r="T53" i="68"/>
  <c r="U53" i="63"/>
  <c r="V53" i="63"/>
  <c r="X66" i="63"/>
  <c r="AD66" i="63" s="1"/>
  <c r="D78" i="74" s="1"/>
  <c r="X66" i="68"/>
  <c r="AD66" i="68" s="1"/>
  <c r="D127" i="74" s="1"/>
  <c r="X67" i="68"/>
  <c r="AD67" i="68" s="1"/>
  <c r="D128" i="74" s="1"/>
  <c r="X67" i="63"/>
  <c r="AD67" i="63" s="1"/>
  <c r="D79" i="74" s="1"/>
  <c r="T53" i="63"/>
  <c r="X51" i="68"/>
  <c r="AD51" i="68" s="1"/>
  <c r="D122" i="74" s="1"/>
  <c r="X52" i="68"/>
  <c r="AD52" i="68" s="1"/>
  <c r="D123" i="74" s="1"/>
  <c r="X52" i="63"/>
  <c r="AD52" i="63" s="1"/>
  <c r="D74" i="74" s="1"/>
  <c r="X51" i="63"/>
  <c r="AD51" i="63" s="1"/>
  <c r="D73" i="74" s="1"/>
  <c r="U71" i="68"/>
  <c r="V33" i="68"/>
  <c r="U33" i="68"/>
  <c r="T71" i="63"/>
  <c r="U71" i="63"/>
  <c r="U130" i="63"/>
  <c r="V130" i="68"/>
  <c r="V130" i="63"/>
  <c r="V71" i="68"/>
  <c r="T71" i="68"/>
  <c r="W33" i="68"/>
  <c r="X31" i="68"/>
  <c r="AD31" i="68" s="1"/>
  <c r="D108" i="74" s="1"/>
  <c r="T33" i="68"/>
  <c r="W71" i="68"/>
  <c r="X128" i="63"/>
  <c r="AD128" i="63" s="1"/>
  <c r="W71" i="63"/>
  <c r="V71" i="63"/>
  <c r="W130" i="63"/>
  <c r="S53" i="63"/>
  <c r="X50" i="63"/>
  <c r="AD50" i="63" s="1"/>
  <c r="D72" i="74" s="1"/>
  <c r="S130" i="63"/>
  <c r="X127" i="63"/>
  <c r="X128" i="67"/>
  <c r="AD128" i="67" s="1"/>
  <c r="X129" i="67"/>
  <c r="AD129" i="67" s="1"/>
  <c r="X69" i="68"/>
  <c r="AD69" i="68" s="1"/>
  <c r="D130" i="74" s="1"/>
  <c r="V130" i="67"/>
  <c r="X32" i="68"/>
  <c r="AD32" i="68" s="1"/>
  <c r="D109" i="74" s="1"/>
  <c r="X68" i="68"/>
  <c r="AD68" i="68" s="1"/>
  <c r="D129" i="74" s="1"/>
  <c r="S71" i="68"/>
  <c r="S33" i="68"/>
  <c r="X23" i="68"/>
  <c r="X129" i="68"/>
  <c r="AD129" i="68" s="1"/>
  <c r="X129" i="63"/>
  <c r="AD129" i="63" s="1"/>
  <c r="W130" i="67"/>
  <c r="T130" i="67"/>
  <c r="X69" i="63"/>
  <c r="AD69" i="63" s="1"/>
  <c r="D81" i="74" s="1"/>
  <c r="X127" i="68"/>
  <c r="U130" i="68"/>
  <c r="T130" i="68"/>
  <c r="T130" i="63"/>
  <c r="X68" i="63"/>
  <c r="AD68" i="63" s="1"/>
  <c r="D80" i="74" s="1"/>
  <c r="S71" i="63"/>
  <c r="X50" i="68"/>
  <c r="AD50" i="68" s="1"/>
  <c r="D121" i="74" s="1"/>
  <c r="S53" i="68"/>
  <c r="X70" i="68"/>
  <c r="AD70" i="68" s="1"/>
  <c r="D131" i="74" s="1"/>
  <c r="X70" i="63"/>
  <c r="AD70" i="63" s="1"/>
  <c r="D82" i="74" s="1"/>
  <c r="S130" i="67"/>
  <c r="X127" i="67"/>
  <c r="W130" i="68"/>
  <c r="U130" i="67"/>
  <c r="X128" i="68"/>
  <c r="AD128" i="68" s="1"/>
  <c r="S130" i="68"/>
  <c r="X143" i="67"/>
  <c r="X144" i="67"/>
  <c r="X145" i="67"/>
  <c r="X148" i="67"/>
  <c r="X141" i="67"/>
  <c r="X139" i="67"/>
  <c r="X147" i="67"/>
  <c r="X140" i="67"/>
  <c r="X149" i="67"/>
  <c r="T188" i="63" l="1"/>
  <c r="T191" i="63"/>
  <c r="T189" i="63"/>
  <c r="T190" i="63"/>
  <c r="T193" i="63"/>
  <c r="T195" i="63"/>
  <c r="T194" i="63"/>
  <c r="T196" i="63"/>
  <c r="U188" i="63"/>
  <c r="U190" i="63"/>
  <c r="U189" i="63"/>
  <c r="U191" i="63"/>
  <c r="S193" i="63"/>
  <c r="S194" i="63"/>
  <c r="S196" i="63"/>
  <c r="S195" i="63"/>
  <c r="V193" i="63"/>
  <c r="V196" i="63"/>
  <c r="V195" i="63"/>
  <c r="V194" i="63"/>
  <c r="V188" i="63"/>
  <c r="V189" i="63"/>
  <c r="V191" i="63"/>
  <c r="V190" i="63"/>
  <c r="S188" i="63"/>
  <c r="S191" i="63"/>
  <c r="S190" i="63"/>
  <c r="S189" i="63"/>
  <c r="U193" i="63"/>
  <c r="U196" i="63"/>
  <c r="U195" i="63"/>
  <c r="U194" i="63"/>
  <c r="W188" i="63"/>
  <c r="W191" i="63"/>
  <c r="W190" i="63"/>
  <c r="W189" i="63"/>
  <c r="W193" i="63"/>
  <c r="W195" i="63"/>
  <c r="W196" i="63"/>
  <c r="W194" i="63"/>
  <c r="W198" i="63"/>
  <c r="W200" i="63"/>
  <c r="W199" i="63"/>
  <c r="W201" i="63"/>
  <c r="T198" i="63"/>
  <c r="T199" i="63"/>
  <c r="T201" i="63"/>
  <c r="T200" i="63"/>
  <c r="S198" i="63"/>
  <c r="S200" i="63"/>
  <c r="S199" i="63"/>
  <c r="S201" i="63"/>
  <c r="V198" i="63"/>
  <c r="V201" i="63"/>
  <c r="V200" i="63"/>
  <c r="V199" i="63"/>
  <c r="U198" i="63"/>
  <c r="U201" i="63"/>
  <c r="U200" i="63"/>
  <c r="U199" i="63"/>
  <c r="AJ157" i="67"/>
  <c r="AJ156" i="67"/>
  <c r="AJ159" i="67"/>
  <c r="AJ158" i="67"/>
  <c r="AJ153" i="67"/>
  <c r="AJ162" i="67"/>
  <c r="AJ161" i="67"/>
  <c r="AJ160" i="67"/>
  <c r="AJ163" i="67"/>
  <c r="X53" i="68"/>
  <c r="X53" i="63"/>
  <c r="AJ152" i="67"/>
  <c r="AJ155" i="67"/>
  <c r="AJ170" i="67" s="1"/>
  <c r="AJ154" i="67"/>
  <c r="X33" i="68"/>
  <c r="X130" i="63"/>
  <c r="X71" i="63"/>
  <c r="X130" i="67"/>
  <c r="X71" i="68"/>
  <c r="X130" i="68"/>
  <c r="AJ189" i="68"/>
  <c r="AJ188" i="68"/>
  <c r="AJ187" i="68"/>
  <c r="AJ186" i="68"/>
  <c r="AJ185" i="68"/>
  <c r="AJ184" i="68"/>
  <c r="AJ183" i="68"/>
  <c r="AJ182" i="68"/>
  <c r="AJ181" i="68"/>
  <c r="AJ180" i="68"/>
  <c r="AJ179" i="68"/>
  <c r="AJ178" i="68"/>
  <c r="L195" i="68"/>
  <c r="X188" i="63" l="1"/>
  <c r="X193" i="63"/>
  <c r="X198" i="63"/>
  <c r="X189" i="63"/>
  <c r="X196" i="63"/>
  <c r="X195" i="63"/>
  <c r="X190" i="63"/>
  <c r="X191" i="63"/>
  <c r="X194" i="63"/>
  <c r="X199" i="63"/>
  <c r="X201" i="63"/>
  <c r="X200" i="63"/>
  <c r="L195" i="67"/>
  <c r="AK178" i="67"/>
  <c r="AJ188" i="67"/>
  <c r="AJ187" i="67"/>
  <c r="AJ186" i="67"/>
  <c r="AJ185" i="67"/>
  <c r="AJ184" i="67"/>
  <c r="AJ183" i="67"/>
  <c r="AJ182" i="67"/>
  <c r="AJ181" i="67"/>
  <c r="AJ180" i="67"/>
  <c r="AJ179" i="67"/>
  <c r="AJ178" i="67"/>
  <c r="AJ177" i="67"/>
  <c r="AI167" i="67"/>
  <c r="W175" i="67"/>
  <c r="V175" i="67"/>
  <c r="U175" i="67"/>
  <c r="T175" i="67"/>
  <c r="S175" i="67"/>
  <c r="W174" i="67"/>
  <c r="V174" i="67"/>
  <c r="U174" i="67"/>
  <c r="T174" i="67"/>
  <c r="S174" i="67"/>
  <c r="W173" i="67"/>
  <c r="V173" i="67"/>
  <c r="U173" i="67"/>
  <c r="T173" i="67"/>
  <c r="S173" i="67"/>
  <c r="AI159" i="67"/>
  <c r="AI155" i="67"/>
  <c r="K141" i="67"/>
  <c r="K140" i="67"/>
  <c r="K139" i="67"/>
  <c r="AJ106" i="67"/>
  <c r="AJ105" i="67"/>
  <c r="AJ104" i="67"/>
  <c r="K97" i="67"/>
  <c r="K96" i="67"/>
  <c r="K95" i="67"/>
  <c r="AJ94" i="67"/>
  <c r="K94" i="67"/>
  <c r="AJ77" i="67"/>
  <c r="K70" i="67"/>
  <c r="K69" i="67"/>
  <c r="K68" i="67"/>
  <c r="AJ67" i="67"/>
  <c r="K67" i="67"/>
  <c r="AJ66" i="67"/>
  <c r="K66" i="67"/>
  <c r="R52" i="67"/>
  <c r="K52" i="67"/>
  <c r="R51" i="67"/>
  <c r="K51" i="67"/>
  <c r="AJ50" i="67"/>
  <c r="R50" i="67"/>
  <c r="K50" i="67"/>
  <c r="AJ49" i="67"/>
  <c r="N49" i="67"/>
  <c r="M49" i="67"/>
  <c r="K49" i="67"/>
  <c r="AJ48" i="67"/>
  <c r="O48" i="67"/>
  <c r="M48" i="67"/>
  <c r="K48" i="67"/>
  <c r="AJ47" i="67"/>
  <c r="O47" i="67"/>
  <c r="M47" i="67"/>
  <c r="K47" i="67"/>
  <c r="AJ46" i="67"/>
  <c r="O46" i="67"/>
  <c r="M46" i="67"/>
  <c r="K46" i="67"/>
  <c r="AJ45" i="67"/>
  <c r="O45" i="67"/>
  <c r="M45" i="67"/>
  <c r="K45" i="67"/>
  <c r="AJ44" i="67"/>
  <c r="O44" i="67"/>
  <c r="M44" i="67"/>
  <c r="K44" i="67"/>
  <c r="AJ43" i="67"/>
  <c r="O43" i="67"/>
  <c r="M43" i="67"/>
  <c r="AJ42" i="67"/>
  <c r="O42" i="67"/>
  <c r="M42" i="67"/>
  <c r="AJ41" i="67"/>
  <c r="O41" i="67"/>
  <c r="M41" i="67"/>
  <c r="K41" i="67"/>
  <c r="AJ40" i="67"/>
  <c r="O40" i="67"/>
  <c r="M40" i="67"/>
  <c r="K40" i="67"/>
  <c r="AJ39" i="67"/>
  <c r="N39" i="67"/>
  <c r="K39" i="67"/>
  <c r="AJ32" i="67"/>
  <c r="K32" i="67"/>
  <c r="AJ31" i="67"/>
  <c r="K31" i="67"/>
  <c r="K23" i="67"/>
  <c r="O7" i="47" l="1"/>
  <c r="S39" i="67"/>
  <c r="U39" i="67"/>
  <c r="AA39" i="67" s="1"/>
  <c r="V39" i="67"/>
  <c r="AB39" i="67" s="1"/>
  <c r="W39" i="67"/>
  <c r="AC39" i="67" s="1"/>
  <c r="T39" i="67"/>
  <c r="Z39" i="67" s="1"/>
  <c r="T49" i="67"/>
  <c r="Z49" i="67" s="1"/>
  <c r="V49" i="67"/>
  <c r="AB49" i="67" s="1"/>
  <c r="U49" i="67"/>
  <c r="AA49" i="67" s="1"/>
  <c r="S49" i="67"/>
  <c r="Y49" i="67" s="1"/>
  <c r="W49" i="67"/>
  <c r="AC49" i="67" s="1"/>
  <c r="V94" i="67"/>
  <c r="AB94" i="67" s="1"/>
  <c r="T94" i="67"/>
  <c r="Z94" i="67" s="1"/>
  <c r="W94" i="67"/>
  <c r="AC94" i="67" s="1"/>
  <c r="S94" i="67"/>
  <c r="Y94" i="67" s="1"/>
  <c r="U94" i="67"/>
  <c r="AA94" i="67" s="1"/>
  <c r="S40" i="67"/>
  <c r="W40" i="67"/>
  <c r="AC40" i="67" s="1"/>
  <c r="U40" i="67"/>
  <c r="AA40" i="67" s="1"/>
  <c r="V40" i="67"/>
  <c r="AB40" i="67" s="1"/>
  <c r="T40" i="67"/>
  <c r="Z40" i="67" s="1"/>
  <c r="S46" i="67"/>
  <c r="T46" i="67"/>
  <c r="Z46" i="67" s="1"/>
  <c r="U46" i="67"/>
  <c r="AA46" i="67" s="1"/>
  <c r="V46" i="67"/>
  <c r="AB46" i="67" s="1"/>
  <c r="W46" i="67"/>
  <c r="AC46" i="67" s="1"/>
  <c r="V41" i="67"/>
  <c r="AB41" i="67" s="1"/>
  <c r="S41" i="67"/>
  <c r="Y41" i="67" s="1"/>
  <c r="T41" i="67"/>
  <c r="Z41" i="67" s="1"/>
  <c r="U41" i="67"/>
  <c r="AA41" i="67" s="1"/>
  <c r="W41" i="67"/>
  <c r="AC41" i="67" s="1"/>
  <c r="U43" i="67"/>
  <c r="AA43" i="67" s="1"/>
  <c r="S43" i="67"/>
  <c r="Y43" i="67" s="1"/>
  <c r="W43" i="67"/>
  <c r="AC43" i="67" s="1"/>
  <c r="T43" i="67"/>
  <c r="Z43" i="67" s="1"/>
  <c r="V43" i="67"/>
  <c r="AB43" i="67" s="1"/>
  <c r="U47" i="67"/>
  <c r="AA47" i="67" s="1"/>
  <c r="V47" i="67"/>
  <c r="AB47" i="67" s="1"/>
  <c r="S47" i="67"/>
  <c r="Y47" i="67" s="1"/>
  <c r="W47" i="67"/>
  <c r="AC47" i="67" s="1"/>
  <c r="T47" i="67"/>
  <c r="Z47" i="67" s="1"/>
  <c r="S44" i="67"/>
  <c r="Y44" i="67" s="1"/>
  <c r="U44" i="67"/>
  <c r="AA44" i="67" s="1"/>
  <c r="V44" i="67"/>
  <c r="AB44" i="67" s="1"/>
  <c r="W44" i="67"/>
  <c r="AC44" i="67" s="1"/>
  <c r="T44" i="67"/>
  <c r="Z44" i="67" s="1"/>
  <c r="S48" i="67"/>
  <c r="Y48" i="67" s="1"/>
  <c r="V48" i="67"/>
  <c r="AB48" i="67" s="1"/>
  <c r="W48" i="67"/>
  <c r="AC48" i="67" s="1"/>
  <c r="T48" i="67"/>
  <c r="Z48" i="67" s="1"/>
  <c r="U48" i="67"/>
  <c r="AA48" i="67" s="1"/>
  <c r="U42" i="67"/>
  <c r="AA42" i="67" s="1"/>
  <c r="W42" i="67"/>
  <c r="AC42" i="67" s="1"/>
  <c r="T42" i="67"/>
  <c r="Z42" i="67" s="1"/>
  <c r="V42" i="67"/>
  <c r="AB42" i="67" s="1"/>
  <c r="S42" i="67"/>
  <c r="Y42" i="67" s="1"/>
  <c r="V45" i="67"/>
  <c r="AB45" i="67" s="1"/>
  <c r="W45" i="67"/>
  <c r="AC45" i="67" s="1"/>
  <c r="U45" i="67"/>
  <c r="AA45" i="67" s="1"/>
  <c r="S45" i="67"/>
  <c r="Y45" i="67" s="1"/>
  <c r="T45" i="67"/>
  <c r="Z45" i="67" s="1"/>
  <c r="AJ96" i="67"/>
  <c r="M96" i="67"/>
  <c r="N96" i="67"/>
  <c r="M95" i="67"/>
  <c r="N95" i="67"/>
  <c r="N97" i="67"/>
  <c r="X174" i="67"/>
  <c r="AY159" i="67" s="1"/>
  <c r="AY165" i="67" s="1"/>
  <c r="X173" i="67"/>
  <c r="AY158" i="67" s="1"/>
  <c r="AY164" i="67" s="1"/>
  <c r="W107" i="67"/>
  <c r="X175" i="67"/>
  <c r="AY160" i="67" s="1"/>
  <c r="AY166" i="67" s="1"/>
  <c r="R162" i="67"/>
  <c r="AH152" i="67"/>
  <c r="AI152" i="67" s="1"/>
  <c r="J14" i="47"/>
  <c r="K43" i="67"/>
  <c r="U107" i="67"/>
  <c r="R215" i="67"/>
  <c r="R195" i="67"/>
  <c r="R220" i="67"/>
  <c r="R200" i="67"/>
  <c r="R190" i="67"/>
  <c r="R205" i="67"/>
  <c r="R185" i="67"/>
  <c r="R210" i="67"/>
  <c r="AH158" i="67"/>
  <c r="AI158" i="67" s="1"/>
  <c r="AH166" i="67"/>
  <c r="AI166" i="67" s="1"/>
  <c r="R167" i="67"/>
  <c r="R159" i="67"/>
  <c r="AT159" i="67" s="1"/>
  <c r="AT165" i="67" s="1"/>
  <c r="AH154" i="67"/>
  <c r="AI154" i="67" s="1"/>
  <c r="R174" i="67"/>
  <c r="R163" i="67"/>
  <c r="R211" i="67"/>
  <c r="R191" i="67"/>
  <c r="R216" i="67"/>
  <c r="R196" i="67"/>
  <c r="R186" i="67"/>
  <c r="R221" i="67"/>
  <c r="R201" i="67"/>
  <c r="R206" i="67"/>
  <c r="R175" i="67"/>
  <c r="AH157" i="67"/>
  <c r="AI157" i="67" s="1"/>
  <c r="AH165" i="67"/>
  <c r="AI165" i="67" s="1"/>
  <c r="R160" i="67"/>
  <c r="AT160" i="67" s="1"/>
  <c r="AT166" i="67" s="1"/>
  <c r="R168" i="67"/>
  <c r="AH153" i="67"/>
  <c r="AI153" i="67" s="1"/>
  <c r="R164" i="67"/>
  <c r="K42" i="67"/>
  <c r="AJ95" i="67"/>
  <c r="AJ97" i="67"/>
  <c r="R219" i="67"/>
  <c r="R199" i="67"/>
  <c r="R204" i="67"/>
  <c r="R209" i="67"/>
  <c r="R189" i="67"/>
  <c r="R173" i="67"/>
  <c r="R214" i="67"/>
  <c r="R194" i="67"/>
  <c r="R184" i="67"/>
  <c r="AH164" i="67"/>
  <c r="AI164" i="67" s="1"/>
  <c r="R158" i="67"/>
  <c r="AT158" i="67" s="1"/>
  <c r="AT164" i="67" s="1"/>
  <c r="R166" i="67"/>
  <c r="AK185" i="67"/>
  <c r="AK188" i="67" s="1"/>
  <c r="AK179" i="67"/>
  <c r="AK182" i="67" s="1"/>
  <c r="AK177" i="67"/>
  <c r="AK184" i="67"/>
  <c r="AK187" i="67" s="1"/>
  <c r="AK183" i="67"/>
  <c r="AK186" i="67" s="1"/>
  <c r="AH156" i="67"/>
  <c r="AI156" i="67" s="1"/>
  <c r="AK181" i="67"/>
  <c r="S53" i="67" l="1"/>
  <c r="O49" i="45"/>
  <c r="O6" i="47"/>
  <c r="V97" i="67"/>
  <c r="AB97" i="67" s="1"/>
  <c r="T97" i="67"/>
  <c r="Z97" i="67" s="1"/>
  <c r="S97" i="67"/>
  <c r="Y97" i="67" s="1"/>
  <c r="W97" i="67"/>
  <c r="AC97" i="67" s="1"/>
  <c r="U97" i="67"/>
  <c r="AA97" i="67" s="1"/>
  <c r="T95" i="67"/>
  <c r="Z95" i="67" s="1"/>
  <c r="V95" i="67"/>
  <c r="AB95" i="67" s="1"/>
  <c r="U95" i="67"/>
  <c r="AA95" i="67" s="1"/>
  <c r="S95" i="67"/>
  <c r="W95" i="67"/>
  <c r="AC95" i="67" s="1"/>
  <c r="S96" i="67"/>
  <c r="Y96" i="67" s="1"/>
  <c r="W96" i="67"/>
  <c r="AC96" i="67" s="1"/>
  <c r="U96" i="67"/>
  <c r="AA96" i="67" s="1"/>
  <c r="T96" i="67"/>
  <c r="Z96" i="67" s="1"/>
  <c r="V96" i="67"/>
  <c r="AB96" i="67" s="1"/>
  <c r="O9" i="47"/>
  <c r="AK180" i="67"/>
  <c r="AL177" i="67"/>
  <c r="S107" i="67"/>
  <c r="X106" i="67"/>
  <c r="AD106" i="67" s="1"/>
  <c r="V107" i="67"/>
  <c r="X104" i="67"/>
  <c r="X43" i="67"/>
  <c r="AD43" i="67" s="1"/>
  <c r="D16" i="74" s="1"/>
  <c r="X49" i="67"/>
  <c r="AD49" i="67" s="1"/>
  <c r="D22" i="74" s="1"/>
  <c r="X42" i="67"/>
  <c r="AD42" i="67" s="1"/>
  <c r="D15" i="74" s="1"/>
  <c r="T71" i="67"/>
  <c r="X105" i="67"/>
  <c r="AD105" i="67" s="1"/>
  <c r="X66" i="67"/>
  <c r="X67" i="67"/>
  <c r="AD67" i="67" s="1"/>
  <c r="D30" i="74" s="1"/>
  <c r="T107" i="67"/>
  <c r="J194" i="67"/>
  <c r="X68" i="67"/>
  <c r="AD68" i="67" s="1"/>
  <c r="D31" i="74" s="1"/>
  <c r="X50" i="67"/>
  <c r="S71" i="67"/>
  <c r="V53" i="67"/>
  <c r="T53" i="67"/>
  <c r="V71" i="67"/>
  <c r="U71" i="67"/>
  <c r="X40" i="67"/>
  <c r="X45" i="67"/>
  <c r="AD45" i="67" s="1"/>
  <c r="D18" i="74" s="1"/>
  <c r="U53" i="67"/>
  <c r="X69" i="67"/>
  <c r="AD69" i="67" s="1"/>
  <c r="D32" i="74" s="1"/>
  <c r="X39" i="67"/>
  <c r="S33" i="67"/>
  <c r="V33" i="67"/>
  <c r="X52" i="67"/>
  <c r="AD52" i="67" s="1"/>
  <c r="D25" i="74" s="1"/>
  <c r="X41" i="67"/>
  <c r="AD41" i="67" s="1"/>
  <c r="D14" i="74" s="1"/>
  <c r="T33" i="67"/>
  <c r="X44" i="67"/>
  <c r="AD44" i="67" s="1"/>
  <c r="D17" i="74" s="1"/>
  <c r="X47" i="67"/>
  <c r="AD47" i="67" s="1"/>
  <c r="D20" i="74" s="1"/>
  <c r="X94" i="67"/>
  <c r="AD94" i="67" s="1"/>
  <c r="D37" i="74" s="1"/>
  <c r="X70" i="67"/>
  <c r="AD70" i="67" s="1"/>
  <c r="D33" i="74" s="1"/>
  <c r="X48" i="67"/>
  <c r="AD48" i="67" s="1"/>
  <c r="D21" i="74" s="1"/>
  <c r="X46" i="67"/>
  <c r="W53" i="67"/>
  <c r="U33" i="67"/>
  <c r="W71" i="67"/>
  <c r="W33" i="67"/>
  <c r="X51" i="67"/>
  <c r="AD51" i="67" s="1"/>
  <c r="D24" i="74" s="1"/>
  <c r="O46" i="45" l="1"/>
  <c r="I13" i="47" s="1"/>
  <c r="U98" i="67"/>
  <c r="X97" i="67"/>
  <c r="AD97" i="67" s="1"/>
  <c r="D40" i="74" s="1"/>
  <c r="X96" i="67"/>
  <c r="AD96" i="67" s="1"/>
  <c r="D39" i="74" s="1"/>
  <c r="X107" i="67"/>
  <c r="X95" i="67"/>
  <c r="S98" i="67"/>
  <c r="W98" i="67"/>
  <c r="V98" i="67"/>
  <c r="X33" i="67"/>
  <c r="X53" i="67"/>
  <c r="T98" i="67"/>
  <c r="X71" i="67"/>
  <c r="I19" i="47" l="1"/>
  <c r="O10" i="47"/>
  <c r="X98" i="67"/>
  <c r="AJ189" i="63" l="1"/>
  <c r="AJ188" i="63"/>
  <c r="AJ187" i="63"/>
  <c r="AJ186" i="63"/>
  <c r="AJ185" i="63"/>
  <c r="AJ184" i="63"/>
  <c r="AJ183" i="63"/>
  <c r="AJ182" i="63"/>
  <c r="AJ181" i="63"/>
  <c r="AJ180" i="63"/>
  <c r="AJ179" i="63"/>
  <c r="AJ178" i="63"/>
  <c r="L195" i="63"/>
  <c r="AK179" i="68" l="1"/>
  <c r="AK182" i="68" s="1"/>
  <c r="AK186" i="68"/>
  <c r="AK189" i="68" s="1"/>
  <c r="AK184" i="68"/>
  <c r="AK187" i="68" s="1"/>
  <c r="AK180" i="68"/>
  <c r="AK183" i="68" s="1"/>
  <c r="AK178" i="68"/>
  <c r="AK181" i="68" s="1"/>
  <c r="AK185" i="68"/>
  <c r="AK188" i="68" s="1"/>
  <c r="N17" i="8"/>
  <c r="P17" i="8" s="1"/>
  <c r="N11" i="8"/>
  <c r="P11" i="8" s="1"/>
  <c r="S114" i="68" s="1"/>
  <c r="N19" i="8"/>
  <c r="P19" i="8" s="1"/>
  <c r="N15" i="8"/>
  <c r="P15" i="8" s="1"/>
  <c r="N7" i="8"/>
  <c r="P7" i="8" s="1"/>
  <c r="N13" i="8"/>
  <c r="P13" i="8" s="1"/>
  <c r="N9" i="8"/>
  <c r="P9" i="8" s="1"/>
  <c r="T115" i="63" s="1"/>
  <c r="N23" i="8"/>
  <c r="P23" i="8" s="1"/>
  <c r="N25" i="8"/>
  <c r="P25" i="8" s="1"/>
  <c r="N27" i="8"/>
  <c r="P27" i="8" s="1"/>
  <c r="N21" i="8"/>
  <c r="P21" i="8" s="1"/>
  <c r="N29" i="8"/>
  <c r="P29" i="8" s="1"/>
  <c r="T118" i="67" l="1"/>
  <c r="U116" i="68"/>
  <c r="W117" i="67"/>
  <c r="T114" i="68"/>
  <c r="U113" i="68"/>
  <c r="S114" i="63"/>
  <c r="T114" i="67"/>
  <c r="T115" i="67"/>
  <c r="W123" i="68"/>
  <c r="S115" i="67"/>
  <c r="V123" i="68"/>
  <c r="X121" i="67"/>
  <c r="AD121" i="67" s="1"/>
  <c r="D49" i="74" s="1"/>
  <c r="J194" i="68"/>
  <c r="X118" i="68"/>
  <c r="AD118" i="68" s="1"/>
  <c r="D144" i="74" s="1"/>
  <c r="X122" i="63"/>
  <c r="AD122" i="63" s="1"/>
  <c r="D99" i="74" s="1"/>
  <c r="X122" i="68"/>
  <c r="AD122" i="68" s="1"/>
  <c r="D148" i="74" s="1"/>
  <c r="X120" i="68"/>
  <c r="AD120" i="68" s="1"/>
  <c r="D146" i="74" s="1"/>
  <c r="U123" i="68" l="1"/>
  <c r="V156" i="68"/>
  <c r="V166" i="68" s="1"/>
  <c r="W156" i="68"/>
  <c r="W170" i="68" s="1"/>
  <c r="T123" i="67"/>
  <c r="X114" i="68"/>
  <c r="X116" i="68"/>
  <c r="V194" i="67"/>
  <c r="S194" i="67"/>
  <c r="V196" i="67"/>
  <c r="U194" i="67"/>
  <c r="T194" i="67"/>
  <c r="W194" i="67"/>
  <c r="T196" i="67"/>
  <c r="S196" i="67"/>
  <c r="W196" i="67"/>
  <c r="U196" i="67"/>
  <c r="S195" i="67"/>
  <c r="U195" i="67"/>
  <c r="V195" i="67"/>
  <c r="T195" i="67"/>
  <c r="W195" i="67"/>
  <c r="V193" i="67"/>
  <c r="I183" i="67" s="1"/>
  <c r="I198" i="67" s="1"/>
  <c r="S193" i="67"/>
  <c r="T193" i="67"/>
  <c r="G183" i="67" s="1"/>
  <c r="G198" i="67" s="1"/>
  <c r="U193" i="67"/>
  <c r="H183" i="67" s="1"/>
  <c r="H198" i="67" s="1"/>
  <c r="W193" i="67"/>
  <c r="J183" i="67" s="1"/>
  <c r="J198" i="67" s="1"/>
  <c r="W189" i="68"/>
  <c r="T189" i="68"/>
  <c r="U199" i="68"/>
  <c r="V209" i="68"/>
  <c r="S219" i="68"/>
  <c r="U194" i="68"/>
  <c r="T194" i="68"/>
  <c r="V204" i="68"/>
  <c r="U189" i="68"/>
  <c r="S209" i="68"/>
  <c r="W194" i="68"/>
  <c r="S189" i="68"/>
  <c r="W199" i="68"/>
  <c r="T199" i="68"/>
  <c r="U209" i="68"/>
  <c r="T219" i="68"/>
  <c r="S194" i="68"/>
  <c r="W204" i="68"/>
  <c r="U204" i="68"/>
  <c r="W219" i="68"/>
  <c r="V189" i="68"/>
  <c r="S199" i="68"/>
  <c r="W209" i="68"/>
  <c r="T209" i="68"/>
  <c r="V219" i="68"/>
  <c r="V194" i="68"/>
  <c r="S204" i="68"/>
  <c r="V199" i="68"/>
  <c r="U219" i="68"/>
  <c r="T204" i="68"/>
  <c r="S206" i="68"/>
  <c r="T191" i="68"/>
  <c r="V201" i="68"/>
  <c r="U221" i="68"/>
  <c r="V221" i="68"/>
  <c r="U211" i="68"/>
  <c r="S211" i="68"/>
  <c r="T196" i="68"/>
  <c r="U206" i="68"/>
  <c r="V206" i="68"/>
  <c r="W191" i="68"/>
  <c r="T201" i="68"/>
  <c r="T221" i="68"/>
  <c r="V211" i="68"/>
  <c r="V196" i="68"/>
  <c r="W196" i="68"/>
  <c r="T206" i="68"/>
  <c r="S191" i="68"/>
  <c r="W201" i="68"/>
  <c r="W221" i="68"/>
  <c r="T211" i="68"/>
  <c r="U196" i="68"/>
  <c r="W206" i="68"/>
  <c r="U191" i="68"/>
  <c r="V191" i="68"/>
  <c r="U201" i="68"/>
  <c r="S201" i="68"/>
  <c r="S221" i="68"/>
  <c r="W211" i="68"/>
  <c r="S196" i="68"/>
  <c r="V214" i="68"/>
  <c r="U214" i="68"/>
  <c r="W214" i="68"/>
  <c r="V216" i="68"/>
  <c r="U216" i="68"/>
  <c r="W216" i="68"/>
  <c r="T190" i="68"/>
  <c r="S205" i="68"/>
  <c r="U200" i="68"/>
  <c r="V220" i="68"/>
  <c r="W195" i="68"/>
  <c r="V205" i="68"/>
  <c r="S210" i="68"/>
  <c r="T220" i="68"/>
  <c r="U220" i="68"/>
  <c r="U190" i="68"/>
  <c r="V200" i="68"/>
  <c r="T200" i="68"/>
  <c r="V195" i="68"/>
  <c r="W210" i="68"/>
  <c r="T205" i="68"/>
  <c r="S220" i="68"/>
  <c r="W190" i="68"/>
  <c r="S190" i="68"/>
  <c r="V210" i="68"/>
  <c r="T195" i="68"/>
  <c r="T210" i="68"/>
  <c r="U205" i="68"/>
  <c r="W220" i="68"/>
  <c r="V190" i="68"/>
  <c r="S200" i="68"/>
  <c r="S195" i="68"/>
  <c r="W200" i="68"/>
  <c r="U195" i="68"/>
  <c r="U210" i="68"/>
  <c r="W205" i="68"/>
  <c r="W215" i="68"/>
  <c r="V215" i="68"/>
  <c r="U215" i="68"/>
  <c r="V188" i="68"/>
  <c r="I182" i="68" s="1"/>
  <c r="I197" i="68" s="1"/>
  <c r="U193" i="68"/>
  <c r="H183" i="68" s="1"/>
  <c r="H198" i="68" s="1"/>
  <c r="T198" i="68"/>
  <c r="G184" i="68" s="1"/>
  <c r="G199" i="68" s="1"/>
  <c r="U198" i="68"/>
  <c r="H184" i="68" s="1"/>
  <c r="H199" i="68" s="1"/>
  <c r="W208" i="68"/>
  <c r="J186" i="68" s="1"/>
  <c r="J201" i="68" s="1"/>
  <c r="W198" i="68"/>
  <c r="J184" i="68" s="1"/>
  <c r="J199" i="68" s="1"/>
  <c r="V218" i="68"/>
  <c r="I189" i="68" s="1"/>
  <c r="I204" i="68" s="1"/>
  <c r="T218" i="68"/>
  <c r="G189" i="68" s="1"/>
  <c r="G204" i="68" s="1"/>
  <c r="S193" i="68"/>
  <c r="S218" i="68"/>
  <c r="W193" i="68"/>
  <c r="J183" i="68" s="1"/>
  <c r="J198" i="68" s="1"/>
  <c r="W203" i="68"/>
  <c r="J185" i="68" s="1"/>
  <c r="J200" i="68" s="1"/>
  <c r="S198" i="68"/>
  <c r="V198" i="68"/>
  <c r="I184" i="68" s="1"/>
  <c r="I199" i="68" s="1"/>
  <c r="U208" i="68"/>
  <c r="H186" i="68" s="1"/>
  <c r="H201" i="68" s="1"/>
  <c r="V193" i="68"/>
  <c r="I183" i="68" s="1"/>
  <c r="I198" i="68" s="1"/>
  <c r="W218" i="68"/>
  <c r="J189" i="68" s="1"/>
  <c r="J204" i="68" s="1"/>
  <c r="T193" i="68"/>
  <c r="G183" i="68" s="1"/>
  <c r="G198" i="68" s="1"/>
  <c r="S208" i="68"/>
  <c r="T188" i="68"/>
  <c r="G182" i="68" s="1"/>
  <c r="G197" i="68" s="1"/>
  <c r="S188" i="68"/>
  <c r="T203" i="68"/>
  <c r="G185" i="68" s="1"/>
  <c r="G200" i="68" s="1"/>
  <c r="V203" i="68"/>
  <c r="I185" i="68" s="1"/>
  <c r="I200" i="68" s="1"/>
  <c r="U218" i="68"/>
  <c r="U203" i="68"/>
  <c r="H185" i="68" s="1"/>
  <c r="H200" i="68" s="1"/>
  <c r="U188" i="68"/>
  <c r="H182" i="68" s="1"/>
  <c r="H197" i="68" s="1"/>
  <c r="S203" i="68"/>
  <c r="W188" i="68"/>
  <c r="J182" i="68" s="1"/>
  <c r="J197" i="68" s="1"/>
  <c r="T208" i="68"/>
  <c r="G186" i="68" s="1"/>
  <c r="G201" i="68" s="1"/>
  <c r="V208" i="68"/>
  <c r="I186" i="68" s="1"/>
  <c r="I201" i="68" s="1"/>
  <c r="V213" i="68"/>
  <c r="U213" i="68"/>
  <c r="W213" i="68"/>
  <c r="T219" i="67"/>
  <c r="S209" i="67"/>
  <c r="S221" i="67"/>
  <c r="U199" i="67"/>
  <c r="U211" i="67"/>
  <c r="T211" i="67"/>
  <c r="U219" i="67"/>
  <c r="S211" i="67"/>
  <c r="W219" i="67"/>
  <c r="T201" i="67"/>
  <c r="V209" i="67"/>
  <c r="V221" i="67"/>
  <c r="T199" i="67"/>
  <c r="V191" i="67"/>
  <c r="V219" i="67"/>
  <c r="S219" i="67"/>
  <c r="S201" i="67"/>
  <c r="T209" i="67"/>
  <c r="U209" i="67"/>
  <c r="T221" i="67"/>
  <c r="U221" i="67"/>
  <c r="S199" i="67"/>
  <c r="W211" i="67"/>
  <c r="W209" i="67"/>
  <c r="W221" i="67"/>
  <c r="V211" i="67"/>
  <c r="U191" i="67"/>
  <c r="T191" i="67"/>
  <c r="W199" i="67"/>
  <c r="W191" i="67"/>
  <c r="V189" i="67"/>
  <c r="S191" i="67"/>
  <c r="U189" i="67"/>
  <c r="W189" i="67"/>
  <c r="S189" i="67"/>
  <c r="V199" i="67"/>
  <c r="U201" i="67"/>
  <c r="W201" i="67"/>
  <c r="T189" i="67"/>
  <c r="U204" i="67"/>
  <c r="U206" i="67"/>
  <c r="V201" i="67"/>
  <c r="V204" i="67"/>
  <c r="W204" i="67"/>
  <c r="T204" i="67"/>
  <c r="S204" i="67"/>
  <c r="T206" i="67"/>
  <c r="S206" i="67"/>
  <c r="V206" i="67"/>
  <c r="W206" i="67"/>
  <c r="T210" i="67"/>
  <c r="S200" i="67"/>
  <c r="W220" i="67"/>
  <c r="T220" i="67"/>
  <c r="U210" i="67"/>
  <c r="W210" i="67"/>
  <c r="T200" i="67"/>
  <c r="S220" i="67"/>
  <c r="U220" i="67"/>
  <c r="S210" i="67"/>
  <c r="V220" i="67"/>
  <c r="V210" i="67"/>
  <c r="W200" i="67"/>
  <c r="T190" i="67"/>
  <c r="V190" i="67"/>
  <c r="U190" i="67"/>
  <c r="U205" i="67"/>
  <c r="W190" i="67"/>
  <c r="V200" i="67"/>
  <c r="S190" i="67"/>
  <c r="U200" i="67"/>
  <c r="W205" i="67"/>
  <c r="V205" i="67"/>
  <c r="T205" i="67"/>
  <c r="S205" i="67"/>
  <c r="W208" i="67"/>
  <c r="J186" i="67" s="1"/>
  <c r="J201" i="67" s="1"/>
  <c r="V218" i="67"/>
  <c r="I189" i="67" s="1"/>
  <c r="I204" i="67" s="1"/>
  <c r="T198" i="67"/>
  <c r="G184" i="67" s="1"/>
  <c r="G199" i="67" s="1"/>
  <c r="T218" i="67"/>
  <c r="G189" i="67" s="1"/>
  <c r="G204" i="67" s="1"/>
  <c r="S198" i="67"/>
  <c r="U208" i="67"/>
  <c r="H186" i="67" s="1"/>
  <c r="H201" i="67" s="1"/>
  <c r="W218" i="67"/>
  <c r="J189" i="67" s="1"/>
  <c r="J204" i="67" s="1"/>
  <c r="U203" i="67"/>
  <c r="H185" i="67" s="1"/>
  <c r="H200" i="67" s="1"/>
  <c r="U218" i="67"/>
  <c r="H189" i="67" s="1"/>
  <c r="H204" i="67" s="1"/>
  <c r="V208" i="67"/>
  <c r="I186" i="67" s="1"/>
  <c r="I201" i="67" s="1"/>
  <c r="S218" i="67"/>
  <c r="T208" i="67"/>
  <c r="G186" i="67" s="1"/>
  <c r="G201" i="67" s="1"/>
  <c r="U198" i="67"/>
  <c r="H184" i="67" s="1"/>
  <c r="H199" i="67" s="1"/>
  <c r="T188" i="67"/>
  <c r="G182" i="67" s="1"/>
  <c r="G197" i="67" s="1"/>
  <c r="S208" i="67"/>
  <c r="S188" i="67"/>
  <c r="F182" i="67" s="1"/>
  <c r="F197" i="67" s="1"/>
  <c r="W198" i="67"/>
  <c r="J184" i="67" s="1"/>
  <c r="J199" i="67" s="1"/>
  <c r="U188" i="67"/>
  <c r="H182" i="67" s="1"/>
  <c r="H197" i="67" s="1"/>
  <c r="V188" i="67"/>
  <c r="I182" i="67" s="1"/>
  <c r="I197" i="67" s="1"/>
  <c r="W188" i="67"/>
  <c r="J182" i="67" s="1"/>
  <c r="J197" i="67" s="1"/>
  <c r="V198" i="67"/>
  <c r="I184" i="67" s="1"/>
  <c r="I199" i="67" s="1"/>
  <c r="W203" i="67"/>
  <c r="J185" i="67" s="1"/>
  <c r="J200" i="67" s="1"/>
  <c r="T203" i="67"/>
  <c r="G185" i="67" s="1"/>
  <c r="G200" i="67" s="1"/>
  <c r="S203" i="67"/>
  <c r="V203" i="67"/>
  <c r="I185" i="67" s="1"/>
  <c r="I200" i="67" s="1"/>
  <c r="G182" i="63"/>
  <c r="H182" i="63"/>
  <c r="I183" i="63"/>
  <c r="G183" i="63"/>
  <c r="I189" i="63"/>
  <c r="J186" i="63"/>
  <c r="I182" i="63"/>
  <c r="H184" i="63"/>
  <c r="I186" i="63"/>
  <c r="J183" i="63"/>
  <c r="H189" i="63"/>
  <c r="H185" i="63"/>
  <c r="G189" i="63"/>
  <c r="J189" i="63"/>
  <c r="H186" i="63"/>
  <c r="J182" i="63"/>
  <c r="G185" i="63"/>
  <c r="G184" i="63"/>
  <c r="J184" i="63"/>
  <c r="H183" i="63"/>
  <c r="I184" i="63"/>
  <c r="I185" i="63"/>
  <c r="J185" i="63"/>
  <c r="G186" i="63"/>
  <c r="X120" i="67"/>
  <c r="AD120" i="67" s="1"/>
  <c r="D48" i="74" s="1"/>
  <c r="X118" i="63"/>
  <c r="AD118" i="63" s="1"/>
  <c r="D95" i="74" s="1"/>
  <c r="V164" i="68" l="1"/>
  <c r="V157" i="68"/>
  <c r="V172" i="68"/>
  <c r="V169" i="68"/>
  <c r="V170" i="68"/>
  <c r="W162" i="68"/>
  <c r="W168" i="68"/>
  <c r="V165" i="68"/>
  <c r="V159" i="68"/>
  <c r="W157" i="68"/>
  <c r="W165" i="68"/>
  <c r="V163" i="68"/>
  <c r="W164" i="68"/>
  <c r="W167" i="68"/>
  <c r="V162" i="68"/>
  <c r="V171" i="68"/>
  <c r="W171" i="68"/>
  <c r="V168" i="68"/>
  <c r="W163" i="68"/>
  <c r="W159" i="68"/>
  <c r="V160" i="68"/>
  <c r="W176" i="68"/>
  <c r="W169" i="68"/>
  <c r="W172" i="68"/>
  <c r="W166" i="68"/>
  <c r="V176" i="68"/>
  <c r="V167" i="68"/>
  <c r="V158" i="68"/>
  <c r="W160" i="68"/>
  <c r="W161" i="68"/>
  <c r="U156" i="68"/>
  <c r="V161" i="68"/>
  <c r="W158" i="68"/>
  <c r="W183" i="68"/>
  <c r="X116" i="63"/>
  <c r="AD116" i="63" s="1"/>
  <c r="D93" i="74" s="1"/>
  <c r="X115" i="67"/>
  <c r="X118" i="67"/>
  <c r="AD118" i="67" s="1"/>
  <c r="D46" i="74" s="1"/>
  <c r="X196" i="68"/>
  <c r="X191" i="68"/>
  <c r="X189" i="68"/>
  <c r="X195" i="68"/>
  <c r="X190" i="68"/>
  <c r="X208" i="68"/>
  <c r="X200" i="68"/>
  <c r="X203" i="68"/>
  <c r="X205" i="68"/>
  <c r="X206" i="68"/>
  <c r="X204" i="68"/>
  <c r="X188" i="68"/>
  <c r="X198" i="68"/>
  <c r="X193" i="68"/>
  <c r="X220" i="68"/>
  <c r="X221" i="68"/>
  <c r="X199" i="68"/>
  <c r="X209" i="68"/>
  <c r="X210" i="68"/>
  <c r="X201" i="68"/>
  <c r="X211" i="68"/>
  <c r="X194" i="68"/>
  <c r="X219" i="68"/>
  <c r="X114" i="63"/>
  <c r="X122" i="67"/>
  <c r="AD122" i="67" s="1"/>
  <c r="D50" i="74" s="1"/>
  <c r="X200" i="67"/>
  <c r="X190" i="67"/>
  <c r="X204" i="67"/>
  <c r="X199" i="67"/>
  <c r="X219" i="67"/>
  <c r="X203" i="67"/>
  <c r="F185" i="67"/>
  <c r="F200" i="67" s="1"/>
  <c r="X208" i="67"/>
  <c r="F186" i="67"/>
  <c r="F201" i="67" s="1"/>
  <c r="X195" i="67"/>
  <c r="X220" i="67"/>
  <c r="F186" i="68"/>
  <c r="F201" i="68" s="1"/>
  <c r="F183" i="68"/>
  <c r="F198" i="68" s="1"/>
  <c r="F184" i="68"/>
  <c r="F199" i="68" s="1"/>
  <c r="X191" i="67"/>
  <c r="X211" i="67"/>
  <c r="X194" i="67"/>
  <c r="F183" i="67"/>
  <c r="F198" i="67" s="1"/>
  <c r="X193" i="67"/>
  <c r="X188" i="67"/>
  <c r="F189" i="67"/>
  <c r="F204" i="67" s="1"/>
  <c r="X218" i="67"/>
  <c r="F184" i="67"/>
  <c r="F199" i="67" s="1"/>
  <c r="X198" i="67"/>
  <c r="X210" i="67"/>
  <c r="X206" i="67"/>
  <c r="X196" i="67"/>
  <c r="X189" i="67"/>
  <c r="X209" i="67"/>
  <c r="X205" i="67"/>
  <c r="F185" i="68"/>
  <c r="F200" i="68" s="1"/>
  <c r="F182" i="68"/>
  <c r="F197" i="68" s="1"/>
  <c r="X201" i="67"/>
  <c r="X221" i="67"/>
  <c r="F184" i="63"/>
  <c r="F183" i="63"/>
  <c r="F186" i="63"/>
  <c r="F182" i="63"/>
  <c r="F185" i="63"/>
  <c r="W186" i="68" l="1"/>
  <c r="V183" i="68"/>
  <c r="V184" i="68"/>
  <c r="V185" i="68"/>
  <c r="V186" i="68"/>
  <c r="W184" i="68"/>
  <c r="W185" i="68"/>
  <c r="U162" i="68"/>
  <c r="U159" i="68"/>
  <c r="U161" i="68"/>
  <c r="U165" i="68"/>
  <c r="U164" i="68"/>
  <c r="U166" i="68"/>
  <c r="U172" i="68"/>
  <c r="U157" i="68"/>
  <c r="U170" i="68"/>
  <c r="U167" i="68"/>
  <c r="U168" i="68"/>
  <c r="U158" i="68"/>
  <c r="U160" i="68"/>
  <c r="U169" i="68"/>
  <c r="U176" i="68"/>
  <c r="U163" i="68"/>
  <c r="U171" i="68"/>
  <c r="X114" i="67"/>
  <c r="T123" i="68"/>
  <c r="U123" i="67"/>
  <c r="U214" i="67" s="1"/>
  <c r="K185" i="67"/>
  <c r="K201" i="68"/>
  <c r="E11" i="66" s="1"/>
  <c r="K186" i="68"/>
  <c r="K200" i="68"/>
  <c r="E10" i="66" s="1"/>
  <c r="K185" i="68"/>
  <c r="K184" i="68"/>
  <c r="K199" i="68"/>
  <c r="E9" i="66" s="1"/>
  <c r="K184" i="67"/>
  <c r="K182" i="68"/>
  <c r="K189" i="67"/>
  <c r="K182" i="67"/>
  <c r="K183" i="67"/>
  <c r="K198" i="68"/>
  <c r="E8" i="66" s="1"/>
  <c r="K183" i="68"/>
  <c r="K186" i="67"/>
  <c r="K185" i="63"/>
  <c r="K183" i="63"/>
  <c r="K186" i="63"/>
  <c r="K182" i="63"/>
  <c r="K184" i="63"/>
  <c r="U213" i="67" l="1"/>
  <c r="U156" i="67"/>
  <c r="U168" i="67" s="1"/>
  <c r="U215" i="67"/>
  <c r="U216" i="67"/>
  <c r="T156" i="68"/>
  <c r="T215" i="68"/>
  <c r="T216" i="68"/>
  <c r="T214" i="68"/>
  <c r="T213" i="68"/>
  <c r="K198" i="67"/>
  <c r="C8" i="66" s="1"/>
  <c r="K204" i="67"/>
  <c r="C14" i="66" s="1"/>
  <c r="K199" i="67"/>
  <c r="C9" i="66" s="1"/>
  <c r="K200" i="67"/>
  <c r="C10" i="66" s="1"/>
  <c r="K197" i="68"/>
  <c r="E7" i="66" s="1"/>
  <c r="K201" i="67"/>
  <c r="C11" i="66" s="1"/>
  <c r="K197" i="67"/>
  <c r="C7" i="66" s="1"/>
  <c r="B2" i="52"/>
  <c r="B3" i="52"/>
  <c r="B4" i="52"/>
  <c r="B5" i="52"/>
  <c r="B6" i="52"/>
  <c r="B7" i="52"/>
  <c r="B8" i="52"/>
  <c r="B9" i="52"/>
  <c r="B10" i="52"/>
  <c r="B11" i="52"/>
  <c r="B12" i="52"/>
  <c r="B13" i="52"/>
  <c r="B14" i="52"/>
  <c r="B15" i="52"/>
  <c r="B16" i="52"/>
  <c r="B17" i="52"/>
  <c r="B18" i="52"/>
  <c r="B19" i="52"/>
  <c r="B20" i="52"/>
  <c r="B21" i="52"/>
  <c r="B22" i="52"/>
  <c r="B23" i="52"/>
  <c r="B24" i="52"/>
  <c r="B25" i="52"/>
  <c r="B26" i="52"/>
  <c r="B27" i="52"/>
  <c r="B28" i="52"/>
  <c r="B29" i="52"/>
  <c r="B30" i="52"/>
  <c r="B31" i="52"/>
  <c r="B32" i="52"/>
  <c r="B33" i="52"/>
  <c r="B34" i="52"/>
  <c r="B35" i="52"/>
  <c r="B36" i="52"/>
  <c r="B37" i="52"/>
  <c r="B38" i="52"/>
  <c r="B39" i="52"/>
  <c r="B40" i="52"/>
  <c r="B41" i="52"/>
  <c r="B42" i="52"/>
  <c r="B43" i="52"/>
  <c r="B44" i="52"/>
  <c r="B45" i="52"/>
  <c r="B46" i="52"/>
  <c r="B47" i="52"/>
  <c r="B48" i="52"/>
  <c r="B49" i="52"/>
  <c r="B50" i="52"/>
  <c r="B51" i="52"/>
  <c r="B52" i="52"/>
  <c r="B53" i="52"/>
  <c r="B54" i="52"/>
  <c r="B55" i="52"/>
  <c r="B56" i="52"/>
  <c r="B57" i="52"/>
  <c r="B58" i="52"/>
  <c r="B59" i="52"/>
  <c r="B60" i="52"/>
  <c r="B61" i="52"/>
  <c r="B62" i="52"/>
  <c r="B63" i="52"/>
  <c r="B64" i="52"/>
  <c r="B65" i="52"/>
  <c r="B66" i="52"/>
  <c r="B67" i="52"/>
  <c r="B68" i="52"/>
  <c r="B69" i="52"/>
  <c r="B70" i="52"/>
  <c r="B71" i="52"/>
  <c r="B72" i="52"/>
  <c r="B73" i="52"/>
  <c r="B74" i="52"/>
  <c r="B75" i="52"/>
  <c r="B76" i="52"/>
  <c r="B77" i="52"/>
  <c r="B78" i="52"/>
  <c r="B79" i="52"/>
  <c r="B80" i="52"/>
  <c r="B81" i="52"/>
  <c r="B82" i="52"/>
  <c r="B83" i="52"/>
  <c r="B84" i="52"/>
  <c r="B85" i="52"/>
  <c r="B86" i="52"/>
  <c r="B87" i="52"/>
  <c r="B88" i="52"/>
  <c r="B89" i="52"/>
  <c r="B90" i="52"/>
  <c r="B91" i="52"/>
  <c r="B92" i="52"/>
  <c r="B93" i="52"/>
  <c r="B94" i="52"/>
  <c r="B95" i="52"/>
  <c r="B96" i="52"/>
  <c r="B97" i="52"/>
  <c r="B98" i="52"/>
  <c r="B99" i="52"/>
  <c r="B100" i="52"/>
  <c r="B101" i="52"/>
  <c r="B102" i="52"/>
  <c r="B103" i="52"/>
  <c r="B104" i="52"/>
  <c r="B105" i="52"/>
  <c r="B106" i="52"/>
  <c r="B107" i="52"/>
  <c r="B108" i="52"/>
  <c r="B109" i="52"/>
  <c r="B110" i="52"/>
  <c r="B111" i="52"/>
  <c r="B112" i="52"/>
  <c r="B113" i="52"/>
  <c r="B114" i="52"/>
  <c r="B115" i="52"/>
  <c r="B116" i="52"/>
  <c r="B117" i="52"/>
  <c r="B118" i="52"/>
  <c r="B119" i="52"/>
  <c r="B120" i="52"/>
  <c r="B121" i="52"/>
  <c r="B122" i="52"/>
  <c r="B123" i="52"/>
  <c r="B124" i="52"/>
  <c r="B125" i="52"/>
  <c r="B126" i="52"/>
  <c r="B127" i="52"/>
  <c r="B128" i="52"/>
  <c r="B129" i="52"/>
  <c r="B130" i="52"/>
  <c r="B131" i="52"/>
  <c r="B132" i="52"/>
  <c r="B133" i="52"/>
  <c r="B134" i="52"/>
  <c r="B135" i="52"/>
  <c r="B136" i="52"/>
  <c r="B137" i="52"/>
  <c r="B138" i="52"/>
  <c r="B139" i="52"/>
  <c r="B140" i="52"/>
  <c r="B141" i="52"/>
  <c r="B142" i="52"/>
  <c r="B143" i="52"/>
  <c r="B144" i="52"/>
  <c r="B145" i="52"/>
  <c r="B146" i="52"/>
  <c r="B147" i="52"/>
  <c r="B148" i="52"/>
  <c r="B149" i="52"/>
  <c r="B150" i="52"/>
  <c r="B151" i="52"/>
  <c r="B152" i="52"/>
  <c r="B153" i="52"/>
  <c r="B154" i="52"/>
  <c r="B155" i="52"/>
  <c r="B156" i="52"/>
  <c r="B157" i="52"/>
  <c r="B158" i="52"/>
  <c r="B159" i="52"/>
  <c r="B160" i="52"/>
  <c r="B161" i="52"/>
  <c r="B162" i="52"/>
  <c r="B163" i="52"/>
  <c r="B164" i="52"/>
  <c r="B165" i="52"/>
  <c r="B166" i="52"/>
  <c r="B167" i="52"/>
  <c r="B168" i="52"/>
  <c r="B169" i="52"/>
  <c r="B170" i="52"/>
  <c r="B171" i="52"/>
  <c r="B172" i="52"/>
  <c r="B173" i="52"/>
  <c r="B174" i="52"/>
  <c r="B175" i="52"/>
  <c r="B176" i="52"/>
  <c r="B177" i="52"/>
  <c r="B178" i="52"/>
  <c r="B179" i="52"/>
  <c r="B180" i="52"/>
  <c r="B181" i="52"/>
  <c r="B182" i="52"/>
  <c r="B183" i="52"/>
  <c r="B184" i="52"/>
  <c r="B185" i="52"/>
  <c r="B186" i="52"/>
  <c r="B187" i="52"/>
  <c r="B188" i="52"/>
  <c r="B189" i="52"/>
  <c r="B190" i="52"/>
  <c r="B191" i="52"/>
  <c r="B192" i="52"/>
  <c r="B193" i="52"/>
  <c r="B194" i="52"/>
  <c r="B195" i="52"/>
  <c r="B196" i="52"/>
  <c r="B197" i="52"/>
  <c r="B198" i="52"/>
  <c r="B199" i="52"/>
  <c r="B200" i="52"/>
  <c r="B201" i="52"/>
  <c r="B202" i="52"/>
  <c r="B203" i="52"/>
  <c r="B204" i="52"/>
  <c r="B205" i="52"/>
  <c r="B206" i="52"/>
  <c r="B207" i="52"/>
  <c r="B208" i="52"/>
  <c r="B209" i="52"/>
  <c r="B210" i="52"/>
  <c r="B211" i="52"/>
  <c r="B212" i="52"/>
  <c r="B213" i="52"/>
  <c r="B214" i="52"/>
  <c r="B215" i="52"/>
  <c r="B216" i="52"/>
  <c r="B217" i="52"/>
  <c r="B218" i="52"/>
  <c r="B219" i="52"/>
  <c r="B220" i="52"/>
  <c r="B221" i="52"/>
  <c r="B222" i="52"/>
  <c r="B223" i="52"/>
  <c r="B224" i="52"/>
  <c r="B225" i="52"/>
  <c r="B226" i="52"/>
  <c r="B227" i="52"/>
  <c r="B228" i="52"/>
  <c r="B229" i="52"/>
  <c r="B230" i="52"/>
  <c r="B231" i="52"/>
  <c r="B232" i="52"/>
  <c r="B233" i="52"/>
  <c r="B234" i="52"/>
  <c r="B235" i="52"/>
  <c r="B236" i="52"/>
  <c r="B237" i="52"/>
  <c r="B238" i="52"/>
  <c r="B239" i="52"/>
  <c r="B240" i="52"/>
  <c r="B241" i="52"/>
  <c r="B242" i="52"/>
  <c r="B243" i="52"/>
  <c r="B244" i="52"/>
  <c r="B245" i="52"/>
  <c r="B246" i="52"/>
  <c r="B247" i="52"/>
  <c r="B248" i="52"/>
  <c r="B249" i="52"/>
  <c r="B250" i="52"/>
  <c r="B251" i="52"/>
  <c r="B252" i="52"/>
  <c r="B253" i="52"/>
  <c r="B254" i="52"/>
  <c r="B255" i="52"/>
  <c r="B256" i="52"/>
  <c r="B257" i="52"/>
  <c r="B258" i="52"/>
  <c r="B259" i="52"/>
  <c r="B260" i="52"/>
  <c r="B261" i="52"/>
  <c r="B262" i="52"/>
  <c r="B263" i="52"/>
  <c r="B264" i="52"/>
  <c r="B265" i="52"/>
  <c r="B266" i="52"/>
  <c r="B267" i="52"/>
  <c r="B268" i="52"/>
  <c r="B269" i="52"/>
  <c r="B270" i="52"/>
  <c r="B271" i="52"/>
  <c r="B272" i="52"/>
  <c r="B273" i="52"/>
  <c r="B274" i="52"/>
  <c r="B275" i="52"/>
  <c r="B276" i="52"/>
  <c r="B277" i="52"/>
  <c r="B278" i="52"/>
  <c r="B279" i="52"/>
  <c r="B280" i="52"/>
  <c r="B281" i="52"/>
  <c r="B282" i="52"/>
  <c r="B283" i="52"/>
  <c r="B284" i="52"/>
  <c r="B285" i="52"/>
  <c r="B286" i="52"/>
  <c r="B287" i="52"/>
  <c r="B288" i="52"/>
  <c r="B289" i="52"/>
  <c r="B290" i="52"/>
  <c r="B291" i="52"/>
  <c r="B292" i="52"/>
  <c r="B293" i="52"/>
  <c r="B294" i="52"/>
  <c r="B295" i="52"/>
  <c r="B296" i="52"/>
  <c r="B297" i="52"/>
  <c r="B298" i="52"/>
  <c r="B299" i="52"/>
  <c r="B300" i="52"/>
  <c r="B301" i="52"/>
  <c r="B302" i="52"/>
  <c r="B303" i="52"/>
  <c r="B304" i="52"/>
  <c r="B305" i="52"/>
  <c r="B306" i="52"/>
  <c r="B307" i="52"/>
  <c r="B308" i="52"/>
  <c r="B309" i="52"/>
  <c r="B310" i="52"/>
  <c r="B311" i="52"/>
  <c r="B312" i="52"/>
  <c r="B313" i="52"/>
  <c r="B314" i="52"/>
  <c r="B315" i="52"/>
  <c r="B316" i="52"/>
  <c r="B317" i="52"/>
  <c r="B318" i="52"/>
  <c r="B319" i="52"/>
  <c r="B320" i="52"/>
  <c r="B321" i="52"/>
  <c r="B322" i="52"/>
  <c r="B323" i="52"/>
  <c r="B324" i="52"/>
  <c r="B325" i="52"/>
  <c r="B326" i="52"/>
  <c r="B327" i="52"/>
  <c r="B328" i="52"/>
  <c r="B329" i="52"/>
  <c r="B330" i="52"/>
  <c r="B331" i="52"/>
  <c r="B332" i="52"/>
  <c r="B333" i="52"/>
  <c r="B334" i="52"/>
  <c r="B335" i="52"/>
  <c r="B336" i="52"/>
  <c r="B337" i="52"/>
  <c r="B338" i="52"/>
  <c r="B339" i="52"/>
  <c r="B340" i="52"/>
  <c r="B341" i="52"/>
  <c r="B342" i="52"/>
  <c r="B343" i="52"/>
  <c r="B344" i="52"/>
  <c r="B345" i="52"/>
  <c r="B346" i="52"/>
  <c r="B347" i="52"/>
  <c r="B348" i="52"/>
  <c r="B349" i="52"/>
  <c r="B350" i="52"/>
  <c r="B351" i="52"/>
  <c r="B352" i="52"/>
  <c r="B353" i="52"/>
  <c r="B354" i="52"/>
  <c r="B355" i="52"/>
  <c r="B356" i="52"/>
  <c r="B357" i="52"/>
  <c r="B358" i="52"/>
  <c r="B359" i="52"/>
  <c r="B360" i="52"/>
  <c r="B361" i="52"/>
  <c r="B362" i="52"/>
  <c r="B363" i="52"/>
  <c r="B364" i="52"/>
  <c r="B365" i="52"/>
  <c r="B366" i="52"/>
  <c r="B367" i="52"/>
  <c r="B368" i="52"/>
  <c r="B369" i="52"/>
  <c r="B370" i="52"/>
  <c r="B371" i="52"/>
  <c r="B372" i="52"/>
  <c r="B373" i="52"/>
  <c r="B374" i="52"/>
  <c r="B375" i="52"/>
  <c r="B376" i="52"/>
  <c r="B377" i="52"/>
  <c r="B378" i="52"/>
  <c r="B379" i="52"/>
  <c r="B380" i="52"/>
  <c r="B381" i="52"/>
  <c r="B382" i="52"/>
  <c r="B383" i="52"/>
  <c r="B384" i="52"/>
  <c r="B385" i="52"/>
  <c r="B386" i="52"/>
  <c r="B387" i="52"/>
  <c r="B388" i="52"/>
  <c r="B389" i="52"/>
  <c r="B390" i="52"/>
  <c r="B391" i="52"/>
  <c r="B392" i="52"/>
  <c r="B393" i="52"/>
  <c r="B394" i="52"/>
  <c r="B395" i="52"/>
  <c r="B396" i="52"/>
  <c r="B397" i="52"/>
  <c r="B398" i="52"/>
  <c r="B399" i="52"/>
  <c r="B400" i="52"/>
  <c r="B401" i="52"/>
  <c r="B402" i="52"/>
  <c r="B403" i="52"/>
  <c r="B404" i="52"/>
  <c r="B405" i="52"/>
  <c r="B406" i="52"/>
  <c r="B407" i="52"/>
  <c r="B408" i="52"/>
  <c r="B409" i="52"/>
  <c r="B410" i="52"/>
  <c r="B411" i="52"/>
  <c r="B412" i="52"/>
  <c r="B413" i="52"/>
  <c r="B414" i="52"/>
  <c r="B415" i="52"/>
  <c r="B416" i="52"/>
  <c r="B417" i="52"/>
  <c r="B418" i="52"/>
  <c r="B419" i="52"/>
  <c r="B420" i="52"/>
  <c r="B421" i="52"/>
  <c r="B422" i="52"/>
  <c r="B423" i="52"/>
  <c r="B424" i="52"/>
  <c r="B425" i="52"/>
  <c r="B426" i="52"/>
  <c r="B427" i="52"/>
  <c r="B428" i="52"/>
  <c r="B429" i="52"/>
  <c r="B430" i="52"/>
  <c r="B431" i="52"/>
  <c r="B432" i="52"/>
  <c r="B433" i="52"/>
  <c r="B434" i="52"/>
  <c r="B435" i="52"/>
  <c r="B436" i="52"/>
  <c r="B437" i="52"/>
  <c r="B438" i="52"/>
  <c r="B439" i="52"/>
  <c r="B440" i="52"/>
  <c r="B441" i="52"/>
  <c r="B442" i="52"/>
  <c r="B443" i="52"/>
  <c r="B444" i="52"/>
  <c r="B445" i="52"/>
  <c r="B446" i="52"/>
  <c r="B447" i="52"/>
  <c r="B448" i="52"/>
  <c r="B449" i="52"/>
  <c r="B450" i="52"/>
  <c r="B451" i="52"/>
  <c r="B452" i="52"/>
  <c r="B453" i="52"/>
  <c r="B454" i="52"/>
  <c r="B455" i="52"/>
  <c r="B456" i="52"/>
  <c r="B457" i="52"/>
  <c r="B458" i="52"/>
  <c r="B459" i="52"/>
  <c r="B460" i="52"/>
  <c r="B461" i="52"/>
  <c r="B462" i="52"/>
  <c r="B463" i="52"/>
  <c r="B464" i="52"/>
  <c r="B465" i="52"/>
  <c r="B466" i="52"/>
  <c r="B467" i="52"/>
  <c r="B468" i="52"/>
  <c r="B469" i="52"/>
  <c r="B470" i="52"/>
  <c r="B471" i="52"/>
  <c r="B472" i="52"/>
  <c r="B473" i="52"/>
  <c r="B474" i="52"/>
  <c r="B475" i="52"/>
  <c r="B476" i="52"/>
  <c r="B477" i="52"/>
  <c r="B478" i="52"/>
  <c r="B479" i="52"/>
  <c r="B480" i="52"/>
  <c r="B481" i="52"/>
  <c r="B482" i="52"/>
  <c r="B483" i="52"/>
  <c r="B484" i="52"/>
  <c r="B485" i="52"/>
  <c r="B486" i="52"/>
  <c r="B487" i="52"/>
  <c r="B488" i="52"/>
  <c r="B489" i="52"/>
  <c r="B490" i="52"/>
  <c r="B491" i="52"/>
  <c r="B492" i="52"/>
  <c r="B493" i="52"/>
  <c r="B494" i="52"/>
  <c r="B495" i="52"/>
  <c r="B496" i="52"/>
  <c r="B497" i="52"/>
  <c r="B498" i="52"/>
  <c r="B499" i="52"/>
  <c r="B500" i="52"/>
  <c r="B501" i="52"/>
  <c r="B502" i="52"/>
  <c r="B503" i="52"/>
  <c r="B504" i="52"/>
  <c r="B505" i="52"/>
  <c r="B506" i="52"/>
  <c r="B507" i="52"/>
  <c r="B508" i="52"/>
  <c r="B509" i="52"/>
  <c r="B510" i="52"/>
  <c r="B511" i="52"/>
  <c r="B512" i="52"/>
  <c r="B513" i="52"/>
  <c r="B514" i="52"/>
  <c r="B515" i="52"/>
  <c r="B516" i="52"/>
  <c r="B517" i="52"/>
  <c r="B518" i="52"/>
  <c r="B519" i="52"/>
  <c r="B520" i="52"/>
  <c r="B521" i="52"/>
  <c r="B522" i="52"/>
  <c r="B523" i="52"/>
  <c r="B524" i="52"/>
  <c r="B525" i="52"/>
  <c r="B526" i="52"/>
  <c r="B527" i="52"/>
  <c r="B528" i="52"/>
  <c r="B529" i="52"/>
  <c r="B530" i="52"/>
  <c r="B531" i="52"/>
  <c r="B532" i="52"/>
  <c r="B533" i="52"/>
  <c r="B534" i="52"/>
  <c r="B535" i="52"/>
  <c r="B536" i="52"/>
  <c r="B537" i="52"/>
  <c r="B538" i="52"/>
  <c r="B539" i="52"/>
  <c r="B540" i="52"/>
  <c r="B541" i="52"/>
  <c r="B542" i="52"/>
  <c r="B543" i="52"/>
  <c r="B544" i="52"/>
  <c r="B545" i="52"/>
  <c r="B546" i="52"/>
  <c r="B547" i="52"/>
  <c r="B548" i="52"/>
  <c r="B549" i="52"/>
  <c r="B550" i="52"/>
  <c r="B551" i="52"/>
  <c r="B552" i="52"/>
  <c r="B553" i="52"/>
  <c r="B554" i="52"/>
  <c r="B555" i="52"/>
  <c r="B556" i="52"/>
  <c r="B557" i="52"/>
  <c r="B558" i="52"/>
  <c r="B559" i="52"/>
  <c r="B560" i="52"/>
  <c r="B561" i="52"/>
  <c r="B562" i="52"/>
  <c r="B563" i="52"/>
  <c r="B564" i="52"/>
  <c r="B565" i="52"/>
  <c r="B566" i="52"/>
  <c r="B567" i="52"/>
  <c r="B568" i="52"/>
  <c r="B569" i="52"/>
  <c r="B570" i="52"/>
  <c r="B571" i="52"/>
  <c r="B572" i="52"/>
  <c r="B573" i="52"/>
  <c r="B574" i="52"/>
  <c r="B575" i="52"/>
  <c r="B576" i="52"/>
  <c r="B577" i="52"/>
  <c r="B578" i="52"/>
  <c r="B579" i="52"/>
  <c r="B580" i="52"/>
  <c r="B581" i="52"/>
  <c r="B582" i="52"/>
  <c r="B583" i="52"/>
  <c r="B584" i="52"/>
  <c r="B585" i="52"/>
  <c r="B586" i="52"/>
  <c r="B587" i="52"/>
  <c r="B588" i="52"/>
  <c r="B589" i="52"/>
  <c r="B590" i="52"/>
  <c r="B591" i="52"/>
  <c r="B592" i="52"/>
  <c r="B593" i="52"/>
  <c r="B594" i="52"/>
  <c r="B595" i="52"/>
  <c r="B596" i="52"/>
  <c r="B597" i="52"/>
  <c r="B598" i="52"/>
  <c r="B599" i="52"/>
  <c r="B600" i="52"/>
  <c r="B601" i="52"/>
  <c r="B602" i="52"/>
  <c r="B603" i="52"/>
  <c r="B604" i="52"/>
  <c r="B605" i="52"/>
  <c r="B606" i="52"/>
  <c r="B607" i="52"/>
  <c r="B608" i="52"/>
  <c r="B609" i="52"/>
  <c r="B610" i="52"/>
  <c r="B611" i="52"/>
  <c r="B612" i="52"/>
  <c r="B613" i="52"/>
  <c r="B614" i="52"/>
  <c r="B615" i="52"/>
  <c r="B616" i="52"/>
  <c r="B617" i="52"/>
  <c r="B618" i="52"/>
  <c r="B619" i="52"/>
  <c r="B620" i="52"/>
  <c r="B621" i="52"/>
  <c r="B622" i="52"/>
  <c r="B623" i="52"/>
  <c r="B624" i="52"/>
  <c r="B625" i="52"/>
  <c r="B626" i="52"/>
  <c r="B627" i="52"/>
  <c r="B628" i="52"/>
  <c r="B629" i="52"/>
  <c r="B630" i="52"/>
  <c r="B631" i="52"/>
  <c r="B632" i="52"/>
  <c r="B633" i="52"/>
  <c r="B634" i="52"/>
  <c r="B635" i="52"/>
  <c r="B636" i="52"/>
  <c r="B637" i="52"/>
  <c r="B638" i="52"/>
  <c r="B639" i="52"/>
  <c r="B640" i="52"/>
  <c r="B641" i="52"/>
  <c r="B642" i="52"/>
  <c r="B643" i="52"/>
  <c r="B644" i="52"/>
  <c r="B645" i="52"/>
  <c r="B646" i="52"/>
  <c r="B647" i="52"/>
  <c r="B648" i="52"/>
  <c r="B649" i="52"/>
  <c r="B650" i="52"/>
  <c r="B651" i="52"/>
  <c r="B652" i="52"/>
  <c r="B653" i="52"/>
  <c r="B654" i="52"/>
  <c r="B655" i="52"/>
  <c r="B656" i="52"/>
  <c r="B657" i="52"/>
  <c r="B658" i="52"/>
  <c r="B659" i="52"/>
  <c r="B660" i="52"/>
  <c r="B661" i="52"/>
  <c r="B662" i="52"/>
  <c r="B663" i="52"/>
  <c r="B664" i="52"/>
  <c r="B665" i="52"/>
  <c r="B666" i="52"/>
  <c r="B667" i="52"/>
  <c r="B668" i="52"/>
  <c r="B669" i="52"/>
  <c r="B670" i="52"/>
  <c r="B671" i="52"/>
  <c r="B672" i="52"/>
  <c r="B673" i="52"/>
  <c r="B674" i="52"/>
  <c r="B675" i="52"/>
  <c r="B676" i="52"/>
  <c r="B677" i="52"/>
  <c r="B678" i="52"/>
  <c r="B679" i="52"/>
  <c r="B680" i="52"/>
  <c r="B681" i="52"/>
  <c r="B682" i="52"/>
  <c r="B683" i="52"/>
  <c r="B684" i="52"/>
  <c r="B685" i="52"/>
  <c r="B686" i="52"/>
  <c r="B687" i="52"/>
  <c r="B688" i="52"/>
  <c r="B689" i="52"/>
  <c r="B690" i="52"/>
  <c r="B691" i="52"/>
  <c r="B692" i="52"/>
  <c r="B693" i="52"/>
  <c r="B694" i="52"/>
  <c r="B695" i="52"/>
  <c r="B696" i="52"/>
  <c r="B697" i="52"/>
  <c r="B698" i="52"/>
  <c r="B699" i="52"/>
  <c r="B700" i="52"/>
  <c r="B701" i="52"/>
  <c r="B702" i="52"/>
  <c r="B703" i="52"/>
  <c r="B704" i="52"/>
  <c r="B705" i="52"/>
  <c r="B706" i="52"/>
  <c r="B707" i="52"/>
  <c r="B708" i="52"/>
  <c r="B709" i="52"/>
  <c r="B710" i="52"/>
  <c r="B711" i="52"/>
  <c r="B712" i="52"/>
  <c r="B713" i="52"/>
  <c r="B714" i="52"/>
  <c r="B715" i="52"/>
  <c r="B716" i="52"/>
  <c r="B717" i="52"/>
  <c r="B718" i="52"/>
  <c r="B719" i="52"/>
  <c r="B720" i="52"/>
  <c r="B721" i="52"/>
  <c r="B722" i="52"/>
  <c r="B723" i="52"/>
  <c r="B724" i="52"/>
  <c r="B725" i="52"/>
  <c r="B726" i="52"/>
  <c r="B727" i="52"/>
  <c r="B728" i="52"/>
  <c r="B729" i="52"/>
  <c r="B730" i="52"/>
  <c r="B731" i="52"/>
  <c r="B732" i="52"/>
  <c r="B733" i="52"/>
  <c r="B734" i="52"/>
  <c r="B735" i="52"/>
  <c r="B736" i="52"/>
  <c r="B737" i="52"/>
  <c r="B738" i="52"/>
  <c r="B739" i="52"/>
  <c r="B740" i="52"/>
  <c r="B741" i="52"/>
  <c r="B742" i="52"/>
  <c r="B743" i="52"/>
  <c r="B744" i="52"/>
  <c r="B745" i="52"/>
  <c r="B746" i="52"/>
  <c r="B747" i="52"/>
  <c r="B748" i="52"/>
  <c r="B749" i="52"/>
  <c r="B750" i="52"/>
  <c r="B751" i="52"/>
  <c r="B752" i="52"/>
  <c r="B753" i="52"/>
  <c r="B754" i="52"/>
  <c r="B755" i="52"/>
  <c r="B756" i="52"/>
  <c r="B757" i="52"/>
  <c r="B758" i="52"/>
  <c r="B759" i="52"/>
  <c r="B760" i="52"/>
  <c r="B761" i="52"/>
  <c r="B762" i="52"/>
  <c r="B763" i="52"/>
  <c r="B764" i="52"/>
  <c r="B765" i="52"/>
  <c r="B766" i="52"/>
  <c r="B767" i="52"/>
  <c r="B768" i="52"/>
  <c r="B769" i="52"/>
  <c r="B770" i="52"/>
  <c r="B771" i="52"/>
  <c r="B772" i="52"/>
  <c r="B773" i="52"/>
  <c r="B774" i="52"/>
  <c r="B775" i="52"/>
  <c r="B776" i="52"/>
  <c r="B777" i="52"/>
  <c r="B778" i="52"/>
  <c r="B779" i="52"/>
  <c r="B780" i="52"/>
  <c r="B781" i="52"/>
  <c r="B782" i="52"/>
  <c r="B783" i="52"/>
  <c r="B784" i="52"/>
  <c r="B785" i="52"/>
  <c r="B786" i="52"/>
  <c r="B787" i="52"/>
  <c r="B788" i="52"/>
  <c r="B789" i="52"/>
  <c r="B790" i="52"/>
  <c r="B791" i="52"/>
  <c r="B792" i="52"/>
  <c r="B793" i="52"/>
  <c r="B794" i="52"/>
  <c r="B795" i="52"/>
  <c r="B796" i="52"/>
  <c r="B797" i="52"/>
  <c r="B798" i="52"/>
  <c r="B799" i="52"/>
  <c r="B800" i="52"/>
  <c r="B801" i="52"/>
  <c r="B802" i="52"/>
  <c r="B803" i="52"/>
  <c r="B804" i="52"/>
  <c r="B805" i="52"/>
  <c r="B806" i="52"/>
  <c r="B807" i="52"/>
  <c r="B808" i="52"/>
  <c r="B809" i="52"/>
  <c r="B810" i="52"/>
  <c r="B811" i="52"/>
  <c r="B812" i="52"/>
  <c r="B813" i="52"/>
  <c r="B814" i="52"/>
  <c r="B815" i="52"/>
  <c r="B816" i="52"/>
  <c r="B817" i="52"/>
  <c r="B818" i="52"/>
  <c r="B819" i="52"/>
  <c r="B820" i="52"/>
  <c r="B821" i="52"/>
  <c r="B822" i="52"/>
  <c r="B823" i="52"/>
  <c r="B824" i="52"/>
  <c r="B825" i="52"/>
  <c r="B826" i="52"/>
  <c r="B827" i="52"/>
  <c r="B828" i="52"/>
  <c r="B829" i="52"/>
  <c r="B830" i="52"/>
  <c r="B831" i="52"/>
  <c r="B832" i="52"/>
  <c r="B833" i="52"/>
  <c r="B834" i="52"/>
  <c r="B835" i="52"/>
  <c r="B836" i="52"/>
  <c r="B837" i="52"/>
  <c r="B838" i="52"/>
  <c r="B839" i="52"/>
  <c r="B840" i="52"/>
  <c r="B841" i="52"/>
  <c r="B842" i="52"/>
  <c r="B843" i="52"/>
  <c r="B844" i="52"/>
  <c r="B845" i="52"/>
  <c r="B846" i="52"/>
  <c r="B847" i="52"/>
  <c r="B848" i="52"/>
  <c r="B849" i="52"/>
  <c r="B850" i="52"/>
  <c r="B851" i="52"/>
  <c r="B852" i="52"/>
  <c r="B853" i="52"/>
  <c r="B854" i="52"/>
  <c r="B855" i="52"/>
  <c r="B856" i="52"/>
  <c r="B857" i="52"/>
  <c r="B858" i="52"/>
  <c r="B859" i="52"/>
  <c r="B860" i="52"/>
  <c r="B861" i="52"/>
  <c r="B862" i="52"/>
  <c r="B863" i="52"/>
  <c r="B864" i="52"/>
  <c r="B865" i="52"/>
  <c r="B866" i="52"/>
  <c r="B867" i="52"/>
  <c r="B868" i="52"/>
  <c r="B869" i="52"/>
  <c r="B870" i="52"/>
  <c r="B871" i="52"/>
  <c r="B872" i="52"/>
  <c r="B873" i="52"/>
  <c r="B874" i="52"/>
  <c r="B875" i="52"/>
  <c r="B876" i="52"/>
  <c r="B877" i="52"/>
  <c r="B878" i="52"/>
  <c r="B879" i="52"/>
  <c r="B880" i="52"/>
  <c r="B881" i="52"/>
  <c r="B882" i="52"/>
  <c r="B883" i="52"/>
  <c r="B884" i="52"/>
  <c r="B885" i="52"/>
  <c r="B886" i="52"/>
  <c r="B887" i="52"/>
  <c r="B888" i="52"/>
  <c r="B889" i="52"/>
  <c r="B890" i="52"/>
  <c r="B891" i="52"/>
  <c r="B892" i="52"/>
  <c r="B893" i="52"/>
  <c r="B894" i="52"/>
  <c r="B895" i="52"/>
  <c r="B896" i="52"/>
  <c r="B897" i="52"/>
  <c r="B898" i="52"/>
  <c r="B899" i="52"/>
  <c r="B900" i="52"/>
  <c r="B901" i="52"/>
  <c r="B902" i="52"/>
  <c r="B903" i="52"/>
  <c r="B904" i="52"/>
  <c r="B905" i="52"/>
  <c r="B906" i="52"/>
  <c r="B907" i="52"/>
  <c r="B908" i="52"/>
  <c r="B909" i="52"/>
  <c r="B910" i="52"/>
  <c r="B911" i="52"/>
  <c r="B912" i="52"/>
  <c r="B913" i="52"/>
  <c r="B914" i="52"/>
  <c r="B915" i="52"/>
  <c r="B916" i="52"/>
  <c r="B917" i="52"/>
  <c r="B918" i="52"/>
  <c r="B919" i="52"/>
  <c r="B920" i="52"/>
  <c r="B921" i="52"/>
  <c r="B922" i="52"/>
  <c r="B923" i="52"/>
  <c r="B924" i="52"/>
  <c r="B925" i="52"/>
  <c r="B926" i="52"/>
  <c r="B927" i="52"/>
  <c r="B928" i="52"/>
  <c r="B929" i="52"/>
  <c r="B930" i="52"/>
  <c r="B931" i="52"/>
  <c r="B932" i="52"/>
  <c r="B933" i="52"/>
  <c r="B934" i="52"/>
  <c r="B935" i="52"/>
  <c r="B936" i="52"/>
  <c r="B937" i="52"/>
  <c r="B938" i="52"/>
  <c r="B939" i="52"/>
  <c r="B940" i="52"/>
  <c r="B941" i="52"/>
  <c r="B942" i="52"/>
  <c r="B943" i="52"/>
  <c r="B944" i="52"/>
  <c r="B945" i="52"/>
  <c r="B946" i="52"/>
  <c r="B947" i="52"/>
  <c r="B948" i="52"/>
  <c r="B949" i="52"/>
  <c r="B950" i="52"/>
  <c r="B951" i="52"/>
  <c r="B952" i="52"/>
  <c r="B953" i="52"/>
  <c r="B954" i="52"/>
  <c r="B955" i="52"/>
  <c r="B956" i="52"/>
  <c r="B957" i="52"/>
  <c r="B958" i="52"/>
  <c r="B959" i="52"/>
  <c r="B960" i="52"/>
  <c r="B961" i="52"/>
  <c r="B962" i="52"/>
  <c r="B963" i="52"/>
  <c r="B964" i="52"/>
  <c r="B965" i="52"/>
  <c r="B966" i="52"/>
  <c r="B967" i="52"/>
  <c r="B968" i="52"/>
  <c r="B969" i="52"/>
  <c r="B970" i="52"/>
  <c r="B971" i="52"/>
  <c r="B972" i="52"/>
  <c r="B973" i="52"/>
  <c r="B974" i="52"/>
  <c r="B975" i="52"/>
  <c r="B976" i="52"/>
  <c r="B977" i="52"/>
  <c r="B978" i="52"/>
  <c r="B979" i="52"/>
  <c r="B980" i="52"/>
  <c r="B981" i="52"/>
  <c r="B982" i="52"/>
  <c r="B983" i="52"/>
  <c r="B984" i="52"/>
  <c r="B985" i="52"/>
  <c r="B986" i="52"/>
  <c r="B987" i="52"/>
  <c r="B988" i="52"/>
  <c r="B989" i="52"/>
  <c r="B990" i="52"/>
  <c r="B991" i="52"/>
  <c r="B992" i="52"/>
  <c r="B993" i="52"/>
  <c r="B994" i="52"/>
  <c r="B995" i="52"/>
  <c r="B996" i="52"/>
  <c r="B997" i="52"/>
  <c r="B998" i="52"/>
  <c r="B999" i="52"/>
  <c r="B1000" i="52"/>
  <c r="B1001" i="52"/>
  <c r="B1002" i="52"/>
  <c r="B1003" i="52"/>
  <c r="B1004" i="52"/>
  <c r="B1005" i="52"/>
  <c r="B1006" i="52"/>
  <c r="B1007" i="52"/>
  <c r="B1008" i="52"/>
  <c r="B1009" i="52"/>
  <c r="B1010" i="52"/>
  <c r="B1011" i="52"/>
  <c r="B1012" i="52"/>
  <c r="B1013" i="52"/>
  <c r="B1014" i="52"/>
  <c r="B1015" i="52"/>
  <c r="B1016" i="52"/>
  <c r="B1017" i="52"/>
  <c r="B1018" i="52"/>
  <c r="B1019" i="52"/>
  <c r="B1020" i="52"/>
  <c r="B1021" i="52"/>
  <c r="B1022" i="52"/>
  <c r="B1023" i="52"/>
  <c r="B1024" i="52"/>
  <c r="B1025" i="52"/>
  <c r="B1026" i="52"/>
  <c r="B1027" i="52"/>
  <c r="B1028" i="52"/>
  <c r="B1029" i="52"/>
  <c r="B1030" i="52"/>
  <c r="B1031" i="52"/>
  <c r="B1032" i="52"/>
  <c r="B1033" i="52"/>
  <c r="B1034" i="52"/>
  <c r="B1035" i="52"/>
  <c r="B1036" i="52"/>
  <c r="B1037" i="52"/>
  <c r="B1038" i="52"/>
  <c r="B1039" i="52"/>
  <c r="B1040" i="52"/>
  <c r="B1041" i="52"/>
  <c r="B1042" i="52"/>
  <c r="B1043" i="52"/>
  <c r="B1044" i="52"/>
  <c r="B1045" i="52"/>
  <c r="B1046" i="52"/>
  <c r="B1047" i="52"/>
  <c r="B1048" i="52"/>
  <c r="B1049" i="52"/>
  <c r="B1050" i="52"/>
  <c r="B1051" i="52"/>
  <c r="B1052" i="52"/>
  <c r="B1053" i="52"/>
  <c r="B1054" i="52"/>
  <c r="B1055" i="52"/>
  <c r="B1056" i="52"/>
  <c r="B1057" i="52"/>
  <c r="B1058" i="52"/>
  <c r="B1059" i="52"/>
  <c r="B1060" i="52"/>
  <c r="B1061" i="52"/>
  <c r="B1062" i="52"/>
  <c r="B1063" i="52"/>
  <c r="B1064" i="52"/>
  <c r="B1065" i="52"/>
  <c r="B1066" i="52"/>
  <c r="B1067" i="52"/>
  <c r="B1068" i="52"/>
  <c r="B1069" i="52"/>
  <c r="B1070" i="52"/>
  <c r="B1071" i="52"/>
  <c r="B1072" i="52"/>
  <c r="B1073" i="52"/>
  <c r="B1074" i="52"/>
  <c r="B1075" i="52"/>
  <c r="B1076" i="52"/>
  <c r="B1077" i="52"/>
  <c r="B1078" i="52"/>
  <c r="B1079" i="52"/>
  <c r="B1080" i="52"/>
  <c r="B1081" i="52"/>
  <c r="B1082" i="52"/>
  <c r="B1083" i="52"/>
  <c r="B1084" i="52"/>
  <c r="B1085" i="52"/>
  <c r="B1086" i="52"/>
  <c r="B1087" i="52"/>
  <c r="B1088" i="52"/>
  <c r="B1089" i="52"/>
  <c r="B1090" i="52"/>
  <c r="B1091" i="52"/>
  <c r="B1092" i="52"/>
  <c r="B1093" i="52"/>
  <c r="B1094" i="52"/>
  <c r="B1095" i="52"/>
  <c r="B1096" i="52"/>
  <c r="B1097" i="52"/>
  <c r="B1098" i="52"/>
  <c r="B1099" i="52"/>
  <c r="B1100" i="52"/>
  <c r="B1101" i="52"/>
  <c r="B1102" i="52"/>
  <c r="B1103" i="52"/>
  <c r="B1104" i="52"/>
  <c r="B1105" i="52"/>
  <c r="B1106" i="52"/>
  <c r="B1107" i="52"/>
  <c r="B1108" i="52"/>
  <c r="B1109" i="52"/>
  <c r="B1110" i="52"/>
  <c r="B1111" i="52"/>
  <c r="B1112" i="52"/>
  <c r="B1113" i="52"/>
  <c r="B1114" i="52"/>
  <c r="B1115" i="52"/>
  <c r="B1116" i="52"/>
  <c r="B1117" i="52"/>
  <c r="B1118" i="52"/>
  <c r="B1119" i="52"/>
  <c r="B1120" i="52"/>
  <c r="B1121" i="52"/>
  <c r="B1122" i="52"/>
  <c r="B1123" i="52"/>
  <c r="B1124" i="52"/>
  <c r="B1125" i="52"/>
  <c r="B1126" i="52"/>
  <c r="B1127" i="52"/>
  <c r="B1128" i="52"/>
  <c r="B1129" i="52"/>
  <c r="B1130" i="52"/>
  <c r="B1131" i="52"/>
  <c r="B1132" i="52"/>
  <c r="B1133" i="52"/>
  <c r="B1134" i="52"/>
  <c r="B1135" i="52"/>
  <c r="B1136" i="52"/>
  <c r="B1137" i="52"/>
  <c r="B1138" i="52"/>
  <c r="B1139" i="52"/>
  <c r="B1140" i="52"/>
  <c r="B1141" i="52"/>
  <c r="B1142" i="52"/>
  <c r="B1143" i="52"/>
  <c r="B1144" i="52"/>
  <c r="B1145" i="52"/>
  <c r="B1146" i="52"/>
  <c r="B1147" i="52"/>
  <c r="B1148" i="52"/>
  <c r="B1149" i="52"/>
  <c r="B1150" i="52"/>
  <c r="B1151" i="52"/>
  <c r="B1152" i="52"/>
  <c r="B1153" i="52"/>
  <c r="B1154" i="52"/>
  <c r="B1155" i="52"/>
  <c r="B1156" i="52"/>
  <c r="B1157" i="52"/>
  <c r="B1158" i="52"/>
  <c r="B1159" i="52"/>
  <c r="B1160" i="52"/>
  <c r="B1161" i="52"/>
  <c r="B1162" i="52"/>
  <c r="B1163" i="52"/>
  <c r="B1164" i="52"/>
  <c r="B1165" i="52"/>
  <c r="B1166" i="52"/>
  <c r="B1167" i="52"/>
  <c r="B1168" i="52"/>
  <c r="B1169" i="52"/>
  <c r="B1170" i="52"/>
  <c r="B1171" i="52"/>
  <c r="B1172" i="52"/>
  <c r="B1173" i="52"/>
  <c r="B1174" i="52"/>
  <c r="B1175" i="52"/>
  <c r="B1176" i="52"/>
  <c r="B1177" i="52"/>
  <c r="B1178" i="52"/>
  <c r="B1179" i="52"/>
  <c r="B1180" i="52"/>
  <c r="B1181" i="52"/>
  <c r="B1182" i="52"/>
  <c r="B1183" i="52"/>
  <c r="B1184" i="52"/>
  <c r="B1185" i="52"/>
  <c r="B1186" i="52"/>
  <c r="B1187" i="52"/>
  <c r="B1188" i="52"/>
  <c r="B1189" i="52"/>
  <c r="B1190" i="52"/>
  <c r="B1191" i="52"/>
  <c r="B1192" i="52"/>
  <c r="B1193" i="52"/>
  <c r="B1194" i="52"/>
  <c r="B1195" i="52"/>
  <c r="B1196" i="52"/>
  <c r="B1197" i="52"/>
  <c r="B1198" i="52"/>
  <c r="B1199" i="52"/>
  <c r="B1200" i="52"/>
  <c r="B1201" i="52"/>
  <c r="B1202" i="52"/>
  <c r="B1203" i="52"/>
  <c r="B1204" i="52"/>
  <c r="B1205" i="52"/>
  <c r="B1206" i="52"/>
  <c r="B1207" i="52"/>
  <c r="B1208" i="52"/>
  <c r="B1209" i="52"/>
  <c r="B1210" i="52"/>
  <c r="B1211" i="52"/>
  <c r="B1212" i="52"/>
  <c r="B1213" i="52"/>
  <c r="B1214" i="52"/>
  <c r="B1215" i="52"/>
  <c r="B1216" i="52"/>
  <c r="B1217" i="52"/>
  <c r="B1218" i="52"/>
  <c r="B1219" i="52"/>
  <c r="B1220" i="52"/>
  <c r="B1221" i="52"/>
  <c r="B1222" i="52"/>
  <c r="B1223" i="52"/>
  <c r="B1224" i="52"/>
  <c r="B1225" i="52"/>
  <c r="B1226" i="52"/>
  <c r="B1227" i="52"/>
  <c r="B1228" i="52"/>
  <c r="B1229" i="52"/>
  <c r="B1230" i="52"/>
  <c r="B1231" i="52"/>
  <c r="B1232" i="52"/>
  <c r="B1233" i="52"/>
  <c r="B1234" i="52"/>
  <c r="B1235" i="52"/>
  <c r="B1236" i="52"/>
  <c r="B1237" i="52"/>
  <c r="B1238" i="52"/>
  <c r="B1239" i="52"/>
  <c r="B1240" i="52"/>
  <c r="B1241" i="52"/>
  <c r="B1242" i="52"/>
  <c r="B1243" i="52"/>
  <c r="B1244" i="52"/>
  <c r="B1245" i="52"/>
  <c r="B1246" i="52"/>
  <c r="B1247" i="52"/>
  <c r="B1248" i="52"/>
  <c r="B1249" i="52"/>
  <c r="B1250" i="52"/>
  <c r="B1251" i="52"/>
  <c r="B1252" i="52"/>
  <c r="B1253" i="52"/>
  <c r="B1254" i="52"/>
  <c r="B1255" i="52"/>
  <c r="B1256" i="52"/>
  <c r="B1257" i="52"/>
  <c r="B1258" i="52"/>
  <c r="B1259" i="52"/>
  <c r="B1260" i="52"/>
  <c r="B1261" i="52"/>
  <c r="B1262" i="52"/>
  <c r="B1263" i="52"/>
  <c r="B1264" i="52"/>
  <c r="B1265" i="52"/>
  <c r="B1266" i="52"/>
  <c r="B1267" i="52"/>
  <c r="B1268" i="52"/>
  <c r="B1269" i="52"/>
  <c r="B1270" i="52"/>
  <c r="B1271" i="52"/>
  <c r="B1272" i="52"/>
  <c r="B1273" i="52"/>
  <c r="B1274" i="52"/>
  <c r="B1275" i="52"/>
  <c r="B1276" i="52"/>
  <c r="B1277" i="52"/>
  <c r="B1278" i="52"/>
  <c r="B1279" i="52"/>
  <c r="B1280" i="52"/>
  <c r="B1281" i="52"/>
  <c r="B1282" i="52"/>
  <c r="B1283" i="52"/>
  <c r="B1284" i="52"/>
  <c r="B1285" i="52"/>
  <c r="B1286" i="52"/>
  <c r="B1287" i="52"/>
  <c r="B1288" i="52"/>
  <c r="B1289" i="52"/>
  <c r="B1290" i="52"/>
  <c r="B1291" i="52"/>
  <c r="B1292" i="52"/>
  <c r="B1293" i="52"/>
  <c r="B1294" i="52"/>
  <c r="B1295" i="52"/>
  <c r="B1296" i="52"/>
  <c r="B1297" i="52"/>
  <c r="B1298" i="52"/>
  <c r="B1299" i="52"/>
  <c r="B1300" i="52"/>
  <c r="B1301" i="52"/>
  <c r="B1302" i="52"/>
  <c r="B1303" i="52"/>
  <c r="B1304" i="52"/>
  <c r="B1305" i="52"/>
  <c r="B1306" i="52"/>
  <c r="B1307" i="52"/>
  <c r="B1308" i="52"/>
  <c r="B1309" i="52"/>
  <c r="B1310" i="52"/>
  <c r="B1311" i="52"/>
  <c r="B1312" i="52"/>
  <c r="B1313" i="52"/>
  <c r="B1314" i="52"/>
  <c r="B1315" i="52"/>
  <c r="B1316" i="52"/>
  <c r="B1317" i="52"/>
  <c r="B1318" i="52"/>
  <c r="B1319" i="52"/>
  <c r="B1320" i="52"/>
  <c r="B1321" i="52"/>
  <c r="B1322" i="52"/>
  <c r="B1323" i="52"/>
  <c r="B1324" i="52"/>
  <c r="B1325" i="52"/>
  <c r="B1326" i="52"/>
  <c r="B1327" i="52"/>
  <c r="B1328" i="52"/>
  <c r="B1329" i="52"/>
  <c r="B1330" i="52"/>
  <c r="B1331" i="52"/>
  <c r="B1332" i="52"/>
  <c r="B1333" i="52"/>
  <c r="B1334" i="52"/>
  <c r="B1335" i="52"/>
  <c r="B1336" i="52"/>
  <c r="B1337" i="52"/>
  <c r="B1338" i="52"/>
  <c r="B1339" i="52"/>
  <c r="B1340" i="52"/>
  <c r="B1341" i="52"/>
  <c r="B1342" i="52"/>
  <c r="B1343" i="52"/>
  <c r="B1344" i="52"/>
  <c r="B1345" i="52"/>
  <c r="B1346" i="52"/>
  <c r="B1347" i="52"/>
  <c r="B1348" i="52"/>
  <c r="B1349" i="52"/>
  <c r="B1350" i="52"/>
  <c r="B1351" i="52"/>
  <c r="B1352" i="52"/>
  <c r="B1353" i="52"/>
  <c r="B1354" i="52"/>
  <c r="B1355" i="52"/>
  <c r="B1356" i="52"/>
  <c r="B1357" i="52"/>
  <c r="B1358" i="52"/>
  <c r="B1359" i="52"/>
  <c r="B1360" i="52"/>
  <c r="B1361" i="52"/>
  <c r="B1362" i="52"/>
  <c r="B1363" i="52"/>
  <c r="B1364" i="52"/>
  <c r="B1365" i="52"/>
  <c r="B1366" i="52"/>
  <c r="B1367" i="52"/>
  <c r="B1368" i="52"/>
  <c r="B1369" i="52"/>
  <c r="B1370" i="52"/>
  <c r="B1371" i="52"/>
  <c r="B1372" i="52"/>
  <c r="B1373" i="52"/>
  <c r="B1374" i="52"/>
  <c r="B1375" i="52"/>
  <c r="B1376" i="52"/>
  <c r="B1377" i="52"/>
  <c r="B1378" i="52"/>
  <c r="B1379" i="52"/>
  <c r="B1380" i="52"/>
  <c r="B1381" i="52"/>
  <c r="B1382" i="52"/>
  <c r="B1383" i="52"/>
  <c r="B1384" i="52"/>
  <c r="B1385" i="52"/>
  <c r="B1386" i="52"/>
  <c r="B1387" i="52"/>
  <c r="B1388" i="52"/>
  <c r="B1389" i="52"/>
  <c r="B1390" i="52"/>
  <c r="B1391" i="52"/>
  <c r="B1392" i="52"/>
  <c r="B1393" i="52"/>
  <c r="B1394" i="52"/>
  <c r="B1395" i="52"/>
  <c r="B1396" i="52"/>
  <c r="B1397" i="52"/>
  <c r="B1398" i="52"/>
  <c r="B1399" i="52"/>
  <c r="B1400" i="52"/>
  <c r="B1401" i="52"/>
  <c r="B1402" i="52"/>
  <c r="B1403" i="52"/>
  <c r="B1404" i="52"/>
  <c r="B1405" i="52"/>
  <c r="B1406" i="52"/>
  <c r="B1407" i="52"/>
  <c r="B1408" i="52"/>
  <c r="B1409" i="52"/>
  <c r="B1410" i="52"/>
  <c r="B1411" i="52"/>
  <c r="B1412" i="52"/>
  <c r="B1413" i="52"/>
  <c r="B1414" i="52"/>
  <c r="B1415" i="52"/>
  <c r="B1416" i="52"/>
  <c r="B1417" i="52"/>
  <c r="B1418" i="52"/>
  <c r="B1419" i="52"/>
  <c r="B1420" i="52"/>
  <c r="B1421" i="52"/>
  <c r="B1422" i="52"/>
  <c r="B1423" i="52"/>
  <c r="B1424" i="52"/>
  <c r="B1425" i="52"/>
  <c r="B1426" i="52"/>
  <c r="B1427" i="52"/>
  <c r="B1428" i="52"/>
  <c r="B1429" i="52"/>
  <c r="B1430" i="52"/>
  <c r="B1431" i="52"/>
  <c r="B1432" i="52"/>
  <c r="B1433" i="52"/>
  <c r="B1434" i="52"/>
  <c r="B1435" i="52"/>
  <c r="B1436" i="52"/>
  <c r="B1437" i="52"/>
  <c r="B1438" i="52"/>
  <c r="B1439" i="52"/>
  <c r="B1440" i="52"/>
  <c r="B1441" i="52"/>
  <c r="B1442" i="52"/>
  <c r="B1443" i="52"/>
  <c r="B1444" i="52"/>
  <c r="B1445" i="52"/>
  <c r="B1446" i="52"/>
  <c r="B1447" i="52"/>
  <c r="B1448" i="52"/>
  <c r="B1449" i="52"/>
  <c r="B1450" i="52"/>
  <c r="B1451" i="52"/>
  <c r="B1452" i="52"/>
  <c r="B1453" i="52"/>
  <c r="B1454" i="52"/>
  <c r="B1455" i="52"/>
  <c r="B1456" i="52"/>
  <c r="B1457" i="52"/>
  <c r="B1458" i="52"/>
  <c r="B1459" i="52"/>
  <c r="B1460" i="52"/>
  <c r="B1461" i="52"/>
  <c r="B1462" i="52"/>
  <c r="B1463" i="52"/>
  <c r="B1464" i="52"/>
  <c r="B1465" i="52"/>
  <c r="B1466" i="52"/>
  <c r="B1467" i="52"/>
  <c r="B1468" i="52"/>
  <c r="B1469" i="52"/>
  <c r="B1470" i="52"/>
  <c r="B1471" i="52"/>
  <c r="B1472" i="52"/>
  <c r="B1473" i="52"/>
  <c r="B1474" i="52"/>
  <c r="B1475" i="52"/>
  <c r="B1476" i="52"/>
  <c r="B1477" i="52"/>
  <c r="B1478" i="52"/>
  <c r="B1479" i="52"/>
  <c r="B1480" i="52"/>
  <c r="B1481" i="52"/>
  <c r="B1482" i="52"/>
  <c r="B1483" i="52"/>
  <c r="B1484" i="52"/>
  <c r="B1485" i="52"/>
  <c r="B1486" i="52"/>
  <c r="B1487" i="52"/>
  <c r="B1488" i="52"/>
  <c r="B1489" i="52"/>
  <c r="B1490" i="52"/>
  <c r="B1491" i="52"/>
  <c r="B1492" i="52"/>
  <c r="B1493" i="52"/>
  <c r="B1494" i="52"/>
  <c r="B1495" i="52"/>
  <c r="B1496" i="52"/>
  <c r="B1497" i="52"/>
  <c r="B1498" i="52"/>
  <c r="B1499" i="52"/>
  <c r="B1500" i="52"/>
  <c r="B1501" i="52"/>
  <c r="B1502" i="52"/>
  <c r="B1503" i="52"/>
  <c r="B1504" i="52"/>
  <c r="B1505" i="52"/>
  <c r="B1506" i="52"/>
  <c r="B1507" i="52"/>
  <c r="B1508" i="52"/>
  <c r="B1509" i="52"/>
  <c r="B1510" i="52"/>
  <c r="B1511" i="52"/>
  <c r="B1512" i="52"/>
  <c r="B1513" i="52"/>
  <c r="B1514" i="52"/>
  <c r="B1515" i="52"/>
  <c r="B1516" i="52"/>
  <c r="B1517" i="52"/>
  <c r="B1518" i="52"/>
  <c r="B1519" i="52"/>
  <c r="B1520" i="52"/>
  <c r="B1521" i="52"/>
  <c r="B1522" i="52"/>
  <c r="B1523" i="52"/>
  <c r="B1524" i="52"/>
  <c r="B1525" i="52"/>
  <c r="B1526" i="52"/>
  <c r="B1527" i="52"/>
  <c r="B1528" i="52"/>
  <c r="B1529" i="52"/>
  <c r="B1530" i="52"/>
  <c r="B1531" i="52"/>
  <c r="B1532" i="52"/>
  <c r="B1533" i="52"/>
  <c r="B1534" i="52"/>
  <c r="B1535" i="52"/>
  <c r="B1536" i="52"/>
  <c r="B1537" i="52"/>
  <c r="B1538" i="52"/>
  <c r="B1539" i="52"/>
  <c r="B1540" i="52"/>
  <c r="B1541" i="52"/>
  <c r="B1542" i="52"/>
  <c r="B1543" i="52"/>
  <c r="B1544" i="52"/>
  <c r="B1545" i="52"/>
  <c r="B1546" i="52"/>
  <c r="B1547" i="52"/>
  <c r="B1548" i="52"/>
  <c r="B1549" i="52"/>
  <c r="B1550" i="52"/>
  <c r="B1551" i="52"/>
  <c r="B1552" i="52"/>
  <c r="B1553" i="52"/>
  <c r="B1554" i="52"/>
  <c r="B1555" i="52"/>
  <c r="B1556" i="52"/>
  <c r="B1557" i="52"/>
  <c r="B1558" i="52"/>
  <c r="B1559" i="52"/>
  <c r="B1560" i="52"/>
  <c r="B1561" i="52"/>
  <c r="B1562" i="52"/>
  <c r="B1563" i="52"/>
  <c r="B1564" i="52"/>
  <c r="B1565" i="52"/>
  <c r="B1566" i="52"/>
  <c r="B1567" i="52"/>
  <c r="B1568" i="52"/>
  <c r="B1569" i="52"/>
  <c r="B1570" i="52"/>
  <c r="B1571" i="52"/>
  <c r="B1572" i="52"/>
  <c r="B1573" i="52"/>
  <c r="B1574" i="52"/>
  <c r="B1575" i="52"/>
  <c r="B1576" i="52"/>
  <c r="B1577" i="52"/>
  <c r="B1578" i="52"/>
  <c r="B1579" i="52"/>
  <c r="B1580" i="52"/>
  <c r="B1581" i="52"/>
  <c r="B1582" i="52"/>
  <c r="B1583" i="52"/>
  <c r="B1584" i="52"/>
  <c r="B1585" i="52"/>
  <c r="B1586" i="52"/>
  <c r="B1587" i="52"/>
  <c r="B1588" i="52"/>
  <c r="B1589" i="52"/>
  <c r="B1590" i="52"/>
  <c r="B1591" i="52"/>
  <c r="B1592" i="52"/>
  <c r="B1593" i="52"/>
  <c r="B1594" i="52"/>
  <c r="B1595" i="52"/>
  <c r="B1596" i="52"/>
  <c r="B1597" i="52"/>
  <c r="B1598" i="52"/>
  <c r="B1599" i="52"/>
  <c r="B1600" i="52"/>
  <c r="B1601" i="52"/>
  <c r="B1602" i="52"/>
  <c r="B1603" i="52"/>
  <c r="B1604" i="52"/>
  <c r="B1605" i="52"/>
  <c r="B1606" i="52"/>
  <c r="B1607" i="52"/>
  <c r="B1608" i="52"/>
  <c r="B1609" i="52"/>
  <c r="B1610" i="52"/>
  <c r="B1611" i="52"/>
  <c r="B1612" i="52"/>
  <c r="B1613" i="52"/>
  <c r="B1614" i="52"/>
  <c r="B1615" i="52"/>
  <c r="B1616" i="52"/>
  <c r="B1617" i="52"/>
  <c r="B1618" i="52"/>
  <c r="B1619" i="52"/>
  <c r="B1620" i="52"/>
  <c r="B1621" i="52"/>
  <c r="B1622" i="52"/>
  <c r="B1623" i="52"/>
  <c r="B1624" i="52"/>
  <c r="B1625" i="52"/>
  <c r="B1626" i="52"/>
  <c r="B1627" i="52"/>
  <c r="B1628" i="52"/>
  <c r="B1629" i="52"/>
  <c r="B1630" i="52"/>
  <c r="B1631" i="52"/>
  <c r="B1632" i="52"/>
  <c r="B1633" i="52"/>
  <c r="B1634" i="52"/>
  <c r="B1635" i="52"/>
  <c r="B1636" i="52"/>
  <c r="B1637" i="52"/>
  <c r="B1638" i="52"/>
  <c r="B1639" i="52"/>
  <c r="B1640" i="52"/>
  <c r="B1641" i="52"/>
  <c r="B1642" i="52"/>
  <c r="B1643" i="52"/>
  <c r="B1644" i="52"/>
  <c r="B1645" i="52"/>
  <c r="B1646" i="52"/>
  <c r="B1647" i="52"/>
  <c r="B1648" i="52"/>
  <c r="B1649" i="52"/>
  <c r="B1650" i="52"/>
  <c r="B1651" i="52"/>
  <c r="B1652" i="52"/>
  <c r="B1653" i="52"/>
  <c r="B1654" i="52"/>
  <c r="B1655" i="52"/>
  <c r="B1656" i="52"/>
  <c r="B1657" i="52"/>
  <c r="B1658" i="52"/>
  <c r="B1659" i="52"/>
  <c r="B1660" i="52"/>
  <c r="B1661" i="52"/>
  <c r="B1662" i="52"/>
  <c r="B1663" i="52"/>
  <c r="B1664" i="52"/>
  <c r="B1665" i="52"/>
  <c r="B1666" i="52"/>
  <c r="B1667" i="52"/>
  <c r="B1668" i="52"/>
  <c r="B1669" i="52"/>
  <c r="B1670" i="52"/>
  <c r="B1671" i="52"/>
  <c r="B1672" i="52"/>
  <c r="B1673" i="52"/>
  <c r="B1674" i="52"/>
  <c r="B1675" i="52"/>
  <c r="B1676" i="52"/>
  <c r="B1677" i="52"/>
  <c r="B1678" i="52"/>
  <c r="B1679" i="52"/>
  <c r="B1680" i="52"/>
  <c r="B1681" i="52"/>
  <c r="B1682" i="52"/>
  <c r="B1683" i="52"/>
  <c r="B1684" i="52"/>
  <c r="B1685" i="52"/>
  <c r="B1686" i="52"/>
  <c r="B1687" i="52"/>
  <c r="B1688" i="52"/>
  <c r="B1689" i="52"/>
  <c r="B1690" i="52"/>
  <c r="B1691" i="52"/>
  <c r="B1692" i="52"/>
  <c r="B1693" i="52"/>
  <c r="B1694" i="52"/>
  <c r="B1695" i="52"/>
  <c r="B1696" i="52"/>
  <c r="B1697" i="52"/>
  <c r="B1698" i="52"/>
  <c r="B1699" i="52"/>
  <c r="B1700" i="52"/>
  <c r="B1701" i="52"/>
  <c r="B1702" i="52"/>
  <c r="B1703" i="52"/>
  <c r="B1704" i="52"/>
  <c r="B1705" i="52"/>
  <c r="B1706" i="52"/>
  <c r="B1707" i="52"/>
  <c r="B1708" i="52"/>
  <c r="B1709" i="52"/>
  <c r="B1710" i="52"/>
  <c r="B1711" i="52"/>
  <c r="B1712" i="52"/>
  <c r="B1713" i="52"/>
  <c r="B1714" i="52"/>
  <c r="B1715" i="52"/>
  <c r="B1716" i="52"/>
  <c r="B1717" i="52"/>
  <c r="B1718" i="52"/>
  <c r="B1719" i="52"/>
  <c r="B1720" i="52"/>
  <c r="B1721" i="52"/>
  <c r="B1722" i="52"/>
  <c r="B1723" i="52"/>
  <c r="B1724" i="52"/>
  <c r="B1725" i="52"/>
  <c r="B1726" i="52"/>
  <c r="B1727" i="52"/>
  <c r="B1728" i="52"/>
  <c r="B1729" i="52"/>
  <c r="B1730" i="52"/>
  <c r="B1731" i="52"/>
  <c r="B1732" i="52"/>
  <c r="B1733" i="52"/>
  <c r="B1734" i="52"/>
  <c r="B1735" i="52"/>
  <c r="B1736" i="52"/>
  <c r="B1737" i="52"/>
  <c r="B1738" i="52"/>
  <c r="B1739" i="52"/>
  <c r="B1740" i="52"/>
  <c r="B1741" i="52"/>
  <c r="B1742" i="52"/>
  <c r="B1743" i="52"/>
  <c r="B1744" i="52"/>
  <c r="B1745" i="52"/>
  <c r="B1746" i="52"/>
  <c r="B1747" i="52"/>
  <c r="B1748" i="52"/>
  <c r="B1749" i="52"/>
  <c r="B1750" i="52"/>
  <c r="B1751" i="52"/>
  <c r="B1752" i="52"/>
  <c r="B1753" i="52"/>
  <c r="B1754" i="52"/>
  <c r="B1755" i="52"/>
  <c r="B1756" i="52"/>
  <c r="B1757" i="52"/>
  <c r="B1758" i="52"/>
  <c r="B1759" i="52"/>
  <c r="B1760" i="52"/>
  <c r="B1761" i="52"/>
  <c r="B1762" i="52"/>
  <c r="B1763" i="52"/>
  <c r="B1764" i="52"/>
  <c r="B1765" i="52"/>
  <c r="B1766" i="52"/>
  <c r="B1767" i="52"/>
  <c r="B1768" i="52"/>
  <c r="B1769" i="52"/>
  <c r="B1770" i="52"/>
  <c r="B1771" i="52"/>
  <c r="B1772" i="52"/>
  <c r="B1773" i="52"/>
  <c r="B1774" i="52"/>
  <c r="B1775" i="52"/>
  <c r="B1776" i="52"/>
  <c r="B1777" i="52"/>
  <c r="B1778" i="52"/>
  <c r="B1779" i="52"/>
  <c r="B1780" i="52"/>
  <c r="B1781" i="52"/>
  <c r="B1782" i="52"/>
  <c r="B1783" i="52"/>
  <c r="B1784" i="52"/>
  <c r="B1785" i="52"/>
  <c r="B1786" i="52"/>
  <c r="B1787" i="52"/>
  <c r="B1788" i="52"/>
  <c r="B1789" i="52"/>
  <c r="B1790" i="52"/>
  <c r="B1791" i="52"/>
  <c r="B1792" i="52"/>
  <c r="B1793" i="52"/>
  <c r="B1794" i="52"/>
  <c r="B1795" i="52"/>
  <c r="B1796" i="52"/>
  <c r="B1797" i="52"/>
  <c r="B1798" i="52"/>
  <c r="B1799" i="52"/>
  <c r="B1800" i="52"/>
  <c r="B1801" i="52"/>
  <c r="B1802" i="52"/>
  <c r="B1803" i="52"/>
  <c r="B1804" i="52"/>
  <c r="B1805" i="52"/>
  <c r="B1806" i="52"/>
  <c r="B1807" i="52"/>
  <c r="B1808" i="52"/>
  <c r="B1809" i="52"/>
  <c r="B1810" i="52"/>
  <c r="B1811" i="52"/>
  <c r="B1812" i="52"/>
  <c r="B1813" i="52"/>
  <c r="B1814" i="52"/>
  <c r="B1815" i="52"/>
  <c r="B1816" i="52"/>
  <c r="B1817" i="52"/>
  <c r="B1818" i="52"/>
  <c r="B1819" i="52"/>
  <c r="B1820" i="52"/>
  <c r="B1821" i="52"/>
  <c r="B1822" i="52"/>
  <c r="B1823" i="52"/>
  <c r="B1824" i="52"/>
  <c r="B1825" i="52"/>
  <c r="B1826" i="52"/>
  <c r="B1827" i="52"/>
  <c r="B1828" i="52"/>
  <c r="B1829" i="52"/>
  <c r="B1830" i="52"/>
  <c r="B1831" i="52"/>
  <c r="B1832" i="52"/>
  <c r="B1833" i="52"/>
  <c r="B1834" i="52"/>
  <c r="B1835" i="52"/>
  <c r="B1836" i="52"/>
  <c r="B1837" i="52"/>
  <c r="B1838" i="52"/>
  <c r="B1839" i="52"/>
  <c r="B1840" i="52"/>
  <c r="B1841" i="52"/>
  <c r="B1842" i="52"/>
  <c r="B1843" i="52"/>
  <c r="B1844" i="52"/>
  <c r="B1845" i="52"/>
  <c r="B1846" i="52"/>
  <c r="B1847" i="52"/>
  <c r="B1848" i="52"/>
  <c r="B1849" i="52"/>
  <c r="B1850" i="52"/>
  <c r="B1851" i="52"/>
  <c r="B1852" i="52"/>
  <c r="B1853" i="52"/>
  <c r="B1854" i="52"/>
  <c r="B1855" i="52"/>
  <c r="B1856" i="52"/>
  <c r="B1857" i="52"/>
  <c r="B1858" i="52"/>
  <c r="B1859" i="52"/>
  <c r="B1860" i="52"/>
  <c r="B1861" i="52"/>
  <c r="B1862" i="52"/>
  <c r="B1863" i="52"/>
  <c r="B1864" i="52"/>
  <c r="B1865" i="52"/>
  <c r="B1866" i="52"/>
  <c r="B1867" i="52"/>
  <c r="B1868" i="52"/>
  <c r="B1869" i="52"/>
  <c r="B1870" i="52"/>
  <c r="B1871" i="52"/>
  <c r="B1872" i="52"/>
  <c r="B1873" i="52"/>
  <c r="B1874" i="52"/>
  <c r="B1875" i="52"/>
  <c r="B1876" i="52"/>
  <c r="B1877" i="52"/>
  <c r="B1878" i="52"/>
  <c r="B1879" i="52"/>
  <c r="B1880" i="52"/>
  <c r="B1881" i="52"/>
  <c r="B1882" i="52"/>
  <c r="B1883" i="52"/>
  <c r="B1884" i="52"/>
  <c r="B1885" i="52"/>
  <c r="B1886" i="52"/>
  <c r="B1887" i="52"/>
  <c r="B1888" i="52"/>
  <c r="B1889" i="52"/>
  <c r="B1890" i="52"/>
  <c r="B1891" i="52"/>
  <c r="B1892" i="52"/>
  <c r="B1893" i="52"/>
  <c r="B1894" i="52"/>
  <c r="B1895" i="52"/>
  <c r="B1896" i="52"/>
  <c r="B1897" i="52"/>
  <c r="B1898" i="52"/>
  <c r="B1899" i="52"/>
  <c r="B1900" i="52"/>
  <c r="B1901" i="52"/>
  <c r="B1902" i="52"/>
  <c r="B1903" i="52"/>
  <c r="B1904" i="52"/>
  <c r="B1905" i="52"/>
  <c r="B1906" i="52"/>
  <c r="B1907" i="52"/>
  <c r="B1908" i="52"/>
  <c r="B1909" i="52"/>
  <c r="B1910" i="52"/>
  <c r="B1911" i="52"/>
  <c r="B1912" i="52"/>
  <c r="B1913" i="52"/>
  <c r="B1914" i="52"/>
  <c r="B1915" i="52"/>
  <c r="B1916" i="52"/>
  <c r="B1917" i="52"/>
  <c r="B1918" i="52"/>
  <c r="B1919" i="52"/>
  <c r="B1920" i="52"/>
  <c r="B1921" i="52"/>
  <c r="B1922" i="52"/>
  <c r="B1923" i="52"/>
  <c r="B1924" i="52"/>
  <c r="B1925" i="52"/>
  <c r="B1926" i="52"/>
  <c r="B1927" i="52"/>
  <c r="B1928" i="52"/>
  <c r="B1929" i="52"/>
  <c r="B1930" i="52"/>
  <c r="B1931" i="52"/>
  <c r="B1932" i="52"/>
  <c r="B1933" i="52"/>
  <c r="B1934" i="52"/>
  <c r="B1935" i="52"/>
  <c r="B1936" i="52"/>
  <c r="B1937" i="52"/>
  <c r="B1938" i="52"/>
  <c r="B1939" i="52"/>
  <c r="B1940" i="52"/>
  <c r="B1941" i="52"/>
  <c r="B1942" i="52"/>
  <c r="B1943" i="52"/>
  <c r="B1944" i="52"/>
  <c r="B1945" i="52"/>
  <c r="B1946" i="52"/>
  <c r="B1947" i="52"/>
  <c r="B1948" i="52"/>
  <c r="B1949" i="52"/>
  <c r="B1950" i="52"/>
  <c r="B1951" i="52"/>
  <c r="B1952" i="52"/>
  <c r="B1953" i="52"/>
  <c r="B1954" i="52"/>
  <c r="B1955" i="52"/>
  <c r="B1956" i="52"/>
  <c r="B1957" i="52"/>
  <c r="B1958" i="52"/>
  <c r="B1959" i="52"/>
  <c r="B1960" i="52"/>
  <c r="B1961" i="52"/>
  <c r="B1962" i="52"/>
  <c r="B1963" i="52"/>
  <c r="B1964" i="52"/>
  <c r="B1965" i="52"/>
  <c r="B1966" i="52"/>
  <c r="B1967" i="52"/>
  <c r="B1968" i="52"/>
  <c r="B1969" i="52"/>
  <c r="B1970" i="52"/>
  <c r="B1971" i="52"/>
  <c r="B1972" i="52"/>
  <c r="B1973" i="52"/>
  <c r="B1974" i="52"/>
  <c r="B1975" i="52"/>
  <c r="B1976" i="52"/>
  <c r="B1977" i="52"/>
  <c r="B1978" i="52"/>
  <c r="B1979" i="52"/>
  <c r="B1980" i="52"/>
  <c r="B1981" i="52"/>
  <c r="B1982" i="52"/>
  <c r="B1983" i="52"/>
  <c r="B1984" i="52"/>
  <c r="B1985" i="52"/>
  <c r="B1986" i="52"/>
  <c r="B1987" i="52"/>
  <c r="B1988" i="52"/>
  <c r="B1989" i="52"/>
  <c r="B1990" i="52"/>
  <c r="B1991" i="52"/>
  <c r="B1992" i="52"/>
  <c r="B1993" i="52"/>
  <c r="B1994" i="52"/>
  <c r="B1995" i="52"/>
  <c r="B1996" i="52"/>
  <c r="B1997" i="52"/>
  <c r="B1998" i="52"/>
  <c r="B1999" i="52"/>
  <c r="B2000" i="52"/>
  <c r="B2001" i="52"/>
  <c r="B2002" i="52"/>
  <c r="B2003" i="52"/>
  <c r="B2004" i="52"/>
  <c r="B2005" i="52"/>
  <c r="B2006" i="52"/>
  <c r="B2007" i="52"/>
  <c r="B2008" i="52"/>
  <c r="B2009" i="52"/>
  <c r="B2010" i="52"/>
  <c r="B2011" i="52"/>
  <c r="B2012" i="52"/>
  <c r="B2013" i="52"/>
  <c r="B2014" i="52"/>
  <c r="B2015" i="52"/>
  <c r="B2016" i="52"/>
  <c r="B2017" i="52"/>
  <c r="B2018" i="52"/>
  <c r="B2019" i="52"/>
  <c r="B2020" i="52"/>
  <c r="B2021" i="52"/>
  <c r="B2022" i="52"/>
  <c r="B2023" i="52"/>
  <c r="B2024" i="52"/>
  <c r="B2025" i="52"/>
  <c r="B2026" i="52"/>
  <c r="B2027" i="52"/>
  <c r="B2028" i="52"/>
  <c r="B2029" i="52"/>
  <c r="B2030" i="52"/>
  <c r="B2031" i="52"/>
  <c r="B2032" i="52"/>
  <c r="B2033" i="52"/>
  <c r="B2034" i="52"/>
  <c r="B2035" i="52"/>
  <c r="B2036" i="52"/>
  <c r="B2037" i="52"/>
  <c r="B2038" i="52"/>
  <c r="B2039" i="52"/>
  <c r="B2040" i="52"/>
  <c r="B2041" i="52"/>
  <c r="B2042" i="52"/>
  <c r="B2043" i="52"/>
  <c r="B2044" i="52"/>
  <c r="B2045" i="52"/>
  <c r="B2046" i="52"/>
  <c r="B2047" i="52"/>
  <c r="B2048" i="52"/>
  <c r="B2049" i="52"/>
  <c r="B2050" i="52"/>
  <c r="B2051" i="52"/>
  <c r="B2052" i="52"/>
  <c r="B2053" i="52"/>
  <c r="B2054" i="52"/>
  <c r="B2055" i="52"/>
  <c r="B2056" i="52"/>
  <c r="B2057" i="52"/>
  <c r="B2058" i="52"/>
  <c r="B2059" i="52"/>
  <c r="B2060" i="52"/>
  <c r="B2061" i="52"/>
  <c r="B2062" i="52"/>
  <c r="B2063" i="52"/>
  <c r="B2064" i="52"/>
  <c r="B2065" i="52"/>
  <c r="B2066" i="52"/>
  <c r="B2067" i="52"/>
  <c r="B2068" i="52"/>
  <c r="B2069" i="52"/>
  <c r="B2070" i="52"/>
  <c r="B2071" i="52"/>
  <c r="B2072" i="52"/>
  <c r="B2073" i="52"/>
  <c r="B2074" i="52"/>
  <c r="B2075" i="52"/>
  <c r="B2076" i="52"/>
  <c r="B2077" i="52"/>
  <c r="B2078" i="52"/>
  <c r="B2079" i="52"/>
  <c r="B2080" i="52"/>
  <c r="B2081" i="52"/>
  <c r="B2082" i="52"/>
  <c r="B2083" i="52"/>
  <c r="B2084" i="52"/>
  <c r="B2085" i="52"/>
  <c r="B2086" i="52"/>
  <c r="B2087" i="52"/>
  <c r="B2088" i="52"/>
  <c r="B2089" i="52"/>
  <c r="B2090" i="52"/>
  <c r="B2091" i="52"/>
  <c r="B2092" i="52"/>
  <c r="B2093" i="52"/>
  <c r="B2094" i="52"/>
  <c r="B2095" i="52"/>
  <c r="B2096" i="52"/>
  <c r="B2097" i="52"/>
  <c r="B2098" i="52"/>
  <c r="B2099" i="52"/>
  <c r="B2100" i="52"/>
  <c r="B2101" i="52"/>
  <c r="B2102" i="52"/>
  <c r="B2103" i="52"/>
  <c r="B2104" i="52"/>
  <c r="B2105" i="52"/>
  <c r="B2106" i="52"/>
  <c r="B2107" i="52"/>
  <c r="B2108" i="52"/>
  <c r="B2109" i="52"/>
  <c r="B2110" i="52"/>
  <c r="B2111" i="52"/>
  <c r="B2112" i="52"/>
  <c r="B2113" i="52"/>
  <c r="B2114" i="52"/>
  <c r="B2115" i="52"/>
  <c r="B2116" i="52"/>
  <c r="B2117" i="52"/>
  <c r="B2118" i="52"/>
  <c r="B2119" i="52"/>
  <c r="B2120" i="52"/>
  <c r="B2121" i="52"/>
  <c r="B2122" i="52"/>
  <c r="B2123" i="52"/>
  <c r="B2124" i="52"/>
  <c r="B2125" i="52"/>
  <c r="B2126" i="52"/>
  <c r="B2127" i="52"/>
  <c r="B2128" i="52"/>
  <c r="B2129" i="52"/>
  <c r="B2130" i="52"/>
  <c r="B2131" i="52"/>
  <c r="B2132" i="52"/>
  <c r="B2133" i="52"/>
  <c r="B2134" i="52"/>
  <c r="B2135" i="52"/>
  <c r="B2136" i="52"/>
  <c r="B2137" i="52"/>
  <c r="B2138" i="52"/>
  <c r="B2139" i="52"/>
  <c r="B2140" i="52"/>
  <c r="B2141" i="52"/>
  <c r="B2142" i="52"/>
  <c r="B2143" i="52"/>
  <c r="B2144" i="52"/>
  <c r="B2145" i="52"/>
  <c r="B2146" i="52"/>
  <c r="B2147" i="52"/>
  <c r="B2148" i="52"/>
  <c r="B2149" i="52"/>
  <c r="B2150" i="52"/>
  <c r="B2151" i="52"/>
  <c r="B2152" i="52"/>
  <c r="B2153" i="52"/>
  <c r="B2154" i="52"/>
  <c r="B2155" i="52"/>
  <c r="B2156" i="52"/>
  <c r="B2157" i="52"/>
  <c r="B2158" i="52"/>
  <c r="B2159" i="52"/>
  <c r="B2160" i="52"/>
  <c r="B2161" i="52"/>
  <c r="B2162" i="52"/>
  <c r="B2163" i="52"/>
  <c r="B2164" i="52"/>
  <c r="B2165" i="52"/>
  <c r="B2166" i="52"/>
  <c r="B2167" i="52"/>
  <c r="B2168" i="52"/>
  <c r="B2169" i="52"/>
  <c r="B2170" i="52"/>
  <c r="B2171" i="52"/>
  <c r="B2172" i="52"/>
  <c r="B2173" i="52"/>
  <c r="B2174" i="52"/>
  <c r="B2175" i="52"/>
  <c r="B2176" i="52"/>
  <c r="B2177" i="52"/>
  <c r="B2178" i="52"/>
  <c r="B2179" i="52"/>
  <c r="B2180" i="52"/>
  <c r="B2181" i="52"/>
  <c r="B2182" i="52"/>
  <c r="B2183" i="52"/>
  <c r="B2184" i="52"/>
  <c r="B2185" i="52"/>
  <c r="B2186" i="52"/>
  <c r="B2187" i="52"/>
  <c r="B2188" i="52"/>
  <c r="B2189" i="52"/>
  <c r="B2190" i="52"/>
  <c r="B2191" i="52"/>
  <c r="B2192" i="52"/>
  <c r="B2193" i="52"/>
  <c r="B2194" i="52"/>
  <c r="B2195" i="52"/>
  <c r="B2196" i="52"/>
  <c r="B2197" i="52"/>
  <c r="B2198" i="52"/>
  <c r="B2199" i="52"/>
  <c r="B2200" i="52"/>
  <c r="B2201" i="52"/>
  <c r="B2202" i="52"/>
  <c r="B2203" i="52"/>
  <c r="B2204" i="52"/>
  <c r="B2205" i="52"/>
  <c r="B2206" i="52"/>
  <c r="B2207" i="52"/>
  <c r="B2208" i="52"/>
  <c r="B2209" i="52"/>
  <c r="B2210" i="52"/>
  <c r="B2211" i="52"/>
  <c r="B2212" i="52"/>
  <c r="B2213" i="52"/>
  <c r="B2214" i="52"/>
  <c r="B2215" i="52"/>
  <c r="B2216" i="52"/>
  <c r="B2217" i="52"/>
  <c r="B2218" i="52"/>
  <c r="B2219" i="52"/>
  <c r="B2220" i="52"/>
  <c r="B2221" i="52"/>
  <c r="B2222" i="52"/>
  <c r="B2223" i="52"/>
  <c r="B2224" i="52"/>
  <c r="B2225" i="52"/>
  <c r="B2226" i="52"/>
  <c r="B2227" i="52"/>
  <c r="B2228" i="52"/>
  <c r="B2229" i="52"/>
  <c r="B2230" i="52"/>
  <c r="B2231" i="52"/>
  <c r="B2232" i="52"/>
  <c r="B2233" i="52"/>
  <c r="B2234" i="52"/>
  <c r="B2235" i="52"/>
  <c r="B2236" i="52"/>
  <c r="B2237" i="52"/>
  <c r="B2238" i="52"/>
  <c r="B2239" i="52"/>
  <c r="B2240" i="52"/>
  <c r="B2241" i="52"/>
  <c r="B2242" i="52"/>
  <c r="B2243" i="52"/>
  <c r="B2244" i="52"/>
  <c r="B2245" i="52"/>
  <c r="B2246" i="52"/>
  <c r="B2247" i="52"/>
  <c r="B2248" i="52"/>
  <c r="B2249" i="52"/>
  <c r="B2250" i="52"/>
  <c r="B2251" i="52"/>
  <c r="B2252" i="52"/>
  <c r="B2253" i="52"/>
  <c r="B2254" i="52"/>
  <c r="B2255" i="52"/>
  <c r="B2256" i="52"/>
  <c r="B2257" i="52"/>
  <c r="B2258" i="52"/>
  <c r="B2259" i="52"/>
  <c r="B2260" i="52"/>
  <c r="B2261" i="52"/>
  <c r="B2262" i="52"/>
  <c r="B2263" i="52"/>
  <c r="B2264" i="52"/>
  <c r="B2265" i="52"/>
  <c r="B2266" i="52"/>
  <c r="B2267" i="52"/>
  <c r="B2268" i="52"/>
  <c r="B2269" i="52"/>
  <c r="B2270" i="52"/>
  <c r="B2271" i="52"/>
  <c r="B2272" i="52"/>
  <c r="B2273" i="52"/>
  <c r="B2274" i="52"/>
  <c r="B2275" i="52"/>
  <c r="B2276" i="52"/>
  <c r="B2277" i="52"/>
  <c r="B2278" i="52"/>
  <c r="B2279" i="52"/>
  <c r="B2280" i="52"/>
  <c r="B2281" i="52"/>
  <c r="B2282" i="52"/>
  <c r="B2283" i="52"/>
  <c r="B2284" i="52"/>
  <c r="B2285" i="52"/>
  <c r="B2286" i="52"/>
  <c r="B2287" i="52"/>
  <c r="B2288" i="52"/>
  <c r="B2289" i="52"/>
  <c r="B2290" i="52"/>
  <c r="B2291" i="52"/>
  <c r="B2292" i="52"/>
  <c r="B2293" i="52"/>
  <c r="B2294" i="52"/>
  <c r="B2295" i="52"/>
  <c r="B2296" i="52"/>
  <c r="B2297" i="52"/>
  <c r="B2298" i="52"/>
  <c r="B2299" i="52"/>
  <c r="B2300" i="52"/>
  <c r="B2301" i="52"/>
  <c r="B2302" i="52"/>
  <c r="B2303" i="52"/>
  <c r="B2304" i="52"/>
  <c r="B2305" i="52"/>
  <c r="B2306" i="52"/>
  <c r="B2307" i="52"/>
  <c r="B2308" i="52"/>
  <c r="B2309" i="52"/>
  <c r="B2310" i="52"/>
  <c r="B2311" i="52"/>
  <c r="B2312" i="52"/>
  <c r="B2313" i="52"/>
  <c r="B2314" i="52"/>
  <c r="B2315" i="52"/>
  <c r="B2316" i="52"/>
  <c r="B2317" i="52"/>
  <c r="B2318" i="52"/>
  <c r="B2319" i="52"/>
  <c r="B2320" i="52"/>
  <c r="B2321" i="52"/>
  <c r="B2322" i="52"/>
  <c r="B2323" i="52"/>
  <c r="B2324" i="52"/>
  <c r="B2325" i="52"/>
  <c r="B2326" i="52"/>
  <c r="B2327" i="52"/>
  <c r="B2328" i="52"/>
  <c r="B2329" i="52"/>
  <c r="B2330" i="52"/>
  <c r="B2331" i="52"/>
  <c r="B2332" i="52"/>
  <c r="B2333" i="52"/>
  <c r="B2334" i="52"/>
  <c r="B2335" i="52"/>
  <c r="B2336" i="52"/>
  <c r="B2337" i="52"/>
  <c r="B2338" i="52"/>
  <c r="B2339" i="52"/>
  <c r="B2340" i="52"/>
  <c r="B2341" i="52"/>
  <c r="B2342" i="52"/>
  <c r="B2343" i="52"/>
  <c r="B2344" i="52"/>
  <c r="B2345" i="52"/>
  <c r="B2346" i="52"/>
  <c r="B2347" i="52"/>
  <c r="B2348" i="52"/>
  <c r="B2349" i="52"/>
  <c r="B2350" i="52"/>
  <c r="B2351" i="52"/>
  <c r="B2352" i="52"/>
  <c r="B2353" i="52"/>
  <c r="B2354" i="52"/>
  <c r="B2355" i="52"/>
  <c r="B2356" i="52"/>
  <c r="B2357" i="52"/>
  <c r="B2358" i="52"/>
  <c r="B2359" i="52"/>
  <c r="B2360" i="52"/>
  <c r="B2361" i="52"/>
  <c r="B2362" i="52"/>
  <c r="B2363" i="52"/>
  <c r="B2364" i="52"/>
  <c r="B2365" i="52"/>
  <c r="B2366" i="52"/>
  <c r="B2367" i="52"/>
  <c r="B2368" i="52"/>
  <c r="B2369" i="52"/>
  <c r="B2370" i="52"/>
  <c r="B2371" i="52"/>
  <c r="B2372" i="52"/>
  <c r="B2373" i="52"/>
  <c r="B2374" i="52"/>
  <c r="B2375" i="52"/>
  <c r="B2376" i="52"/>
  <c r="B2377" i="52"/>
  <c r="B2378" i="52"/>
  <c r="B2379" i="52"/>
  <c r="B2380" i="52"/>
  <c r="B2381" i="52"/>
  <c r="B2382" i="52"/>
  <c r="B2383" i="52"/>
  <c r="B2384" i="52"/>
  <c r="B2385" i="52"/>
  <c r="B2386" i="52"/>
  <c r="B2387" i="52"/>
  <c r="B2388" i="52"/>
  <c r="B2389" i="52"/>
  <c r="B2390" i="52"/>
  <c r="B2391" i="52"/>
  <c r="B2392" i="52"/>
  <c r="B2393" i="52"/>
  <c r="B2394" i="52"/>
  <c r="B2395" i="52"/>
  <c r="B2396" i="52"/>
  <c r="B2397" i="52"/>
  <c r="B2398" i="52"/>
  <c r="B2399" i="52"/>
  <c r="B2400" i="52"/>
  <c r="B2401" i="52"/>
  <c r="B2402" i="52"/>
  <c r="B2403" i="52"/>
  <c r="B2404" i="52"/>
  <c r="B2405" i="52"/>
  <c r="B2406" i="52"/>
  <c r="B2407" i="52"/>
  <c r="B2408" i="52"/>
  <c r="B2409" i="52"/>
  <c r="B2410" i="52"/>
  <c r="B2411" i="52"/>
  <c r="B2412" i="52"/>
  <c r="B2413" i="52"/>
  <c r="B2414" i="52"/>
  <c r="B2415" i="52"/>
  <c r="B2416" i="52"/>
  <c r="B2417" i="52"/>
  <c r="B2418" i="52"/>
  <c r="B2419" i="52"/>
  <c r="B2420" i="52"/>
  <c r="B2421" i="52"/>
  <c r="B2422" i="52"/>
  <c r="B2423" i="52"/>
  <c r="B2424" i="52"/>
  <c r="B2425" i="52"/>
  <c r="B2426" i="52"/>
  <c r="B2427" i="52"/>
  <c r="B2428" i="52"/>
  <c r="B2429" i="52"/>
  <c r="B2430" i="52"/>
  <c r="B2431" i="52"/>
  <c r="B2432" i="52"/>
  <c r="B2433" i="52"/>
  <c r="B2434" i="52"/>
  <c r="B2435" i="52"/>
  <c r="B2436" i="52"/>
  <c r="B2437" i="52"/>
  <c r="B2438" i="52"/>
  <c r="B2439" i="52"/>
  <c r="B2440" i="52"/>
  <c r="B2441" i="52"/>
  <c r="B2442" i="52"/>
  <c r="B2443" i="52"/>
  <c r="B2444" i="52"/>
  <c r="B2445" i="52"/>
  <c r="B2446" i="52"/>
  <c r="B2447" i="52"/>
  <c r="B2448" i="52"/>
  <c r="B2449" i="52"/>
  <c r="B2450" i="52"/>
  <c r="B2451" i="52"/>
  <c r="B2452" i="52"/>
  <c r="B2453" i="52"/>
  <c r="B2454" i="52"/>
  <c r="B2455" i="52"/>
  <c r="B2456" i="52"/>
  <c r="B2457" i="52"/>
  <c r="B2458" i="52"/>
  <c r="B2459" i="52"/>
  <c r="B2460" i="52"/>
  <c r="B2461" i="52"/>
  <c r="B2462" i="52"/>
  <c r="B2463" i="52"/>
  <c r="B2464" i="52"/>
  <c r="B2465" i="52"/>
  <c r="B2466" i="52"/>
  <c r="B2468" i="52"/>
  <c r="B2469" i="52"/>
  <c r="B2470" i="52"/>
  <c r="B2471" i="52"/>
  <c r="B2472" i="52"/>
  <c r="B2473" i="52"/>
  <c r="B2474" i="52"/>
  <c r="B2475" i="52"/>
  <c r="B2476" i="52"/>
  <c r="B2477" i="52"/>
  <c r="B2478" i="52"/>
  <c r="B2479" i="52"/>
  <c r="B2480" i="52"/>
  <c r="B2481" i="52"/>
  <c r="B2482" i="52"/>
  <c r="B2483" i="52"/>
  <c r="B2484" i="52"/>
  <c r="B2485" i="52"/>
  <c r="B2486" i="52"/>
  <c r="B2487" i="52"/>
  <c r="B2488" i="52"/>
  <c r="B2489" i="52"/>
  <c r="B2490" i="52"/>
  <c r="B2491" i="52"/>
  <c r="B2492" i="52"/>
  <c r="B2493" i="52"/>
  <c r="B2494" i="52"/>
  <c r="B2495" i="52"/>
  <c r="B2496" i="52"/>
  <c r="B2497" i="52"/>
  <c r="B2498" i="52"/>
  <c r="B2499" i="52"/>
  <c r="B2500" i="52"/>
  <c r="B2501" i="52"/>
  <c r="B2502" i="52"/>
  <c r="B2503" i="52"/>
  <c r="B2504" i="52"/>
  <c r="B2505" i="52"/>
  <c r="B2467" i="52"/>
  <c r="N1193" i="52"/>
  <c r="U165" i="67" l="1"/>
  <c r="U176" i="67"/>
  <c r="U167" i="67"/>
  <c r="U166" i="67"/>
  <c r="T158" i="68"/>
  <c r="T159" i="68"/>
  <c r="T157" i="68"/>
  <c r="T160" i="68"/>
  <c r="T161" i="68"/>
  <c r="T170" i="68"/>
  <c r="T165" i="68"/>
  <c r="T166" i="68"/>
  <c r="T167" i="68"/>
  <c r="T172" i="68"/>
  <c r="T168" i="68"/>
  <c r="T163" i="68"/>
  <c r="T171" i="68"/>
  <c r="T164" i="68"/>
  <c r="T162" i="68"/>
  <c r="T169" i="68"/>
  <c r="T183" i="68" s="1"/>
  <c r="U171" i="67"/>
  <c r="U158" i="67"/>
  <c r="U161" i="67"/>
  <c r="U163" i="67"/>
  <c r="U169" i="67"/>
  <c r="U170" i="67"/>
  <c r="U172" i="67"/>
  <c r="U157" i="67"/>
  <c r="U159" i="67"/>
  <c r="U160" i="67"/>
  <c r="U162" i="67"/>
  <c r="U164" i="67"/>
  <c r="T176" i="68"/>
  <c r="U185" i="67" l="1"/>
  <c r="U183" i="67"/>
  <c r="T185" i="68"/>
  <c r="U184" i="67"/>
  <c r="U186" i="67"/>
  <c r="T186" i="68"/>
  <c r="T184" i="68"/>
  <c r="H187" i="67" l="1"/>
  <c r="H202" i="67" s="1"/>
  <c r="AK179" i="63"/>
  <c r="AK182" i="63" s="1"/>
  <c r="AK185" i="63"/>
  <c r="AK188" i="63" s="1"/>
  <c r="AK178" i="63"/>
  <c r="AK181" i="63" s="1"/>
  <c r="AK180" i="63"/>
  <c r="AK183" i="63" s="1"/>
  <c r="AK184" i="63"/>
  <c r="AK187" i="63" s="1"/>
  <c r="AK186" i="63"/>
  <c r="AK189" i="63" s="1"/>
  <c r="J194" i="63" l="1"/>
  <c r="G200" i="63" l="1"/>
  <c r="G199" i="63"/>
  <c r="H197" i="63"/>
  <c r="G201" i="63"/>
  <c r="H199" i="63"/>
  <c r="H201" i="63"/>
  <c r="I204" i="63"/>
  <c r="J204" i="63"/>
  <c r="I199" i="63"/>
  <c r="H198" i="63"/>
  <c r="G198" i="63"/>
  <c r="H204" i="63"/>
  <c r="G197" i="63"/>
  <c r="J198" i="63"/>
  <c r="G204" i="63"/>
  <c r="J197" i="63"/>
  <c r="J200" i="63"/>
  <c r="I197" i="63"/>
  <c r="I200" i="63"/>
  <c r="J201" i="63"/>
  <c r="I201" i="63"/>
  <c r="H200" i="63"/>
  <c r="J199" i="63"/>
  <c r="I198" i="63"/>
  <c r="F200" i="63"/>
  <c r="F197" i="63"/>
  <c r="F199" i="63"/>
  <c r="F201" i="63"/>
  <c r="F198" i="63"/>
  <c r="X218" i="68"/>
  <c r="H189" i="68"/>
  <c r="H204" i="68" s="1"/>
  <c r="X120" i="63"/>
  <c r="AD120" i="63" s="1"/>
  <c r="D97" i="74" s="1"/>
  <c r="U183" i="68" l="1"/>
  <c r="U185" i="68"/>
  <c r="F189" i="68"/>
  <c r="K201" i="63"/>
  <c r="D11" i="66" s="1"/>
  <c r="K197" i="63"/>
  <c r="D7" i="66" s="1"/>
  <c r="K200" i="63"/>
  <c r="D10" i="66" s="1"/>
  <c r="K198" i="63"/>
  <c r="D8" i="66" s="1"/>
  <c r="K199" i="63"/>
  <c r="D9" i="66" s="1"/>
  <c r="F204" i="68" l="1"/>
  <c r="K204" i="68" s="1"/>
  <c r="E14" i="66" s="1"/>
  <c r="U184" i="68"/>
  <c r="U186" i="68"/>
  <c r="K189" i="68"/>
  <c r="G41" i="45" l="1"/>
  <c r="G20" i="45" l="1"/>
  <c r="X119" i="67" l="1"/>
  <c r="AD119" i="67" s="1"/>
  <c r="D47" i="74" s="1"/>
  <c r="X119" i="68"/>
  <c r="AD119" i="68" s="1"/>
  <c r="D145" i="74" s="1"/>
  <c r="X115" i="68"/>
  <c r="X121" i="68"/>
  <c r="AD121" i="68" s="1"/>
  <c r="D147" i="74" s="1"/>
  <c r="X117" i="68"/>
  <c r="AD117" i="68" s="1"/>
  <c r="D143" i="74" s="1"/>
  <c r="V123" i="67" l="1"/>
  <c r="H188" i="68"/>
  <c r="H203" i="68" s="1"/>
  <c r="I188" i="68"/>
  <c r="I203" i="68" s="1"/>
  <c r="X117" i="67"/>
  <c r="AD117" i="67" s="1"/>
  <c r="D45" i="74" s="1"/>
  <c r="J188" i="68"/>
  <c r="J203" i="68" s="1"/>
  <c r="G188" i="68"/>
  <c r="G203" i="68" s="1"/>
  <c r="S123" i="68"/>
  <c r="X113" i="68"/>
  <c r="H188" i="67"/>
  <c r="H203" i="67" s="1"/>
  <c r="X123" i="68" l="1"/>
  <c r="S156" i="68"/>
  <c r="S164" i="68" s="1"/>
  <c r="X164" i="68" s="1"/>
  <c r="AV160" i="68" s="1"/>
  <c r="AV166" i="68" s="1"/>
  <c r="V156" i="67"/>
  <c r="V214" i="67"/>
  <c r="V216" i="67"/>
  <c r="V213" i="67"/>
  <c r="I188" i="67" s="1"/>
  <c r="I203" i="67" s="1"/>
  <c r="V215" i="67"/>
  <c r="S214" i="68"/>
  <c r="X214" i="68" s="1"/>
  <c r="S216" i="68"/>
  <c r="X216" i="68" s="1"/>
  <c r="S215" i="68"/>
  <c r="X215" i="68" s="1"/>
  <c r="S213" i="68"/>
  <c r="X213" i="68" s="1"/>
  <c r="T213" i="67"/>
  <c r="G188" i="67" s="1"/>
  <c r="G203" i="67" s="1"/>
  <c r="T215" i="67"/>
  <c r="T214" i="67"/>
  <c r="T216" i="67"/>
  <c r="T156" i="67"/>
  <c r="J190" i="68"/>
  <c r="J205" i="68" s="1"/>
  <c r="H190" i="68"/>
  <c r="H205" i="68" s="1"/>
  <c r="I190" i="68"/>
  <c r="I205" i="68" s="1"/>
  <c r="X117" i="63"/>
  <c r="AD117" i="63" s="1"/>
  <c r="D94" i="74" s="1"/>
  <c r="W123" i="63"/>
  <c r="X119" i="63"/>
  <c r="AD119" i="63" s="1"/>
  <c r="D96" i="74" s="1"/>
  <c r="X121" i="63"/>
  <c r="AD121" i="63" s="1"/>
  <c r="D98" i="74" s="1"/>
  <c r="V123" i="63"/>
  <c r="U123" i="63"/>
  <c r="T123" i="63"/>
  <c r="X115" i="63"/>
  <c r="AD115" i="63" s="1"/>
  <c r="D92" i="74" s="1"/>
  <c r="X116" i="67"/>
  <c r="AD116" i="67" s="1"/>
  <c r="D44" i="74" s="1"/>
  <c r="H190" i="67"/>
  <c r="H205" i="67" s="1"/>
  <c r="G190" i="68"/>
  <c r="G205" i="68" s="1"/>
  <c r="X156" i="68" l="1"/>
  <c r="S170" i="68"/>
  <c r="X170" i="68" s="1"/>
  <c r="AX158" i="68" s="1"/>
  <c r="AX164" i="68" s="1"/>
  <c r="S168" i="68"/>
  <c r="X168" i="68" s="1"/>
  <c r="AW160" i="68" s="1"/>
  <c r="AW166" i="68" s="1"/>
  <c r="S166" i="68"/>
  <c r="X166" i="68" s="1"/>
  <c r="AW158" i="68" s="1"/>
  <c r="AW164" i="68" s="1"/>
  <c r="S171" i="68"/>
  <c r="X171" i="68" s="1"/>
  <c r="AX159" i="68" s="1"/>
  <c r="AX165" i="68" s="1"/>
  <c r="S157" i="68"/>
  <c r="X157" i="68" s="1"/>
  <c r="AU157" i="68" s="1"/>
  <c r="AU163" i="68" s="1"/>
  <c r="S160" i="68"/>
  <c r="X160" i="68" s="1"/>
  <c r="AU160" i="68" s="1"/>
  <c r="AU166" i="68" s="1"/>
  <c r="S172" i="68"/>
  <c r="X172" i="68" s="1"/>
  <c r="AX160" i="68" s="1"/>
  <c r="AX166" i="68" s="1"/>
  <c r="S159" i="68"/>
  <c r="X159" i="68" s="1"/>
  <c r="AU159" i="68" s="1"/>
  <c r="AU165" i="68" s="1"/>
  <c r="S165" i="68"/>
  <c r="X165" i="68" s="1"/>
  <c r="AW157" i="68" s="1"/>
  <c r="AW163" i="68" s="1"/>
  <c r="S158" i="68"/>
  <c r="X158" i="68" s="1"/>
  <c r="AU158" i="68" s="1"/>
  <c r="AU164" i="68" s="1"/>
  <c r="S167" i="68"/>
  <c r="X167" i="68" s="1"/>
  <c r="AW159" i="68" s="1"/>
  <c r="AW165" i="68" s="1"/>
  <c r="S163" i="68"/>
  <c r="X163" i="68" s="1"/>
  <c r="AV159" i="68" s="1"/>
  <c r="AV165" i="68" s="1"/>
  <c r="S176" i="68"/>
  <c r="X176" i="68" s="1"/>
  <c r="AY157" i="68" s="1"/>
  <c r="AY163" i="68" s="1"/>
  <c r="S162" i="68"/>
  <c r="X162" i="68" s="1"/>
  <c r="AV158" i="68" s="1"/>
  <c r="AV164" i="68" s="1"/>
  <c r="S161" i="68"/>
  <c r="X161" i="68" s="1"/>
  <c r="AV157" i="68" s="1"/>
  <c r="AV163" i="68" s="1"/>
  <c r="S169" i="68"/>
  <c r="X169" i="68" s="1"/>
  <c r="AX157" i="68" s="1"/>
  <c r="AX163" i="68" s="1"/>
  <c r="V156" i="63"/>
  <c r="V161" i="63" s="1"/>
  <c r="V215" i="63"/>
  <c r="V216" i="63"/>
  <c r="V214" i="63"/>
  <c r="T156" i="63"/>
  <c r="T214" i="63"/>
  <c r="T216" i="63"/>
  <c r="T215" i="63"/>
  <c r="U156" i="63"/>
  <c r="U215" i="63"/>
  <c r="U214" i="63"/>
  <c r="U216" i="63"/>
  <c r="W156" i="63"/>
  <c r="W214" i="63"/>
  <c r="W216" i="63"/>
  <c r="W215" i="63"/>
  <c r="T162" i="67"/>
  <c r="T158" i="67"/>
  <c r="T169" i="67"/>
  <c r="T170" i="67"/>
  <c r="T171" i="67"/>
  <c r="T172" i="67"/>
  <c r="T157" i="67"/>
  <c r="T159" i="67"/>
  <c r="T160" i="67"/>
  <c r="T161" i="67"/>
  <c r="T163" i="67"/>
  <c r="T164" i="67"/>
  <c r="V169" i="67"/>
  <c r="V170" i="67"/>
  <c r="V171" i="67"/>
  <c r="V172" i="67"/>
  <c r="V157" i="67"/>
  <c r="V158" i="67"/>
  <c r="V159" i="67"/>
  <c r="V160" i="67"/>
  <c r="V161" i="67"/>
  <c r="V162" i="67"/>
  <c r="V163" i="67"/>
  <c r="V164" i="67"/>
  <c r="V167" i="67"/>
  <c r="V168" i="67"/>
  <c r="V166" i="67"/>
  <c r="V165" i="67"/>
  <c r="V176" i="67"/>
  <c r="T168" i="67"/>
  <c r="T167" i="67"/>
  <c r="T165" i="67"/>
  <c r="T166" i="67"/>
  <c r="T176" i="67"/>
  <c r="F188" i="68"/>
  <c r="F203" i="68" s="1"/>
  <c r="W213" i="63"/>
  <c r="J188" i="63" s="1"/>
  <c r="J203" i="63" s="1"/>
  <c r="U213" i="63"/>
  <c r="H188" i="63" s="1"/>
  <c r="H203" i="63" s="1"/>
  <c r="T213" i="63"/>
  <c r="G188" i="63" s="1"/>
  <c r="G203" i="63" s="1"/>
  <c r="V213" i="63"/>
  <c r="I188" i="63" s="1"/>
  <c r="I203" i="63" s="1"/>
  <c r="X183" i="68" l="1"/>
  <c r="S183" i="68"/>
  <c r="S185" i="68"/>
  <c r="X185" i="68"/>
  <c r="S184" i="68"/>
  <c r="S186" i="68"/>
  <c r="W164" i="63"/>
  <c r="W160" i="63"/>
  <c r="W159" i="63"/>
  <c r="W158" i="63"/>
  <c r="W157" i="63"/>
  <c r="U164" i="63"/>
  <c r="U157" i="63"/>
  <c r="U160" i="63"/>
  <c r="U159" i="63"/>
  <c r="U158" i="63"/>
  <c r="T162" i="63"/>
  <c r="T157" i="63"/>
  <c r="T160" i="63"/>
  <c r="T159" i="63"/>
  <c r="T158" i="63"/>
  <c r="V162" i="63"/>
  <c r="V160" i="63"/>
  <c r="V159" i="63"/>
  <c r="V158" i="63"/>
  <c r="V157" i="63"/>
  <c r="V176" i="63"/>
  <c r="T167" i="63"/>
  <c r="T166" i="63"/>
  <c r="U167" i="63"/>
  <c r="T164" i="63"/>
  <c r="V166" i="63"/>
  <c r="T170" i="63"/>
  <c r="W172" i="63"/>
  <c r="W163" i="63"/>
  <c r="U169" i="63"/>
  <c r="U163" i="63"/>
  <c r="T168" i="63"/>
  <c r="V168" i="63"/>
  <c r="W165" i="63"/>
  <c r="W167" i="63"/>
  <c r="U166" i="63"/>
  <c r="W170" i="63"/>
  <c r="W162" i="63"/>
  <c r="U172" i="63"/>
  <c r="U162" i="63"/>
  <c r="T169" i="63"/>
  <c r="T161" i="63"/>
  <c r="V167" i="63"/>
  <c r="W176" i="63"/>
  <c r="U165" i="63"/>
  <c r="W169" i="63"/>
  <c r="W183" i="63" s="1"/>
  <c r="W161" i="63"/>
  <c r="U171" i="63"/>
  <c r="U161" i="63"/>
  <c r="T171" i="63"/>
  <c r="T163" i="63"/>
  <c r="T165" i="63"/>
  <c r="T176" i="63"/>
  <c r="V165" i="63"/>
  <c r="W166" i="63"/>
  <c r="W168" i="63"/>
  <c r="U168" i="63"/>
  <c r="U176" i="63"/>
  <c r="W171" i="63"/>
  <c r="U170" i="63"/>
  <c r="T172" i="63"/>
  <c r="V172" i="63"/>
  <c r="V171" i="63"/>
  <c r="V169" i="63"/>
  <c r="V164" i="63"/>
  <c r="V170" i="63"/>
  <c r="V163" i="63"/>
  <c r="K187" i="68"/>
  <c r="V183" i="67"/>
  <c r="T183" i="67"/>
  <c r="T185" i="67"/>
  <c r="V185" i="67"/>
  <c r="T184" i="67"/>
  <c r="T186" i="67"/>
  <c r="K188" i="68"/>
  <c r="V186" i="67"/>
  <c r="V184" i="67"/>
  <c r="I190" i="63"/>
  <c r="I205" i="63" s="1"/>
  <c r="H190" i="63"/>
  <c r="H205" i="63" s="1"/>
  <c r="J190" i="63"/>
  <c r="J205" i="63" s="1"/>
  <c r="G190" i="63"/>
  <c r="G205" i="63" s="1"/>
  <c r="X186" i="68"/>
  <c r="X184" i="68"/>
  <c r="K203" i="68"/>
  <c r="E13" i="66" s="1"/>
  <c r="T183" i="63" l="1"/>
  <c r="V183" i="63"/>
  <c r="U186" i="63"/>
  <c r="I187" i="67"/>
  <c r="U184" i="63"/>
  <c r="U185" i="63"/>
  <c r="T185" i="63"/>
  <c r="T184" i="63"/>
  <c r="T186" i="63"/>
  <c r="U183" i="63"/>
  <c r="V185" i="63"/>
  <c r="W186" i="63"/>
  <c r="V184" i="63"/>
  <c r="W184" i="63"/>
  <c r="V186" i="63"/>
  <c r="W185" i="63"/>
  <c r="F190" i="68"/>
  <c r="K202" i="68"/>
  <c r="G187" i="67"/>
  <c r="G202" i="67" s="1"/>
  <c r="E17" i="66"/>
  <c r="L16" i="66" s="1"/>
  <c r="L40" i="7"/>
  <c r="K190" i="68" l="1"/>
  <c r="F205" i="68"/>
  <c r="K205" i="68" s="1"/>
  <c r="G206" i="68" s="1"/>
  <c r="E12" i="66"/>
  <c r="E15" i="66" s="1"/>
  <c r="E18" i="66" s="1"/>
  <c r="M16" i="66" s="1"/>
  <c r="I190" i="67"/>
  <c r="I205" i="67" s="1"/>
  <c r="I202" i="67"/>
  <c r="G190" i="67"/>
  <c r="G205" i="67" s="1"/>
  <c r="L203" i="68" l="1"/>
  <c r="L199" i="68"/>
  <c r="J206" i="68"/>
  <c r="F206" i="68"/>
  <c r="L201" i="68"/>
  <c r="K206" i="68"/>
  <c r="L202" i="68"/>
  <c r="L198" i="68"/>
  <c r="H206" i="68"/>
  <c r="L205" i="68"/>
  <c r="L197" i="68"/>
  <c r="L204" i="68"/>
  <c r="L200" i="68"/>
  <c r="I206" i="68"/>
  <c r="F189" i="63"/>
  <c r="F204" i="63" s="1"/>
  <c r="K189" i="63" l="1"/>
  <c r="K204" i="63"/>
  <c r="D14" i="66" s="1"/>
  <c r="K187" i="63" l="1"/>
  <c r="K202" i="63" l="1"/>
  <c r="D12" i="66" s="1"/>
  <c r="M5" i="8" l="1"/>
  <c r="N5" i="8"/>
  <c r="P5" i="8" s="1"/>
  <c r="W113" i="67" s="1"/>
  <c r="W123" i="67" s="1"/>
  <c r="W156" i="67" l="1"/>
  <c r="W216" i="67"/>
  <c r="W214" i="67"/>
  <c r="W213" i="67"/>
  <c r="J188" i="67" s="1"/>
  <c r="J203" i="67" s="1"/>
  <c r="W215" i="67"/>
  <c r="S113" i="67"/>
  <c r="S123" i="67" s="1"/>
  <c r="S113" i="63"/>
  <c r="W169" i="67" l="1"/>
  <c r="W164" i="67"/>
  <c r="W158" i="67"/>
  <c r="W162" i="67"/>
  <c r="W171" i="67"/>
  <c r="W167" i="67"/>
  <c r="W172" i="67"/>
  <c r="W160" i="67"/>
  <c r="W176" i="67"/>
  <c r="W183" i="67" s="1"/>
  <c r="W159" i="67"/>
  <c r="W165" i="67"/>
  <c r="W168" i="67"/>
  <c r="W157" i="67"/>
  <c r="W161" i="67"/>
  <c r="W163" i="67"/>
  <c r="W166" i="67"/>
  <c r="W170" i="67"/>
  <c r="X113" i="63"/>
  <c r="S123" i="63"/>
  <c r="X113" i="67"/>
  <c r="S213" i="67"/>
  <c r="S214" i="67"/>
  <c r="X214" i="67" s="1"/>
  <c r="S156" i="67"/>
  <c r="S215" i="67"/>
  <c r="X215" i="67" s="1"/>
  <c r="S216" i="67"/>
  <c r="X216" i="67" s="1"/>
  <c r="X123" i="67" l="1"/>
  <c r="X123" i="63"/>
  <c r="W186" i="67"/>
  <c r="W184" i="67"/>
  <c r="W185" i="67"/>
  <c r="S156" i="63"/>
  <c r="S214" i="63"/>
  <c r="X214" i="63" s="1"/>
  <c r="S213" i="63"/>
  <c r="S216" i="63"/>
  <c r="X216" i="63" s="1"/>
  <c r="S215" i="63"/>
  <c r="X215" i="63" s="1"/>
  <c r="S159" i="67"/>
  <c r="X159" i="67" s="1"/>
  <c r="AU159" i="67" s="1"/>
  <c r="AU165" i="67" s="1"/>
  <c r="S169" i="67"/>
  <c r="X169" i="67" s="1"/>
  <c r="S164" i="67"/>
  <c r="X164" i="67" s="1"/>
  <c r="AV160" i="67" s="1"/>
  <c r="AV166" i="67" s="1"/>
  <c r="S165" i="67"/>
  <c r="X165" i="67" s="1"/>
  <c r="AW157" i="67" s="1"/>
  <c r="AW163" i="67" s="1"/>
  <c r="S168" i="67"/>
  <c r="X168" i="67" s="1"/>
  <c r="AW160" i="67" s="1"/>
  <c r="AW166" i="67" s="1"/>
  <c r="X156" i="67"/>
  <c r="S160" i="67"/>
  <c r="X160" i="67" s="1"/>
  <c r="AU160" i="67" s="1"/>
  <c r="AU166" i="67" s="1"/>
  <c r="S170" i="67"/>
  <c r="X170" i="67" s="1"/>
  <c r="AX158" i="67" s="1"/>
  <c r="AX164" i="67" s="1"/>
  <c r="S161" i="67"/>
  <c r="S166" i="67"/>
  <c r="X166" i="67" s="1"/>
  <c r="AW158" i="67" s="1"/>
  <c r="AW164" i="67" s="1"/>
  <c r="S163" i="67"/>
  <c r="X163" i="67" s="1"/>
  <c r="AV159" i="67" s="1"/>
  <c r="AV165" i="67" s="1"/>
  <c r="S162" i="67"/>
  <c r="S157" i="67"/>
  <c r="X157" i="67" s="1"/>
  <c r="AU157" i="67" s="1"/>
  <c r="AU163" i="67" s="1"/>
  <c r="S171" i="67"/>
  <c r="X171" i="67" s="1"/>
  <c r="AX159" i="67" s="1"/>
  <c r="AX165" i="67" s="1"/>
  <c r="S158" i="67"/>
  <c r="X158" i="67" s="1"/>
  <c r="AU158" i="67" s="1"/>
  <c r="AU164" i="67" s="1"/>
  <c r="S172" i="67"/>
  <c r="X172" i="67" s="1"/>
  <c r="AX160" i="67" s="1"/>
  <c r="AX166" i="67" s="1"/>
  <c r="S167" i="67"/>
  <c r="X167" i="67" s="1"/>
  <c r="AW159" i="67" s="1"/>
  <c r="AW165" i="67" s="1"/>
  <c r="S176" i="67"/>
  <c r="X176" i="67" s="1"/>
  <c r="AY157" i="67" s="1"/>
  <c r="AY163" i="67" s="1"/>
  <c r="F188" i="67"/>
  <c r="F203" i="67" s="1"/>
  <c r="X213" i="67"/>
  <c r="AX157" i="67" l="1"/>
  <c r="AX163" i="67" s="1"/>
  <c r="J187" i="67"/>
  <c r="X213" i="63"/>
  <c r="F188" i="63"/>
  <c r="F203" i="63" s="1"/>
  <c r="S160" i="63"/>
  <c r="X160" i="63" s="1"/>
  <c r="AU160" i="63" s="1"/>
  <c r="AU166" i="63" s="1"/>
  <c r="S176" i="63"/>
  <c r="X176" i="63" s="1"/>
  <c r="AY157" i="63" s="1"/>
  <c r="AY163" i="63" s="1"/>
  <c r="S172" i="63"/>
  <c r="X172" i="63" s="1"/>
  <c r="AX160" i="63" s="1"/>
  <c r="AX166" i="63" s="1"/>
  <c r="S163" i="63"/>
  <c r="X163" i="63" s="1"/>
  <c r="AV159" i="63" s="1"/>
  <c r="AV165" i="63" s="1"/>
  <c r="S165" i="63"/>
  <c r="X165" i="63" s="1"/>
  <c r="AW157" i="63" s="1"/>
  <c r="AW163" i="63" s="1"/>
  <c r="S168" i="63"/>
  <c r="X168" i="63" s="1"/>
  <c r="AW160" i="63" s="1"/>
  <c r="AW166" i="63" s="1"/>
  <c r="S166" i="63"/>
  <c r="X166" i="63" s="1"/>
  <c r="AW158" i="63" s="1"/>
  <c r="AW164" i="63" s="1"/>
  <c r="S159" i="63"/>
  <c r="X159" i="63" s="1"/>
  <c r="AU159" i="63" s="1"/>
  <c r="AU165" i="63" s="1"/>
  <c r="X156" i="63"/>
  <c r="S169" i="63"/>
  <c r="X169" i="63" s="1"/>
  <c r="AX157" i="63" s="1"/>
  <c r="AX163" i="63" s="1"/>
  <c r="S161" i="63"/>
  <c r="X161" i="63" s="1"/>
  <c r="AV157" i="63" s="1"/>
  <c r="AV163" i="63" s="1"/>
  <c r="S171" i="63"/>
  <c r="X171" i="63" s="1"/>
  <c r="AX159" i="63" s="1"/>
  <c r="AX165" i="63" s="1"/>
  <c r="S162" i="63"/>
  <c r="X162" i="63" s="1"/>
  <c r="AV158" i="63" s="1"/>
  <c r="AV164" i="63" s="1"/>
  <c r="S170" i="63"/>
  <c r="X170" i="63" s="1"/>
  <c r="AX158" i="63" s="1"/>
  <c r="AX164" i="63" s="1"/>
  <c r="S158" i="63"/>
  <c r="S164" i="63"/>
  <c r="X164" i="63" s="1"/>
  <c r="AV160" i="63" s="1"/>
  <c r="AV166" i="63" s="1"/>
  <c r="S167" i="63"/>
  <c r="X167" i="63" s="1"/>
  <c r="AW159" i="63" s="1"/>
  <c r="AW165" i="63" s="1"/>
  <c r="S157" i="63"/>
  <c r="K188" i="67"/>
  <c r="X162" i="67"/>
  <c r="AV158" i="67" s="1"/>
  <c r="AV164" i="67" s="1"/>
  <c r="S184" i="67"/>
  <c r="S185" i="67"/>
  <c r="S186" i="67"/>
  <c r="X161" i="67"/>
  <c r="X183" i="67" s="1"/>
  <c r="S183" i="67"/>
  <c r="J202" i="67" l="1"/>
  <c r="J190" i="67"/>
  <c r="J205" i="67" s="1"/>
  <c r="AV157" i="67"/>
  <c r="AV163" i="67" s="1"/>
  <c r="S183" i="63"/>
  <c r="X157" i="63"/>
  <c r="K188" i="63"/>
  <c r="F190" i="63"/>
  <c r="S186" i="63"/>
  <c r="X158" i="63"/>
  <c r="AU158" i="63" s="1"/>
  <c r="AU164" i="63" s="1"/>
  <c r="S185" i="63"/>
  <c r="S184" i="63"/>
  <c r="F187" i="67"/>
  <c r="K203" i="67"/>
  <c r="C13" i="66" s="1"/>
  <c r="X185" i="67"/>
  <c r="X186" i="67"/>
  <c r="X184" i="67"/>
  <c r="X183" i="63" l="1"/>
  <c r="AU157" i="63"/>
  <c r="AU163" i="63" s="1"/>
  <c r="K190" i="63"/>
  <c r="F205" i="63"/>
  <c r="K205" i="63" s="1"/>
  <c r="K187" i="67"/>
  <c r="F202" i="67"/>
  <c r="K202" i="67" s="1"/>
  <c r="C12" i="66" s="1"/>
  <c r="X186" i="63"/>
  <c r="X184" i="63"/>
  <c r="X185" i="63"/>
  <c r="K203" i="63"/>
  <c r="D13" i="66" s="1"/>
  <c r="F190" i="67"/>
  <c r="AD127" i="63" l="1"/>
  <c r="K190" i="67"/>
  <c r="AD57" i="63" s="1"/>
  <c r="D75" i="74" s="1"/>
  <c r="F205" i="67"/>
  <c r="K205" i="67" s="1"/>
  <c r="L204" i="67" s="1"/>
  <c r="L197" i="63"/>
  <c r="K206" i="63"/>
  <c r="G206" i="63"/>
  <c r="L203" i="63"/>
  <c r="L199" i="63"/>
  <c r="J206" i="63"/>
  <c r="F206" i="63"/>
  <c r="L202" i="63"/>
  <c r="L205" i="63"/>
  <c r="L201" i="63"/>
  <c r="L204" i="63"/>
  <c r="I206" i="63"/>
  <c r="H206" i="63"/>
  <c r="L198" i="63"/>
  <c r="L200" i="63"/>
  <c r="D17" i="66"/>
  <c r="L15" i="66" s="1"/>
  <c r="D15" i="66"/>
  <c r="F11" i="66"/>
  <c r="F10" i="66"/>
  <c r="F12" i="66"/>
  <c r="F8" i="66"/>
  <c r="F9" i="66"/>
  <c r="F14" i="66"/>
  <c r="F13" i="66"/>
  <c r="Y127" i="63" l="1"/>
  <c r="AA57" i="68"/>
  <c r="Y57" i="68"/>
  <c r="AA127" i="68"/>
  <c r="AD57" i="68"/>
  <c r="D124" i="74" s="1"/>
  <c r="AD127" i="68"/>
  <c r="Z57" i="68"/>
  <c r="Y127" i="68"/>
  <c r="Z127" i="68"/>
  <c r="Y57" i="63"/>
  <c r="Y50" i="67"/>
  <c r="AD50" i="67"/>
  <c r="D23" i="74" s="1"/>
  <c r="AD39" i="63"/>
  <c r="D61" i="74" s="1"/>
  <c r="AD116" i="68"/>
  <c r="D142" i="74" s="1"/>
  <c r="AD114" i="68"/>
  <c r="D140" i="74" s="1"/>
  <c r="AD115" i="67"/>
  <c r="D43" i="74" s="1"/>
  <c r="AD114" i="63"/>
  <c r="D91" i="74" s="1"/>
  <c r="AD114" i="67"/>
  <c r="D42" i="74" s="1"/>
  <c r="AD115" i="68"/>
  <c r="D141" i="74" s="1"/>
  <c r="AD113" i="68"/>
  <c r="D139" i="74" s="1"/>
  <c r="AD113" i="63"/>
  <c r="D90" i="74" s="1"/>
  <c r="Y39" i="63"/>
  <c r="Z77" i="63"/>
  <c r="Y39" i="67"/>
  <c r="AD39" i="67"/>
  <c r="D12" i="74" s="1"/>
  <c r="AA77" i="63"/>
  <c r="Y66" i="67"/>
  <c r="AD66" i="67"/>
  <c r="D29" i="74" s="1"/>
  <c r="Y77" i="63"/>
  <c r="Y46" i="67"/>
  <c r="AD46" i="67"/>
  <c r="D19" i="74" s="1"/>
  <c r="AD77" i="63"/>
  <c r="D83" i="74" s="1"/>
  <c r="AC77" i="63"/>
  <c r="Y27" i="67"/>
  <c r="AD27" i="67"/>
  <c r="D6" i="74" s="1"/>
  <c r="AB77" i="63"/>
  <c r="AD130" i="68"/>
  <c r="Y26" i="67"/>
  <c r="AD26" i="67"/>
  <c r="D5" i="74" s="1"/>
  <c r="AD23" i="63"/>
  <c r="D51" i="74" s="1"/>
  <c r="Z53" i="63"/>
  <c r="AB117" i="63"/>
  <c r="AA98" i="63"/>
  <c r="Y123" i="63"/>
  <c r="Z115" i="63"/>
  <c r="AC120" i="63"/>
  <c r="AD98" i="63"/>
  <c r="AA60" i="63"/>
  <c r="Y117" i="63"/>
  <c r="Z60" i="63"/>
  <c r="AB122" i="63"/>
  <c r="Y39" i="68"/>
  <c r="AB53" i="68"/>
  <c r="Z79" i="63"/>
  <c r="AB113" i="68"/>
  <c r="Y71" i="68"/>
  <c r="Y119" i="68"/>
  <c r="Z88" i="68"/>
  <c r="Z130" i="68"/>
  <c r="Y114" i="68"/>
  <c r="AA130" i="68"/>
  <c r="Z118" i="68"/>
  <c r="AC88" i="68"/>
  <c r="AA122" i="68"/>
  <c r="Z113" i="68"/>
  <c r="AA53" i="63"/>
  <c r="Z120" i="63"/>
  <c r="AC113" i="63"/>
  <c r="Y130" i="63"/>
  <c r="AB116" i="63"/>
  <c r="AA88" i="63"/>
  <c r="Y122" i="63"/>
  <c r="Z114" i="63"/>
  <c r="AC122" i="63"/>
  <c r="AA118" i="63"/>
  <c r="AD71" i="63"/>
  <c r="AD123" i="63"/>
  <c r="AC33" i="68"/>
  <c r="AD39" i="68"/>
  <c r="D110" i="74" s="1"/>
  <c r="AC79" i="63"/>
  <c r="Z116" i="68"/>
  <c r="Y88" i="68"/>
  <c r="AA120" i="68"/>
  <c r="AB98" i="68"/>
  <c r="Y107" i="68"/>
  <c r="AA115" i="68"/>
  <c r="Y120" i="68"/>
  <c r="AB119" i="68"/>
  <c r="Y113" i="68"/>
  <c r="AC123" i="68"/>
  <c r="AB114" i="68"/>
  <c r="Y23" i="63"/>
  <c r="AD33" i="63"/>
  <c r="AD53" i="63"/>
  <c r="AD107" i="63"/>
  <c r="AB121" i="63"/>
  <c r="Y115" i="63"/>
  <c r="AC114" i="63"/>
  <c r="Z119" i="63"/>
  <c r="AC98" i="63"/>
  <c r="AA123" i="63"/>
  <c r="AB115" i="63"/>
  <c r="Y60" i="63"/>
  <c r="AC119" i="63"/>
  <c r="AD88" i="63"/>
  <c r="AD130" i="63"/>
  <c r="Y53" i="68"/>
  <c r="AD33" i="68"/>
  <c r="AA60" i="68"/>
  <c r="AB117" i="68"/>
  <c r="AA98" i="68"/>
  <c r="AC121" i="68"/>
  <c r="AB107" i="68"/>
  <c r="AC118" i="68"/>
  <c r="AC116" i="68"/>
  <c r="AB71" i="68"/>
  <c r="Z122" i="68"/>
  <c r="AA114" i="68"/>
  <c r="AC130" i="68"/>
  <c r="Z117" i="68"/>
  <c r="Y98" i="63"/>
  <c r="Y116" i="63"/>
  <c r="AA33" i="63"/>
  <c r="Y53" i="63"/>
  <c r="AC107" i="63"/>
  <c r="AB60" i="63"/>
  <c r="AA117" i="63"/>
  <c r="AA116" i="63"/>
  <c r="AD60" i="63"/>
  <c r="AB120" i="63"/>
  <c r="Y114" i="63"/>
  <c r="AA130" i="63"/>
  <c r="Z118" i="63"/>
  <c r="AC71" i="63"/>
  <c r="Y121" i="63"/>
  <c r="Z113" i="63"/>
  <c r="AD104" i="63"/>
  <c r="Y33" i="68"/>
  <c r="AA33" i="68"/>
  <c r="AC114" i="68"/>
  <c r="Z120" i="68"/>
  <c r="AA107" i="68"/>
  <c r="Y123" i="68"/>
  <c r="Z115" i="68"/>
  <c r="AA71" i="68"/>
  <c r="Y118" i="68"/>
  <c r="AB88" i="68"/>
  <c r="AB123" i="68"/>
  <c r="AC115" i="68"/>
  <c r="AA113" i="68"/>
  <c r="AB118" i="68"/>
  <c r="AC33" i="63"/>
  <c r="AD40" i="63"/>
  <c r="D62" i="74" s="1"/>
  <c r="AB107" i="63"/>
  <c r="AC60" i="63"/>
  <c r="AC117" i="63"/>
  <c r="Z71" i="63"/>
  <c r="Z123" i="63"/>
  <c r="AA115" i="63"/>
  <c r="AA113" i="63"/>
  <c r="AB119" i="63"/>
  <c r="AC88" i="63"/>
  <c r="AA122" i="63"/>
  <c r="AB114" i="63"/>
  <c r="Y104" i="63"/>
  <c r="AA53" i="68"/>
  <c r="AC53" i="68"/>
  <c r="AB60" i="68"/>
  <c r="AB121" i="68"/>
  <c r="AC113" i="68"/>
  <c r="Y130" i="68"/>
  <c r="AB116" i="68"/>
  <c r="Y83" i="68"/>
  <c r="AA119" i="68"/>
  <c r="AD98" i="68"/>
  <c r="AB130" i="68"/>
  <c r="Y117" i="68"/>
  <c r="AC122" i="68"/>
  <c r="Z121" i="68"/>
  <c r="Z107" i="63"/>
  <c r="Z98" i="63"/>
  <c r="Y71" i="63"/>
  <c r="Y119" i="63"/>
  <c r="Z130" i="63"/>
  <c r="AC116" i="63"/>
  <c r="AC118" i="63"/>
  <c r="Z122" i="63"/>
  <c r="Y113" i="63"/>
  <c r="AC123" i="63"/>
  <c r="Z117" i="63"/>
  <c r="AD53" i="68"/>
  <c r="Z53" i="68"/>
  <c r="Y79" i="63"/>
  <c r="AD83" i="68"/>
  <c r="D134" i="74" s="1"/>
  <c r="Y98" i="68"/>
  <c r="Y115" i="68"/>
  <c r="AA121" i="68"/>
  <c r="Z119" i="68"/>
  <c r="AA88" i="68"/>
  <c r="AC120" i="68"/>
  <c r="AD107" i="68"/>
  <c r="Y116" i="68"/>
  <c r="AA118" i="68"/>
  <c r="Z60" i="68"/>
  <c r="AB122" i="68"/>
  <c r="AB33" i="63"/>
  <c r="AB53" i="63"/>
  <c r="Y107" i="63"/>
  <c r="AA120" i="63"/>
  <c r="Z88" i="63"/>
  <c r="AA121" i="63"/>
  <c r="Y118" i="63"/>
  <c r="AB71" i="63"/>
  <c r="AB123" i="63"/>
  <c r="AA114" i="63"/>
  <c r="AC130" i="63"/>
  <c r="AB118" i="63"/>
  <c r="AB33" i="68"/>
  <c r="AD23" i="68"/>
  <c r="D100" i="74" s="1"/>
  <c r="AB79" i="63"/>
  <c r="Z98" i="68"/>
  <c r="AA117" i="68"/>
  <c r="AA116" i="68"/>
  <c r="AD60" i="68"/>
  <c r="AB120" i="68"/>
  <c r="AC98" i="68"/>
  <c r="Y122" i="68"/>
  <c r="Z114" i="68"/>
  <c r="Y60" i="68"/>
  <c r="AC119" i="68"/>
  <c r="AD71" i="68"/>
  <c r="AD123" i="68"/>
  <c r="Z33" i="63"/>
  <c r="Y40" i="63"/>
  <c r="AB113" i="63"/>
  <c r="Y33" i="63"/>
  <c r="AC53" i="63"/>
  <c r="AA107" i="63"/>
  <c r="Z116" i="63"/>
  <c r="Y88" i="63"/>
  <c r="AC121" i="63"/>
  <c r="AB98" i="63"/>
  <c r="AA71" i="63"/>
  <c r="AA119" i="63"/>
  <c r="AB88" i="63"/>
  <c r="AB130" i="63"/>
  <c r="AC115" i="63"/>
  <c r="Y120" i="63"/>
  <c r="Z121" i="63"/>
  <c r="Y23" i="68"/>
  <c r="Z33" i="68"/>
  <c r="AA79" i="63"/>
  <c r="Z107" i="68"/>
  <c r="AC60" i="68"/>
  <c r="AC117" i="68"/>
  <c r="Z71" i="68"/>
  <c r="Z123" i="68"/>
  <c r="AC107" i="68"/>
  <c r="AA123" i="68"/>
  <c r="AB115" i="68"/>
  <c r="AC71" i="68"/>
  <c r="Y121" i="68"/>
  <c r="AD88" i="68"/>
  <c r="AD113" i="67"/>
  <c r="D41" i="74" s="1"/>
  <c r="Y127" i="67"/>
  <c r="Y57" i="67"/>
  <c r="AD57" i="67"/>
  <c r="D26" i="74" s="1"/>
  <c r="AD127" i="67"/>
  <c r="Y104" i="67"/>
  <c r="AD104" i="67"/>
  <c r="Y95" i="67"/>
  <c r="AD95" i="67"/>
  <c r="D38" i="74" s="1"/>
  <c r="AD40" i="67"/>
  <c r="D13" i="74" s="1"/>
  <c r="AA79" i="67"/>
  <c r="AC79" i="67"/>
  <c r="AB79" i="67"/>
  <c r="Z79" i="67"/>
  <c r="Y79" i="67"/>
  <c r="Y77" i="67"/>
  <c r="AB77" i="67"/>
  <c r="AC77" i="67"/>
  <c r="AA77" i="67"/>
  <c r="Z77" i="67"/>
  <c r="AD60" i="67"/>
  <c r="Y60" i="67"/>
  <c r="Z60" i="67"/>
  <c r="AC60" i="67"/>
  <c r="AA60" i="67"/>
  <c r="AB60" i="67"/>
  <c r="AD25" i="67"/>
  <c r="D4" i="74" s="1"/>
  <c r="AD24" i="67"/>
  <c r="D3" i="74" s="1"/>
  <c r="AD23" i="67"/>
  <c r="D2" i="74" s="1"/>
  <c r="AD33" i="67"/>
  <c r="Y40" i="67"/>
  <c r="AB25" i="67"/>
  <c r="Z24" i="67"/>
  <c r="Z23" i="67"/>
  <c r="Y23" i="67"/>
  <c r="AC113" i="67"/>
  <c r="Y107" i="67"/>
  <c r="AA116" i="67"/>
  <c r="Z120" i="67"/>
  <c r="AD88" i="67"/>
  <c r="Z113" i="67"/>
  <c r="AA53" i="67"/>
  <c r="AD107" i="67"/>
  <c r="Z117" i="67"/>
  <c r="AA71" i="67"/>
  <c r="Y113" i="67"/>
  <c r="AB123" i="67"/>
  <c r="AA107" i="67"/>
  <c r="AC33" i="67"/>
  <c r="Z123" i="67"/>
  <c r="AB130" i="67"/>
  <c r="Y115" i="67"/>
  <c r="Z33" i="67"/>
  <c r="AC122" i="67"/>
  <c r="Y130" i="67"/>
  <c r="AA88" i="67"/>
  <c r="AD130" i="67"/>
  <c r="AC116" i="67"/>
  <c r="AB98" i="67"/>
  <c r="AB113" i="67"/>
  <c r="AC53" i="67"/>
  <c r="AB117" i="67"/>
  <c r="AC71" i="67"/>
  <c r="Y98" i="67"/>
  <c r="AA121" i="67"/>
  <c r="AB114" i="67"/>
  <c r="AA118" i="67"/>
  <c r="AD98" i="67"/>
  <c r="Z122" i="67"/>
  <c r="AA115" i="67"/>
  <c r="Z118" i="67"/>
  <c r="Z130" i="67"/>
  <c r="Y116" i="67"/>
  <c r="AB120" i="67"/>
  <c r="AB33" i="67"/>
  <c r="Y123" i="67"/>
  <c r="AA130" i="67"/>
  <c r="Z116" i="67"/>
  <c r="Y53" i="67"/>
  <c r="Y120" i="67"/>
  <c r="AC88" i="67"/>
  <c r="AD123" i="67"/>
  <c r="Z53" i="67"/>
  <c r="AC107" i="67"/>
  <c r="Y117" i="67"/>
  <c r="Z71" i="67"/>
  <c r="Y114" i="67"/>
  <c r="AA123" i="67"/>
  <c r="Z121" i="67"/>
  <c r="Z107" i="67"/>
  <c r="AA33" i="67"/>
  <c r="AC123" i="67"/>
  <c r="AC120" i="67"/>
  <c r="Z119" i="67"/>
  <c r="AA98" i="67"/>
  <c r="AC121" i="67"/>
  <c r="AC118" i="67"/>
  <c r="Y33" i="67"/>
  <c r="AB122" i="67"/>
  <c r="AC115" i="67"/>
  <c r="AB119" i="67"/>
  <c r="Z88" i="67"/>
  <c r="AC130" i="67"/>
  <c r="AB53" i="67"/>
  <c r="AA117" i="67"/>
  <c r="AA114" i="67"/>
  <c r="AC98" i="67"/>
  <c r="Y119" i="67"/>
  <c r="Y71" i="67"/>
  <c r="AA120" i="67"/>
  <c r="Y88" i="67"/>
  <c r="AA113" i="67"/>
  <c r="AB71" i="67"/>
  <c r="Y122" i="67"/>
  <c r="AB116" i="67"/>
  <c r="AB107" i="67"/>
  <c r="Z115" i="67"/>
  <c r="AD53" i="67"/>
  <c r="AC117" i="67"/>
  <c r="AD71" i="67"/>
  <c r="Z98" i="67"/>
  <c r="AB121" i="67"/>
  <c r="AC114" i="67"/>
  <c r="AB118" i="67"/>
  <c r="AA122" i="67"/>
  <c r="AB115" i="67"/>
  <c r="AA119" i="67"/>
  <c r="Y121" i="67"/>
  <c r="Z114" i="67"/>
  <c r="Y118" i="67"/>
  <c r="AC119" i="67"/>
  <c r="AB88" i="67"/>
  <c r="D18" i="66"/>
  <c r="M15" i="66" s="1"/>
  <c r="L201" i="67"/>
  <c r="I206" i="67"/>
  <c r="H206" i="67"/>
  <c r="L197" i="67"/>
  <c r="L199" i="67"/>
  <c r="L203" i="67"/>
  <c r="G206" i="67"/>
  <c r="F206" i="67"/>
  <c r="L205" i="67"/>
  <c r="L200" i="67"/>
  <c r="J206" i="67"/>
  <c r="K206" i="67"/>
  <c r="L198" i="67"/>
  <c r="L202" i="67"/>
  <c r="C15" i="66"/>
  <c r="F15" i="66" s="1"/>
  <c r="C17" i="66"/>
  <c r="L14" i="66" s="1"/>
  <c r="F7" i="66"/>
  <c r="E22" i="72" l="1"/>
  <c r="E21" i="72"/>
  <c r="E25" i="72"/>
  <c r="E26" i="72"/>
  <c r="E23" i="72"/>
  <c r="E24" i="72"/>
  <c r="E4" i="66"/>
  <c r="D25" i="45" s="1"/>
  <c r="D63" i="45" s="1"/>
  <c r="D64" i="45" s="1"/>
  <c r="D65" i="45" s="1"/>
  <c r="F17" i="66"/>
  <c r="L17" i="66" s="1"/>
  <c r="C18" i="66"/>
  <c r="E27" i="72" l="1"/>
  <c r="D26" i="45"/>
  <c r="D46" i="45"/>
  <c r="D47" i="45" s="1"/>
  <c r="M45" i="45"/>
  <c r="M46" i="45" s="1"/>
  <c r="M25" i="45"/>
  <c r="M26" i="45" s="1"/>
  <c r="M14" i="66"/>
  <c r="N14" i="66" s="1"/>
  <c r="N15" i="66" s="1"/>
  <c r="F18" i="66"/>
  <c r="M17" i="66" s="1"/>
  <c r="O8" i="47"/>
  <c r="D48" i="45" l="1"/>
  <c r="C13" i="47"/>
  <c r="E13" i="47" s="1"/>
  <c r="M30" i="45"/>
  <c r="H7" i="47"/>
  <c r="J7" i="47" s="1"/>
  <c r="D27" i="45"/>
  <c r="C7" i="47"/>
  <c r="M50" i="45"/>
  <c r="H13" i="47"/>
  <c r="J13" i="47" s="1"/>
  <c r="K15" i="66"/>
  <c r="N16" i="66"/>
  <c r="K16" i="66"/>
  <c r="C19" i="47" l="1"/>
  <c r="E19" i="47" s="1"/>
  <c r="E7" i="47"/>
  <c r="N6" i="47"/>
  <c r="N9" i="47"/>
  <c r="N7" i="47"/>
  <c r="N10" i="47"/>
  <c r="N8" i="47" l="1"/>
  <c r="R7" i="47" s="1"/>
  <c r="Q7" i="47" s="1"/>
  <c r="T7" i="47" s="1"/>
  <c r="H19" i="47"/>
  <c r="J19" i="47" s="1"/>
  <c r="R10" i="47" l="1"/>
  <c r="Q10" i="47" s="1"/>
  <c r="T10" i="47" s="1"/>
  <c r="R9" i="47"/>
  <c r="Q9" i="47" s="1"/>
  <c r="S9" i="47" s="1"/>
  <c r="R6" i="47"/>
  <c r="Q6" i="47" s="1"/>
  <c r="T6" i="47" s="1"/>
  <c r="R8" i="47"/>
  <c r="Q8" i="47" s="1"/>
  <c r="T8" i="47" s="1"/>
  <c r="S7" i="47"/>
  <c r="S6" i="47" l="1"/>
  <c r="T9" i="47"/>
  <c r="S8" i="47"/>
  <c r="S10" i="47"/>
  <c r="K5" i="7"/>
  <c r="L5" i="7" s="1"/>
</calcChain>
</file>

<file path=xl/sharedStrings.xml><?xml version="1.0" encoding="utf-8"?>
<sst xmlns="http://schemas.openxmlformats.org/spreadsheetml/2006/main" count="27356" uniqueCount="7952">
  <si>
    <t>Text color</t>
    <phoneticPr fontId="34"/>
  </si>
  <si>
    <t>Deloitte Blue</t>
    <phoneticPr fontId="34"/>
  </si>
  <si>
    <t>Deloitte Green</t>
    <phoneticPr fontId="34"/>
  </si>
  <si>
    <t>Mid Blue</t>
    <phoneticPr fontId="34"/>
  </si>
  <si>
    <t>Light Blue</t>
    <phoneticPr fontId="34"/>
  </si>
  <si>
    <t>Dark Green</t>
    <phoneticPr fontId="34"/>
  </si>
  <si>
    <t>Light Green</t>
    <phoneticPr fontId="33"/>
  </si>
  <si>
    <t>Theme color</t>
    <phoneticPr fontId="33"/>
  </si>
  <si>
    <t>Gradation color</t>
    <phoneticPr fontId="33"/>
  </si>
  <si>
    <t>Black</t>
    <phoneticPr fontId="33"/>
  </si>
  <si>
    <t>White</t>
    <phoneticPr fontId="33"/>
  </si>
  <si>
    <t>Base color</t>
    <phoneticPr fontId="33"/>
  </si>
  <si>
    <t>Point color</t>
    <phoneticPr fontId="33"/>
  </si>
  <si>
    <t>Gray5</t>
    <phoneticPr fontId="33"/>
  </si>
  <si>
    <t>Gray4</t>
    <phoneticPr fontId="33"/>
  </si>
  <si>
    <t>Gray3</t>
    <phoneticPr fontId="33"/>
  </si>
  <si>
    <t>Gray2</t>
    <phoneticPr fontId="33"/>
  </si>
  <si>
    <t>Gray1</t>
    <phoneticPr fontId="33"/>
  </si>
  <si>
    <t>Orange</t>
    <phoneticPr fontId="33"/>
  </si>
  <si>
    <t>氏　名</t>
    <phoneticPr fontId="34"/>
  </si>
  <si>
    <t>（例： 環境 太郎）</t>
    <rPh sb="4" eb="6">
      <t>カンキョウ</t>
    </rPh>
    <rPh sb="7" eb="9">
      <t>タロウ</t>
    </rPh>
    <phoneticPr fontId="34"/>
  </si>
  <si>
    <t>所属機関</t>
    <phoneticPr fontId="34"/>
  </si>
  <si>
    <t>（例： 環境省）</t>
    <rPh sb="1" eb="2">
      <t>レイ</t>
    </rPh>
    <rPh sb="4" eb="6">
      <t>カンキョウ</t>
    </rPh>
    <rPh sb="6" eb="7">
      <t>ショウ</t>
    </rPh>
    <phoneticPr fontId="34"/>
  </si>
  <si>
    <t>部　署</t>
    <rPh sb="0" eb="1">
      <t>ブ</t>
    </rPh>
    <rPh sb="2" eb="3">
      <t>ショ</t>
    </rPh>
    <phoneticPr fontId="34"/>
  </si>
  <si>
    <t>役　職　名</t>
    <rPh sb="0" eb="1">
      <t>ヤク</t>
    </rPh>
    <rPh sb="2" eb="3">
      <t>ショク</t>
    </rPh>
    <rPh sb="4" eb="5">
      <t>メイ</t>
    </rPh>
    <phoneticPr fontId="34"/>
  </si>
  <si>
    <t>（例： 係長）</t>
    <rPh sb="4" eb="6">
      <t>カカリチョウ</t>
    </rPh>
    <phoneticPr fontId="34"/>
  </si>
  <si>
    <t>所　在　地</t>
    <phoneticPr fontId="34"/>
  </si>
  <si>
    <t>（例： 〒100-0013 東京都千代田区霞ヶ関1-4-2）</t>
    <rPh sb="21" eb="24">
      <t>カスミガセキ</t>
    </rPh>
    <phoneticPr fontId="34"/>
  </si>
  <si>
    <t>TEL/FAX</t>
  </si>
  <si>
    <t>TEL</t>
    <phoneticPr fontId="34"/>
  </si>
  <si>
    <t>03-3581-3351</t>
  </si>
  <si>
    <t>FAX</t>
    <phoneticPr fontId="34"/>
  </si>
  <si>
    <t>03-3580-1382</t>
  </si>
  <si>
    <t>メールアドレス</t>
    <phoneticPr fontId="34"/>
  </si>
  <si>
    <t>kankyo.taro@env.go.jp</t>
    <phoneticPr fontId="34"/>
  </si>
  <si>
    <t>記入者情報</t>
    <rPh sb="0" eb="2">
      <t>キニュウ</t>
    </rPh>
    <rPh sb="2" eb="3">
      <t>シャ</t>
    </rPh>
    <rPh sb="3" eb="5">
      <t>ジョウホウ</t>
    </rPh>
    <phoneticPr fontId="34"/>
  </si>
  <si>
    <t>水素の製造開始時期</t>
    <rPh sb="0" eb="2">
      <t>スイソ</t>
    </rPh>
    <rPh sb="3" eb="5">
      <t>セイゾウ</t>
    </rPh>
    <rPh sb="5" eb="7">
      <t>カイシ</t>
    </rPh>
    <rPh sb="7" eb="9">
      <t>ジキ</t>
    </rPh>
    <phoneticPr fontId="33"/>
  </si>
  <si>
    <t>水素の製造方法</t>
    <rPh sb="0" eb="2">
      <t>スイソ</t>
    </rPh>
    <rPh sb="3" eb="5">
      <t>セイゾウ</t>
    </rPh>
    <rPh sb="5" eb="7">
      <t>ホウホウ</t>
    </rPh>
    <phoneticPr fontId="33"/>
  </si>
  <si>
    <t>年</t>
    <rPh sb="0" eb="1">
      <t>ネン</t>
    </rPh>
    <phoneticPr fontId="33"/>
  </si>
  <si>
    <t>月</t>
    <rPh sb="0" eb="1">
      <t>ガツ</t>
    </rPh>
    <phoneticPr fontId="33"/>
  </si>
  <si>
    <t>日</t>
    <rPh sb="0" eb="1">
      <t>ニチ</t>
    </rPh>
    <phoneticPr fontId="33"/>
  </si>
  <si>
    <t>水素の製造施設の所在地（住所）</t>
    <rPh sb="0" eb="2">
      <t>スイソ</t>
    </rPh>
    <rPh sb="3" eb="5">
      <t>セイゾウ</t>
    </rPh>
    <rPh sb="5" eb="7">
      <t>シセツ</t>
    </rPh>
    <rPh sb="8" eb="11">
      <t>ショザイチ</t>
    </rPh>
    <rPh sb="12" eb="14">
      <t>ジュウショ</t>
    </rPh>
    <phoneticPr fontId="33"/>
  </si>
  <si>
    <t>（例： 〒100-0013 東京都千代田区霞ヶ関1-4-2）</t>
  </si>
  <si>
    <t>LPG</t>
    <phoneticPr fontId="34"/>
  </si>
  <si>
    <t>LNG</t>
    <phoneticPr fontId="47"/>
  </si>
  <si>
    <t>軽油</t>
  </si>
  <si>
    <t>軽油</t>
    <rPh sb="0" eb="2">
      <t>ケイユ</t>
    </rPh>
    <phoneticPr fontId="47"/>
  </si>
  <si>
    <t>[kWh]</t>
    <phoneticPr fontId="33"/>
  </si>
  <si>
    <t>[Nm3]</t>
    <phoneticPr fontId="33"/>
  </si>
  <si>
    <t>[kg]</t>
    <phoneticPr fontId="33"/>
  </si>
  <si>
    <t>[L]</t>
    <phoneticPr fontId="33"/>
  </si>
  <si>
    <t xml:space="preserve">[kgCO2/kWh] </t>
    <phoneticPr fontId="33"/>
  </si>
  <si>
    <t xml:space="preserve">[kgCO2/Nm3] </t>
    <phoneticPr fontId="33"/>
  </si>
  <si>
    <t xml:space="preserve">[kgCO2/L] </t>
    <phoneticPr fontId="33"/>
  </si>
  <si>
    <t xml:space="preserve">[kgCO2/kg] </t>
    <phoneticPr fontId="33"/>
  </si>
  <si>
    <t>純度</t>
    <rPh sb="0" eb="2">
      <t>ジュンド</t>
    </rPh>
    <phoneticPr fontId="33"/>
  </si>
  <si>
    <t>状態</t>
    <rPh sb="0" eb="2">
      <t>ジョウタイ</t>
    </rPh>
    <phoneticPr fontId="33"/>
  </si>
  <si>
    <t>圧力</t>
    <rPh sb="0" eb="2">
      <t>アツリョク</t>
    </rPh>
    <phoneticPr fontId="33"/>
  </si>
  <si>
    <t>温度</t>
    <rPh sb="0" eb="2">
      <t>オンド</t>
    </rPh>
    <phoneticPr fontId="33"/>
  </si>
  <si>
    <t>不純物</t>
    <rPh sb="0" eb="3">
      <t>フジュンブツ</t>
    </rPh>
    <phoneticPr fontId="33"/>
  </si>
  <si>
    <t>供給</t>
    <rPh sb="0" eb="2">
      <t>キョウキュウ</t>
    </rPh>
    <phoneticPr fontId="33"/>
  </si>
  <si>
    <t>製造</t>
    <rPh sb="0" eb="2">
      <t>セイゾウ</t>
    </rPh>
    <phoneticPr fontId="33"/>
  </si>
  <si>
    <t>[℃]</t>
    <phoneticPr fontId="33"/>
  </si>
  <si>
    <t>水素製造能力</t>
    <rPh sb="0" eb="2">
      <t>スイソ</t>
    </rPh>
    <rPh sb="2" eb="4">
      <t>セイゾウ</t>
    </rPh>
    <rPh sb="4" eb="6">
      <t>ノウリョク</t>
    </rPh>
    <phoneticPr fontId="33"/>
  </si>
  <si>
    <t>日産</t>
    <rPh sb="0" eb="2">
      <t>ニッサン</t>
    </rPh>
    <phoneticPr fontId="33"/>
  </si>
  <si>
    <t>年産</t>
    <rPh sb="0" eb="2">
      <t>ネンサン</t>
    </rPh>
    <phoneticPr fontId="33"/>
  </si>
  <si>
    <t>水素源</t>
    <rPh sb="0" eb="2">
      <t>スイソ</t>
    </rPh>
    <rPh sb="2" eb="3">
      <t>ゲン</t>
    </rPh>
    <phoneticPr fontId="33"/>
  </si>
  <si>
    <t>製造技術</t>
    <rPh sb="0" eb="2">
      <t>セイゾウ</t>
    </rPh>
    <rPh sb="2" eb="4">
      <t>ギジュツ</t>
    </rPh>
    <phoneticPr fontId="33"/>
  </si>
  <si>
    <t>[kg/d]</t>
    <phoneticPr fontId="33"/>
  </si>
  <si>
    <t>[Nm3/d]</t>
    <phoneticPr fontId="33"/>
  </si>
  <si>
    <t>[kg/yr]</t>
    <phoneticPr fontId="33"/>
  </si>
  <si>
    <t>[Nm3/yr]</t>
    <phoneticPr fontId="33"/>
  </si>
  <si>
    <t>[%]</t>
    <phoneticPr fontId="33"/>
  </si>
  <si>
    <t>気体</t>
    <rPh sb="0" eb="2">
      <t>キタイ</t>
    </rPh>
    <phoneticPr fontId="33"/>
  </si>
  <si>
    <t>液体</t>
    <rPh sb="0" eb="2">
      <t>エキタイ</t>
    </rPh>
    <phoneticPr fontId="33"/>
  </si>
  <si>
    <t>（気体/液体）</t>
    <rPh sb="1" eb="3">
      <t>キタイ</t>
    </rPh>
    <rPh sb="4" eb="6">
      <t>エキタイ</t>
    </rPh>
    <phoneticPr fontId="33"/>
  </si>
  <si>
    <t>工業用水</t>
    <rPh sb="0" eb="2">
      <t>コウギョウ</t>
    </rPh>
    <rPh sb="2" eb="4">
      <t>ヨウスイ</t>
    </rPh>
    <phoneticPr fontId="33"/>
  </si>
  <si>
    <t>エネルギー源</t>
    <rPh sb="5" eb="6">
      <t>ゲン</t>
    </rPh>
    <phoneticPr fontId="51"/>
  </si>
  <si>
    <t>単位換算値</t>
    <rPh sb="0" eb="2">
      <t>タンイ</t>
    </rPh>
    <rPh sb="2" eb="4">
      <t>カンサン</t>
    </rPh>
    <rPh sb="4" eb="5">
      <t>アタイ</t>
    </rPh>
    <phoneticPr fontId="51"/>
  </si>
  <si>
    <t>発熱量</t>
    <rPh sb="0" eb="2">
      <t>ハツネツ</t>
    </rPh>
    <rPh sb="2" eb="3">
      <t>リョウ</t>
    </rPh>
    <phoneticPr fontId="51"/>
  </si>
  <si>
    <t>発熱量(MJ/kg換算値)</t>
    <rPh sb="0" eb="2">
      <t>ハツネツ</t>
    </rPh>
    <rPh sb="2" eb="3">
      <t>リョウ</t>
    </rPh>
    <rPh sb="9" eb="11">
      <t>カンサン</t>
    </rPh>
    <rPh sb="11" eb="12">
      <t>アタイ</t>
    </rPh>
    <phoneticPr fontId="51"/>
  </si>
  <si>
    <t>換算係数</t>
    <rPh sb="0" eb="2">
      <t>カンサン</t>
    </rPh>
    <rPh sb="2" eb="4">
      <t>ケイスウ</t>
    </rPh>
    <phoneticPr fontId="51"/>
  </si>
  <si>
    <t>CO2排出係数</t>
    <rPh sb="3" eb="5">
      <t>ハイシュツ</t>
    </rPh>
    <rPh sb="5" eb="7">
      <t>ケイスウ</t>
    </rPh>
    <phoneticPr fontId="51"/>
  </si>
  <si>
    <t>分類</t>
    <rPh sb="0" eb="2">
      <t>ブンルイ</t>
    </rPh>
    <phoneticPr fontId="51"/>
  </si>
  <si>
    <t>項目</t>
    <rPh sb="0" eb="2">
      <t>コウモク</t>
    </rPh>
    <phoneticPr fontId="51"/>
  </si>
  <si>
    <t>単位</t>
    <rPh sb="0" eb="2">
      <t>タンイ</t>
    </rPh>
    <phoneticPr fontId="51"/>
  </si>
  <si>
    <t>LHV</t>
    <phoneticPr fontId="51"/>
  </si>
  <si>
    <t>HHV</t>
    <phoneticPr fontId="51"/>
  </si>
  <si>
    <t>LHV/HHV</t>
    <phoneticPr fontId="51"/>
  </si>
  <si>
    <t>石炭</t>
  </si>
  <si>
    <t>コークス用原料炭</t>
  </si>
  <si>
    <t>－</t>
  </si>
  <si>
    <t>MJ/kg</t>
  </si>
  <si>
    <t>g-CO2/MJ</t>
  </si>
  <si>
    <t>kg-CO2/kg</t>
  </si>
  <si>
    <t>輸入一般炭</t>
  </si>
  <si>
    <t>コ－クス</t>
  </si>
  <si>
    <t>製鉄副生ガス</t>
  </si>
  <si>
    <t>コ－クス炉ガス</t>
  </si>
  <si>
    <t>kg/Nm3</t>
  </si>
  <si>
    <t>MJ/Nm3</t>
  </si>
  <si>
    <t>石油</t>
  </si>
  <si>
    <t>原油</t>
  </si>
  <si>
    <t>kg/ℓ</t>
  </si>
  <si>
    <t>MJ/ℓ</t>
  </si>
  <si>
    <t>ナフサ</t>
  </si>
  <si>
    <t>ガソリン</t>
  </si>
  <si>
    <t>灯油</t>
  </si>
  <si>
    <t>重油（平均）</t>
  </si>
  <si>
    <t>A重油</t>
  </si>
  <si>
    <t>B重油</t>
  </si>
  <si>
    <t>C重油</t>
  </si>
  <si>
    <t>液化石油ガス（LPG）</t>
    <phoneticPr fontId="51"/>
  </si>
  <si>
    <t>プロパン（民生用）</t>
  </si>
  <si>
    <t>ブタン・プロパン混合（自動車用）</t>
  </si>
  <si>
    <t>天然ガス</t>
    <rPh sb="0" eb="2">
      <t>テンネン</t>
    </rPh>
    <phoneticPr fontId="51"/>
  </si>
  <si>
    <t>輸入液化天然ガス（LNG）</t>
  </si>
  <si>
    <t>国産天然ガス（気体）</t>
  </si>
  <si>
    <t>都市ガス</t>
  </si>
  <si>
    <t>合成燃料等</t>
  </si>
  <si>
    <t>メタノ－ル</t>
  </si>
  <si>
    <t>DME</t>
  </si>
  <si>
    <t>FT軽油（GTL）</t>
  </si>
  <si>
    <t>バイオマス関連燃料</t>
  </si>
  <si>
    <t>BDF</t>
  </si>
  <si>
    <t>メタン</t>
  </si>
  <si>
    <t>エタノ－ル</t>
  </si>
  <si>
    <t>ETBE</t>
  </si>
  <si>
    <t>水素</t>
  </si>
  <si>
    <t>水素（液体）</t>
  </si>
  <si>
    <t>水素（気体）</t>
  </si>
  <si>
    <t>MJ/kWh</t>
  </si>
  <si>
    <t>kg-CO2/kWh</t>
  </si>
  <si>
    <t>電力使用時</t>
  </si>
  <si>
    <t>g-CO2/kWh</t>
    <phoneticPr fontId="51"/>
  </si>
  <si>
    <t>商用電力</t>
    <rPh sb="0" eb="2">
      <t>ショウヨウ</t>
    </rPh>
    <rPh sb="2" eb="4">
      <t>デンリョク</t>
    </rPh>
    <phoneticPr fontId="51"/>
  </si>
  <si>
    <t>情報源</t>
    <rPh sb="0" eb="3">
      <t>ジョウホウゲン</t>
    </rPh>
    <phoneticPr fontId="33"/>
  </si>
  <si>
    <t>貯蔵・輸送</t>
    <rPh sb="0" eb="2">
      <t>チョゾウ</t>
    </rPh>
    <rPh sb="3" eb="5">
      <t>ユソウ</t>
    </rPh>
    <phoneticPr fontId="33"/>
  </si>
  <si>
    <t>[m3]</t>
    <phoneticPr fontId="33"/>
  </si>
  <si>
    <t>廃水</t>
    <rPh sb="0" eb="2">
      <t>ハイスイ</t>
    </rPh>
    <phoneticPr fontId="33"/>
  </si>
  <si>
    <t xml:space="preserve">[kgCO2/m3] </t>
    <phoneticPr fontId="33"/>
  </si>
  <si>
    <t>利用</t>
    <rPh sb="0" eb="2">
      <t>リヨウ</t>
    </rPh>
    <phoneticPr fontId="33"/>
  </si>
  <si>
    <t>用途①</t>
    <rPh sb="0" eb="2">
      <t>ヨウト</t>
    </rPh>
    <phoneticPr fontId="33"/>
  </si>
  <si>
    <t>用途②</t>
    <rPh sb="0" eb="2">
      <t>ヨウト</t>
    </rPh>
    <phoneticPr fontId="33"/>
  </si>
  <si>
    <t>合計</t>
    <rPh sb="0" eb="2">
      <t>ゴウケイ</t>
    </rPh>
    <phoneticPr fontId="33"/>
  </si>
  <si>
    <t>水素</t>
    <rPh sb="0" eb="2">
      <t>スイソ</t>
    </rPh>
    <phoneticPr fontId="33"/>
  </si>
  <si>
    <t>区分</t>
    <rPh sb="0" eb="2">
      <t>クブン</t>
    </rPh>
    <phoneticPr fontId="33"/>
  </si>
  <si>
    <t>種類</t>
    <rPh sb="0" eb="2">
      <t>シュルイ</t>
    </rPh>
    <phoneticPr fontId="33"/>
  </si>
  <si>
    <t>濃度[%}</t>
    <rPh sb="0" eb="2">
      <t>ノウド</t>
    </rPh>
    <phoneticPr fontId="33"/>
  </si>
  <si>
    <t>（例： 地球環境局 地球温暖化対策課）</t>
    <rPh sb="4" eb="6">
      <t>チキュウ</t>
    </rPh>
    <rPh sb="6" eb="8">
      <t>カンキョウ</t>
    </rPh>
    <rPh sb="8" eb="9">
      <t>キョク</t>
    </rPh>
    <rPh sb="10" eb="12">
      <t>チキュウ</t>
    </rPh>
    <rPh sb="12" eb="15">
      <t>オンダンカ</t>
    </rPh>
    <rPh sb="15" eb="17">
      <t>タイサク</t>
    </rPh>
    <rPh sb="17" eb="18">
      <t>カ</t>
    </rPh>
    <phoneticPr fontId="34"/>
  </si>
  <si>
    <t>項目</t>
    <rPh sb="0" eb="2">
      <t>コウモク</t>
    </rPh>
    <phoneticPr fontId="33"/>
  </si>
  <si>
    <t>都市ガス</t>
    <rPh sb="0" eb="2">
      <t>トシ</t>
    </rPh>
    <phoneticPr fontId="34"/>
  </si>
  <si>
    <t>一般炭</t>
    <rPh sb="0" eb="2">
      <t>イッパン</t>
    </rPh>
    <rPh sb="2" eb="3">
      <t>タン</t>
    </rPh>
    <phoneticPr fontId="47"/>
  </si>
  <si>
    <t>灯油</t>
    <rPh sb="0" eb="2">
      <t>トウユ</t>
    </rPh>
    <phoneticPr fontId="34"/>
  </si>
  <si>
    <t>A重油</t>
    <rPh sb="1" eb="3">
      <t>ジュウユ</t>
    </rPh>
    <phoneticPr fontId="34"/>
  </si>
  <si>
    <t>C重油</t>
    <rPh sb="1" eb="3">
      <t>ジュウユ</t>
    </rPh>
    <phoneticPr fontId="34"/>
  </si>
  <si>
    <t>ガソリン</t>
    <phoneticPr fontId="34"/>
  </si>
  <si>
    <t>その他１</t>
    <rPh sb="2" eb="3">
      <t>タ</t>
    </rPh>
    <phoneticPr fontId="47"/>
  </si>
  <si>
    <t xml:space="preserve">[kgCO2/単位] </t>
    <rPh sb="7" eb="9">
      <t>タンイ</t>
    </rPh>
    <phoneticPr fontId="33"/>
  </si>
  <si>
    <t>その他２</t>
    <rPh sb="2" eb="3">
      <t>タ</t>
    </rPh>
    <phoneticPr fontId="47"/>
  </si>
  <si>
    <t>その他３</t>
    <rPh sb="2" eb="3">
      <t>タ</t>
    </rPh>
    <phoneticPr fontId="47"/>
  </si>
  <si>
    <t>廃棄物種別[単位]</t>
    <rPh sb="0" eb="3">
      <t>ハイキブツ</t>
    </rPh>
    <rPh sb="3" eb="5">
      <t>シュベツ</t>
    </rPh>
    <rPh sb="6" eb="8">
      <t>タンイ</t>
    </rPh>
    <phoneticPr fontId="34"/>
  </si>
  <si>
    <t>系統電力</t>
    <rPh sb="0" eb="2">
      <t>ケイトウ</t>
    </rPh>
    <rPh sb="2" eb="4">
      <t>デンリョク</t>
    </rPh>
    <phoneticPr fontId="34"/>
  </si>
  <si>
    <t>水素の性状</t>
    <rPh sb="0" eb="2">
      <t>スイソ</t>
    </rPh>
    <rPh sb="3" eb="5">
      <t>セイジョウ</t>
    </rPh>
    <phoneticPr fontId="33"/>
  </si>
  <si>
    <t>用途③</t>
    <rPh sb="0" eb="2">
      <t>ヨウト</t>
    </rPh>
    <phoneticPr fontId="33"/>
  </si>
  <si>
    <t>廃棄物</t>
  </si>
  <si>
    <t>副生物種別</t>
    <rPh sb="0" eb="3">
      <t>フクセイブツ</t>
    </rPh>
    <rPh sb="3" eb="5">
      <t>シュベツ</t>
    </rPh>
    <phoneticPr fontId="34"/>
  </si>
  <si>
    <t>［MJ］</t>
    <phoneticPr fontId="33"/>
  </si>
  <si>
    <t>［円］</t>
    <rPh sb="1" eb="2">
      <t>エン</t>
    </rPh>
    <phoneticPr fontId="33"/>
  </si>
  <si>
    <t>［kg］</t>
    <phoneticPr fontId="33"/>
  </si>
  <si>
    <t>円/kg</t>
    <rPh sb="0" eb="1">
      <t>エン</t>
    </rPh>
    <phoneticPr fontId="33"/>
  </si>
  <si>
    <t>円/Nm3</t>
    <rPh sb="0" eb="1">
      <t>エン</t>
    </rPh>
    <phoneticPr fontId="33"/>
  </si>
  <si>
    <t>採用：</t>
    <rPh sb="0" eb="2">
      <t>サイヨウ</t>
    </rPh>
    <phoneticPr fontId="33"/>
  </si>
  <si>
    <t>排出量[kgCO2]</t>
    <rPh sb="0" eb="2">
      <t>ハイシュツ</t>
    </rPh>
    <rPh sb="2" eb="3">
      <t>リョウ</t>
    </rPh>
    <phoneticPr fontId="33"/>
  </si>
  <si>
    <t>[Nm3/h]</t>
  </si>
  <si>
    <t>水酸化カリウム</t>
  </si>
  <si>
    <t>[kg/h]</t>
    <phoneticPr fontId="33"/>
  </si>
  <si>
    <t>[Nm3/h]</t>
    <phoneticPr fontId="33"/>
  </si>
  <si>
    <t>定格能力</t>
    <rPh sb="0" eb="2">
      <t>テイカク</t>
    </rPh>
    <rPh sb="2" eb="4">
      <t>ノウリョク</t>
    </rPh>
    <phoneticPr fontId="33"/>
  </si>
  <si>
    <t>[Nm3/d]</t>
  </si>
  <si>
    <t>[Nm3/yr]</t>
  </si>
  <si>
    <t>No.</t>
    <phoneticPr fontId="33"/>
  </si>
  <si>
    <t>機器システム名称</t>
    <rPh sb="0" eb="2">
      <t>キキ</t>
    </rPh>
    <rPh sb="6" eb="8">
      <t>メイショウ</t>
    </rPh>
    <phoneticPr fontId="33"/>
  </si>
  <si>
    <t>機能概要</t>
    <rPh sb="0" eb="2">
      <t>キノウ</t>
    </rPh>
    <rPh sb="2" eb="4">
      <t>ガイヨウ</t>
    </rPh>
    <phoneticPr fontId="33"/>
  </si>
  <si>
    <t>P01</t>
    <phoneticPr fontId="33"/>
  </si>
  <si>
    <t>P02</t>
    <phoneticPr fontId="33"/>
  </si>
  <si>
    <t>P03</t>
    <phoneticPr fontId="33"/>
  </si>
  <si>
    <t>→</t>
    <phoneticPr fontId="33"/>
  </si>
  <si>
    <t>P04</t>
    <phoneticPr fontId="33"/>
  </si>
  <si>
    <t>P05</t>
    <phoneticPr fontId="33"/>
  </si>
  <si>
    <t>有り</t>
    <rPh sb="0" eb="1">
      <t>ア</t>
    </rPh>
    <phoneticPr fontId="33"/>
  </si>
  <si>
    <t>無し</t>
    <rPh sb="0" eb="1">
      <t>ナ</t>
    </rPh>
    <phoneticPr fontId="33"/>
  </si>
  <si>
    <t>―</t>
    <phoneticPr fontId="33"/>
  </si>
  <si>
    <t>[MJ]</t>
    <phoneticPr fontId="33"/>
  </si>
  <si>
    <t>副産物種別[単位]</t>
    <rPh sb="0" eb="3">
      <t>フクサンブツ</t>
    </rPh>
    <rPh sb="3" eb="5">
      <t>シュベツ</t>
    </rPh>
    <rPh sb="6" eb="8">
      <t>タンイ</t>
    </rPh>
    <phoneticPr fontId="34"/>
  </si>
  <si>
    <t>ST01</t>
    <phoneticPr fontId="33"/>
  </si>
  <si>
    <t>ST02</t>
    <phoneticPr fontId="33"/>
  </si>
  <si>
    <t>ST03</t>
    <phoneticPr fontId="33"/>
  </si>
  <si>
    <t>ST04</t>
    <phoneticPr fontId="33"/>
  </si>
  <si>
    <t>ST05</t>
    <phoneticPr fontId="33"/>
  </si>
  <si>
    <t>D01</t>
    <phoneticPr fontId="33"/>
  </si>
  <si>
    <t>D02</t>
    <phoneticPr fontId="33"/>
  </si>
  <si>
    <t>D03</t>
    <phoneticPr fontId="33"/>
  </si>
  <si>
    <t>D04</t>
    <phoneticPr fontId="33"/>
  </si>
  <si>
    <t>D05</t>
    <phoneticPr fontId="33"/>
  </si>
  <si>
    <t>製造～供給</t>
    <rPh sb="0" eb="2">
      <t>セイゾウ</t>
    </rPh>
    <rPh sb="3" eb="5">
      <t>キョウキュウ</t>
    </rPh>
    <phoneticPr fontId="33"/>
  </si>
  <si>
    <t>台数</t>
    <rPh sb="0" eb="2">
      <t>ダイスウ</t>
    </rPh>
    <phoneticPr fontId="33"/>
  </si>
  <si>
    <t>走行距離</t>
    <rPh sb="0" eb="2">
      <t>ソウコウ</t>
    </rPh>
    <rPh sb="2" eb="4">
      <t>キョリ</t>
    </rPh>
    <phoneticPr fontId="33"/>
  </si>
  <si>
    <t>[km]</t>
    <phoneticPr fontId="33"/>
  </si>
  <si>
    <t>[台]</t>
    <rPh sb="1" eb="2">
      <t>ダイ</t>
    </rPh>
    <phoneticPr fontId="33"/>
  </si>
  <si>
    <t>CO2排出係数</t>
    <rPh sb="3" eb="5">
      <t>ハイシュツ</t>
    </rPh>
    <rPh sb="5" eb="7">
      <t>ケイスウ</t>
    </rPh>
    <phoneticPr fontId="33"/>
  </si>
  <si>
    <t>CO2排出量</t>
    <rPh sb="3" eb="5">
      <t>ハイシュツ</t>
    </rPh>
    <rPh sb="5" eb="6">
      <t>リョウ</t>
    </rPh>
    <phoneticPr fontId="33"/>
  </si>
  <si>
    <t>ガソリン</t>
    <phoneticPr fontId="33"/>
  </si>
  <si>
    <t>軽油</t>
    <rPh sb="0" eb="2">
      <t>ケイユ</t>
    </rPh>
    <phoneticPr fontId="33"/>
  </si>
  <si>
    <t>LPG</t>
    <phoneticPr fontId="33"/>
  </si>
  <si>
    <t>都市ガス</t>
    <rPh sb="0" eb="2">
      <t>トシ</t>
    </rPh>
    <phoneticPr fontId="33"/>
  </si>
  <si>
    <t>L</t>
    <phoneticPr fontId="33"/>
  </si>
  <si>
    <t>L</t>
    <phoneticPr fontId="33"/>
  </si>
  <si>
    <t>Nm3</t>
    <phoneticPr fontId="33"/>
  </si>
  <si>
    <t>kg</t>
    <phoneticPr fontId="33"/>
  </si>
  <si>
    <t>CO2削減効果</t>
    <rPh sb="3" eb="7">
      <t>サクゲンコウカ</t>
    </rPh>
    <phoneticPr fontId="33"/>
  </si>
  <si>
    <t>[kgCO2/MJ]</t>
    <phoneticPr fontId="33"/>
  </si>
  <si>
    <t>[kgCO2]</t>
    <phoneticPr fontId="33"/>
  </si>
  <si>
    <t>商用電力</t>
    <rPh sb="0" eb="2">
      <t>ショウヨウ</t>
    </rPh>
    <rPh sb="2" eb="4">
      <t>デンリョク</t>
    </rPh>
    <phoneticPr fontId="33"/>
  </si>
  <si>
    <t>kWh</t>
    <phoneticPr fontId="33"/>
  </si>
  <si>
    <t>g-CO2/MJ</t>
    <phoneticPr fontId="33"/>
  </si>
  <si>
    <t>利用：輸送機器</t>
    <rPh sb="0" eb="2">
      <t>リヨウ</t>
    </rPh>
    <rPh sb="3" eb="5">
      <t>ユソウ</t>
    </rPh>
    <rPh sb="5" eb="7">
      <t>キキ</t>
    </rPh>
    <phoneticPr fontId="33"/>
  </si>
  <si>
    <t>利用：定置用機器</t>
    <rPh sb="0" eb="2">
      <t>リヨウ</t>
    </rPh>
    <rPh sb="3" eb="6">
      <t>テイチヨウ</t>
    </rPh>
    <rPh sb="6" eb="8">
      <t>キキ</t>
    </rPh>
    <phoneticPr fontId="33"/>
  </si>
  <si>
    <t>[kW]</t>
    <phoneticPr fontId="33"/>
  </si>
  <si>
    <t>[h]</t>
    <phoneticPr fontId="33"/>
  </si>
  <si>
    <t>灯油</t>
    <rPh sb="0" eb="2">
      <t>トウユ</t>
    </rPh>
    <phoneticPr fontId="33"/>
  </si>
  <si>
    <r>
      <t>A</t>
    </r>
    <r>
      <rPr>
        <sz val="11"/>
        <rFont val="ＭＳ Ｐゴシック"/>
        <family val="3"/>
        <charset val="128"/>
      </rPr>
      <t>重油</t>
    </r>
    <rPh sb="1" eb="3">
      <t>ジュウユ</t>
    </rPh>
    <phoneticPr fontId="33"/>
  </si>
  <si>
    <t>[kgCO2/kWh]</t>
    <phoneticPr fontId="33"/>
  </si>
  <si>
    <t>CO2削減量</t>
    <rPh sb="3" eb="5">
      <t>サクゲン</t>
    </rPh>
    <rPh sb="5" eb="6">
      <t>リョウ</t>
    </rPh>
    <phoneticPr fontId="33"/>
  </si>
  <si>
    <t>単位</t>
  </si>
  <si>
    <t>kg</t>
  </si>
  <si>
    <t>玄米</t>
  </si>
  <si>
    <t>小麦</t>
  </si>
  <si>
    <t>裸麦</t>
  </si>
  <si>
    <t>六条大麦</t>
  </si>
  <si>
    <t>ビール麦</t>
  </si>
  <si>
    <t>大豆</t>
  </si>
  <si>
    <t>小豆</t>
  </si>
  <si>
    <t>らっかせい</t>
  </si>
  <si>
    <t>いんげん</t>
  </si>
  <si>
    <t>とうもろこし</t>
  </si>
  <si>
    <t>かんしょ</t>
  </si>
  <si>
    <t>ばれいしょ</t>
  </si>
  <si>
    <t>りんご</t>
  </si>
  <si>
    <t>日本なし</t>
  </si>
  <si>
    <t>びわ</t>
  </si>
  <si>
    <t>みかん</t>
  </si>
  <si>
    <t>いよかん</t>
  </si>
  <si>
    <t>なつみかん</t>
  </si>
  <si>
    <t>はっさく</t>
  </si>
  <si>
    <t>ネーブルオレンジ</t>
  </si>
  <si>
    <t>もも</t>
  </si>
  <si>
    <t>すもも</t>
  </si>
  <si>
    <t>うめ</t>
  </si>
  <si>
    <t>おうとう（さくらんぼ）</t>
  </si>
  <si>
    <t>キウイフルーツ</t>
  </si>
  <si>
    <t>パインアップル</t>
  </si>
  <si>
    <t>くり</t>
  </si>
  <si>
    <t>ぶどう</t>
  </si>
  <si>
    <t>飼料作物</t>
  </si>
  <si>
    <t>円</t>
  </si>
  <si>
    <t>本</t>
  </si>
  <si>
    <t>てんさい</t>
  </si>
  <si>
    <t>さとうきび</t>
  </si>
  <si>
    <t>なたね</t>
  </si>
  <si>
    <t>綿花</t>
  </si>
  <si>
    <t>綿実</t>
  </si>
  <si>
    <t>生乳</t>
  </si>
  <si>
    <t>その他の酪農生産物</t>
  </si>
  <si>
    <t>鶏卵</t>
  </si>
  <si>
    <t>肉鶏</t>
  </si>
  <si>
    <t>豚</t>
  </si>
  <si>
    <t>肉用牛</t>
  </si>
  <si>
    <t>m3</t>
  </si>
  <si>
    <t>MJ</t>
  </si>
  <si>
    <t>海面養殖業収穫物</t>
  </si>
  <si>
    <t>大理石</t>
  </si>
  <si>
    <t>けい石</t>
  </si>
  <si>
    <t>けい砂</t>
  </si>
  <si>
    <t>石灰石</t>
  </si>
  <si>
    <t>炭酸リチウム</t>
  </si>
  <si>
    <t>塩化リチウム</t>
  </si>
  <si>
    <t>臭化リチウム</t>
  </si>
  <si>
    <t>高密度ポリエチレン（HDPE）</t>
  </si>
  <si>
    <t>ポリスチレン</t>
  </si>
  <si>
    <t>アクリロニトリルスチレン樹脂</t>
  </si>
  <si>
    <t>ABS樹脂</t>
  </si>
  <si>
    <t>ポリプロピレン</t>
  </si>
  <si>
    <t>メタクリル樹脂</t>
  </si>
  <si>
    <t>ポリビニルアルコール</t>
  </si>
  <si>
    <t>ポリアミド系樹脂</t>
  </si>
  <si>
    <t>ふっ素樹脂</t>
  </si>
  <si>
    <t>ポリエチレンテレフタレート</t>
  </si>
  <si>
    <t>その他の油脂加工製品</t>
  </si>
  <si>
    <t>プラスチック積層品</t>
  </si>
  <si>
    <t>プラスチック化粧板</t>
  </si>
  <si>
    <t>くろまぐろ</t>
  </si>
  <si>
    <t>みなみまぐろ</t>
  </si>
  <si>
    <t>びんなが</t>
  </si>
  <si>
    <t>めばち</t>
  </si>
  <si>
    <t>きはだ</t>
  </si>
  <si>
    <t>その他のまぐろ類</t>
  </si>
  <si>
    <t>まかじき</t>
  </si>
  <si>
    <t>めかじき</t>
  </si>
  <si>
    <t>くろかじき類</t>
  </si>
  <si>
    <t>その他のかじき類</t>
  </si>
  <si>
    <t>かつお</t>
  </si>
  <si>
    <t>そうだがつお類</t>
  </si>
  <si>
    <t>ぎんざけ</t>
  </si>
  <si>
    <t>からふとます</t>
  </si>
  <si>
    <t>さくらます</t>
  </si>
  <si>
    <t>ひめます</t>
  </si>
  <si>
    <t>にじます</t>
  </si>
  <si>
    <t>いわな</t>
  </si>
  <si>
    <t>まいわし</t>
  </si>
  <si>
    <t>うるめいわし</t>
  </si>
  <si>
    <t>かたくちいわし</t>
  </si>
  <si>
    <t>しらす</t>
  </si>
  <si>
    <t>まあじ</t>
  </si>
  <si>
    <t>しまあじ</t>
  </si>
  <si>
    <t>むろあじ類</t>
  </si>
  <si>
    <t>さば類</t>
  </si>
  <si>
    <t>さんま</t>
  </si>
  <si>
    <t>まだら</t>
  </si>
  <si>
    <t>すけとうだら</t>
  </si>
  <si>
    <t>ひらめ</t>
  </si>
  <si>
    <t>かれい類</t>
  </si>
  <si>
    <t>まだい</t>
  </si>
  <si>
    <t>ぶり類</t>
  </si>
  <si>
    <t>わかさぎ</t>
  </si>
  <si>
    <t>あゆ</t>
  </si>
  <si>
    <t>こい</t>
  </si>
  <si>
    <t>ふな</t>
  </si>
  <si>
    <t>うなぎ</t>
  </si>
  <si>
    <t>ほっけ</t>
  </si>
  <si>
    <t>いかなご類</t>
  </si>
  <si>
    <t>たちうお</t>
  </si>
  <si>
    <t>さめ類</t>
  </si>
  <si>
    <t>ふぐ類</t>
  </si>
  <si>
    <t>このしろ</t>
  </si>
  <si>
    <t>さわら類</t>
  </si>
  <si>
    <t>とびうお類</t>
  </si>
  <si>
    <t>すずき類</t>
  </si>
  <si>
    <t>しいら類</t>
  </si>
  <si>
    <t>あなご類</t>
  </si>
  <si>
    <t>えそ類</t>
  </si>
  <si>
    <t>はたはた</t>
  </si>
  <si>
    <t>にぎす類</t>
  </si>
  <si>
    <t>えい類</t>
  </si>
  <si>
    <t>いぼだい</t>
  </si>
  <si>
    <t>いさき</t>
  </si>
  <si>
    <t>ぼら類</t>
  </si>
  <si>
    <t>はも</t>
  </si>
  <si>
    <t>にしん</t>
  </si>
  <si>
    <t>あまだい類</t>
  </si>
  <si>
    <t>きちじ</t>
  </si>
  <si>
    <t>めぬけ類</t>
  </si>
  <si>
    <t>他に分類されないその他の魚類</t>
  </si>
  <si>
    <t>ほたてがい</t>
  </si>
  <si>
    <t>あさり類</t>
  </si>
  <si>
    <t>しじみ</t>
  </si>
  <si>
    <t>さざえ</t>
  </si>
  <si>
    <t>うばがい(ほっき)</t>
  </si>
  <si>
    <t>さるぼう(もがい)</t>
  </si>
  <si>
    <t>あわび類</t>
  </si>
  <si>
    <t>はまぐり類</t>
  </si>
  <si>
    <t>その他の貝類</t>
  </si>
  <si>
    <t>のり類</t>
  </si>
  <si>
    <t>こんぶ類</t>
  </si>
  <si>
    <t>わかめ類</t>
  </si>
  <si>
    <t>もずく類</t>
  </si>
  <si>
    <t>ひじき</t>
  </si>
  <si>
    <t>てんぐさ類</t>
  </si>
  <si>
    <t>その他の海藻類</t>
  </si>
  <si>
    <t>いせえび</t>
  </si>
  <si>
    <t>くるまえび</t>
  </si>
  <si>
    <t>その他のえび類</t>
  </si>
  <si>
    <t>たらばがに</t>
  </si>
  <si>
    <t>ずわいがに</t>
  </si>
  <si>
    <t>べにずわいがに</t>
  </si>
  <si>
    <t>がざみ類</t>
  </si>
  <si>
    <t>その他のかに類</t>
  </si>
  <si>
    <t>こういか類</t>
  </si>
  <si>
    <t>するめいか</t>
  </si>
  <si>
    <t>あかいか</t>
  </si>
  <si>
    <t>その他のいか類</t>
  </si>
  <si>
    <t>たこ類</t>
  </si>
  <si>
    <t>うに類</t>
  </si>
  <si>
    <t>なまこ類</t>
  </si>
  <si>
    <t>おきあみ類</t>
  </si>
  <si>
    <t>ほや類</t>
  </si>
  <si>
    <t>海産ほ乳類</t>
  </si>
  <si>
    <t>原料炭</t>
  </si>
  <si>
    <t>一般炭</t>
  </si>
  <si>
    <t>褐炭・亜炭</t>
  </si>
  <si>
    <t>L</t>
  </si>
  <si>
    <t>天然ガス</t>
  </si>
  <si>
    <t>Nm3</t>
  </si>
  <si>
    <t>LNG(液化天然ガス)</t>
  </si>
  <si>
    <t>鉄鉱石</t>
  </si>
  <si>
    <t>ボーキサイト</t>
  </si>
  <si>
    <t>砂鉄</t>
  </si>
  <si>
    <t>かんらん岩</t>
  </si>
  <si>
    <t>ドロマイト</t>
  </si>
  <si>
    <t>その他の窯業原料</t>
  </si>
  <si>
    <t>カオリン</t>
  </si>
  <si>
    <t>ろう石</t>
  </si>
  <si>
    <t>長石</t>
  </si>
  <si>
    <t>陶石</t>
  </si>
  <si>
    <t>その他の非金属鉱物</t>
  </si>
  <si>
    <t>蛇紋岩</t>
  </si>
  <si>
    <t>天然ソーダ灰</t>
  </si>
  <si>
    <t>蛍石</t>
  </si>
  <si>
    <t>氷晶石</t>
  </si>
  <si>
    <t>けいそう土</t>
  </si>
  <si>
    <t>滑石(タルク)</t>
  </si>
  <si>
    <t>天然黒鉛</t>
  </si>
  <si>
    <t>耐火粘土</t>
  </si>
  <si>
    <t>ベントナイト</t>
  </si>
  <si>
    <t>酸性白土</t>
  </si>
  <si>
    <t>m2</t>
  </si>
  <si>
    <t>木造在来住宅</t>
  </si>
  <si>
    <t>木造量産住宅</t>
  </si>
  <si>
    <t>SRC住宅</t>
  </si>
  <si>
    <t>RC在来住宅</t>
  </si>
  <si>
    <t>RC量産住宅</t>
  </si>
  <si>
    <t>S在来住宅</t>
  </si>
  <si>
    <t>S量産住宅</t>
  </si>
  <si>
    <t>CB住宅</t>
  </si>
  <si>
    <t>木造工場</t>
  </si>
  <si>
    <t>木造事務所</t>
  </si>
  <si>
    <t>SRC工場</t>
  </si>
  <si>
    <t>SRC事務所</t>
  </si>
  <si>
    <t>RC工場</t>
  </si>
  <si>
    <t>RC事務所</t>
  </si>
  <si>
    <t>RC学校</t>
  </si>
  <si>
    <t>S工場</t>
  </si>
  <si>
    <t>S事務所</t>
  </si>
  <si>
    <t>CB非住宅</t>
  </si>
  <si>
    <t>一般道路</t>
  </si>
  <si>
    <t>有料道路</t>
  </si>
  <si>
    <t>下水道</t>
  </si>
  <si>
    <t>港湾・漁港</t>
  </si>
  <si>
    <t>空港</t>
  </si>
  <si>
    <t>公園</t>
  </si>
  <si>
    <t>災害復旧</t>
  </si>
  <si>
    <t>農林関係公共事業</t>
  </si>
  <si>
    <t>鉄道軌道建設</t>
  </si>
  <si>
    <t>電力施設建設</t>
  </si>
  <si>
    <t>電気通信施設建設</t>
  </si>
  <si>
    <t>上・工業用水道</t>
  </si>
  <si>
    <t>土地造成</t>
  </si>
  <si>
    <t>建設補修</t>
  </si>
  <si>
    <t>その他の土木</t>
  </si>
  <si>
    <t>その他の肉製品</t>
  </si>
  <si>
    <t>練乳、粉乳、脱脂粉乳</t>
  </si>
  <si>
    <t>バター</t>
  </si>
  <si>
    <t>チーズ</t>
  </si>
  <si>
    <t>処理牛乳</t>
  </si>
  <si>
    <t>アイスクリーム</t>
  </si>
  <si>
    <t>乳飲料、乳酸菌飲料</t>
  </si>
  <si>
    <t>その他の乳製品</t>
  </si>
  <si>
    <t>ブロイラー加工品</t>
  </si>
  <si>
    <t>まぐろ缶詰</t>
  </si>
  <si>
    <t>さば缶詰</t>
  </si>
  <si>
    <t>寒天</t>
  </si>
  <si>
    <t>魚肉ハム・ソーセージ</t>
  </si>
  <si>
    <t>塩干・塩蔵品</t>
  </si>
  <si>
    <t>冷凍水産物</t>
  </si>
  <si>
    <t>冷凍水産食品</t>
  </si>
  <si>
    <t>冷凍野菜・果実</t>
  </si>
  <si>
    <t>その他の農産保存食料品</t>
  </si>
  <si>
    <t>しょう油、食用アミノ酸</t>
  </si>
  <si>
    <t>しょう油</t>
  </si>
  <si>
    <t>グルタミン酸ソーダ</t>
  </si>
  <si>
    <t>ウスター・中濃・濃厚ソース</t>
  </si>
  <si>
    <t>その他のソース類</t>
  </si>
  <si>
    <t>マヨネーズ</t>
  </si>
  <si>
    <t>食酢</t>
  </si>
  <si>
    <t>香辛料</t>
  </si>
  <si>
    <t>ルウ類</t>
  </si>
  <si>
    <t>精製糖</t>
  </si>
  <si>
    <t>ぶどう糖、グルコース</t>
  </si>
  <si>
    <t>水あめ、麦芽糖</t>
  </si>
  <si>
    <t>異性化糖</t>
  </si>
  <si>
    <t>精米</t>
  </si>
  <si>
    <t>精麦</t>
  </si>
  <si>
    <t>小麦粉</t>
  </si>
  <si>
    <t>こんにゃく粉</t>
  </si>
  <si>
    <t>食パン</t>
  </si>
  <si>
    <t>kg-小麦粉</t>
  </si>
  <si>
    <t>菓子パン</t>
  </si>
  <si>
    <t>洋生菓子</t>
  </si>
  <si>
    <t>和生菓子</t>
  </si>
  <si>
    <t>ビスケット類、干菓子</t>
  </si>
  <si>
    <t>米菓</t>
  </si>
  <si>
    <t>あめ菓子</t>
  </si>
  <si>
    <t>チョコレート類</t>
  </si>
  <si>
    <t>その他の菓子</t>
  </si>
  <si>
    <t>大豆油</t>
  </si>
  <si>
    <t>混合植物油脂</t>
  </si>
  <si>
    <t>その他の植物油脂</t>
  </si>
  <si>
    <t>なたね油</t>
  </si>
  <si>
    <t>牛脂</t>
  </si>
  <si>
    <t>豚脂</t>
  </si>
  <si>
    <t>その他の動物油脂</t>
  </si>
  <si>
    <t>ショートニング油</t>
  </si>
  <si>
    <t>マーガリン</t>
  </si>
  <si>
    <t>その他の食用油脂</t>
  </si>
  <si>
    <t>でんぷん</t>
  </si>
  <si>
    <t>即席めん類</t>
  </si>
  <si>
    <t>和風めん</t>
  </si>
  <si>
    <t>洋風めん</t>
  </si>
  <si>
    <t>中華めん</t>
  </si>
  <si>
    <t>豆腐、しみ豆腐、油揚げ類</t>
  </si>
  <si>
    <t>あん類</t>
  </si>
  <si>
    <t>冷凍調理食品</t>
  </si>
  <si>
    <t>炭酸飲料</t>
  </si>
  <si>
    <t>ジュース</t>
  </si>
  <si>
    <t>コーヒー飲料</t>
  </si>
  <si>
    <t>茶飲料</t>
  </si>
  <si>
    <t>ミネラルウォーター</t>
  </si>
  <si>
    <t>その他の清涼飲料</t>
  </si>
  <si>
    <t>果実酒</t>
  </si>
  <si>
    <t>ビール</t>
  </si>
  <si>
    <t>清酒</t>
  </si>
  <si>
    <t>焼ちゅう</t>
  </si>
  <si>
    <t>合成清酒</t>
  </si>
  <si>
    <t>ウイスキー</t>
  </si>
  <si>
    <t>味りん</t>
  </si>
  <si>
    <t>発泡酒</t>
  </si>
  <si>
    <t>荒茶</t>
  </si>
  <si>
    <t>コーヒー</t>
  </si>
  <si>
    <t>人造氷</t>
  </si>
  <si>
    <t>ペット用飼料</t>
  </si>
  <si>
    <t>単体飼料</t>
  </si>
  <si>
    <t>有機質肥料</t>
  </si>
  <si>
    <t>生糸</t>
  </si>
  <si>
    <t>綿紡績糸</t>
  </si>
  <si>
    <t>化学繊維紡績糸</t>
  </si>
  <si>
    <t>ポリエステル・綿混紡糸</t>
  </si>
  <si>
    <t>毛紡績糸</t>
  </si>
  <si>
    <t>羊毛・ポリエステル混紡糸</t>
  </si>
  <si>
    <t>その他の紡績糸</t>
  </si>
  <si>
    <t>ポリエステル撚糸</t>
  </si>
  <si>
    <t>ねん糸加工</t>
  </si>
  <si>
    <t>かさ高加工</t>
  </si>
  <si>
    <t>ナイロンタイヤコｰド</t>
  </si>
  <si>
    <t>ポリエステルタイヤコｰド</t>
  </si>
  <si>
    <t>丸編ニット生地</t>
  </si>
  <si>
    <t>たて編ニット生地</t>
  </si>
  <si>
    <t>横編ニット生地</t>
  </si>
  <si>
    <t>綱</t>
  </si>
  <si>
    <t>漁網</t>
  </si>
  <si>
    <t>その他の網地</t>
  </si>
  <si>
    <t>刺しゅうレース生地</t>
  </si>
  <si>
    <t>編レース生地</t>
  </si>
  <si>
    <t>ボビンレース生地</t>
  </si>
  <si>
    <t>組ひも</t>
  </si>
  <si>
    <t>細幅織物</t>
  </si>
  <si>
    <t>その他のレース・繊維雑品</t>
  </si>
  <si>
    <t>フェルト・不織布</t>
  </si>
  <si>
    <t>じゅうたん・その他の繊維製床敷物</t>
  </si>
  <si>
    <t>繊維製衛生材料</t>
  </si>
  <si>
    <t>他に分類されない繊維工業製品</t>
  </si>
  <si>
    <t>成人男子・少年服</t>
  </si>
  <si>
    <t>成人女子・少女服</t>
  </si>
  <si>
    <t>乳幼児服</t>
  </si>
  <si>
    <t>シャツ(下着を除く)</t>
  </si>
  <si>
    <t>事務用・作業用・衛生用・スポーツ用衣服</t>
  </si>
  <si>
    <t>学校服</t>
  </si>
  <si>
    <t>ニット製アウターシャツ類</t>
  </si>
  <si>
    <t>セーター類</t>
  </si>
  <si>
    <t>その他のニット製外衣・シャツ</t>
  </si>
  <si>
    <t>織物製下着</t>
  </si>
  <si>
    <t>ニット製下着</t>
  </si>
  <si>
    <t>織物製寝着類</t>
  </si>
  <si>
    <t>ニット製寝着類</t>
  </si>
  <si>
    <t>補整着</t>
  </si>
  <si>
    <t>和装製品</t>
  </si>
  <si>
    <t>足袋類</t>
  </si>
  <si>
    <t>ネクタイ</t>
  </si>
  <si>
    <t>ハンカチーフ</t>
  </si>
  <si>
    <t>靴下</t>
  </si>
  <si>
    <t>ニット手袋</t>
  </si>
  <si>
    <t>他に分類されない衣服・繊維製身の回り品</t>
  </si>
  <si>
    <t>毛皮製衣服・身の回り品</t>
  </si>
  <si>
    <t>毛布</t>
  </si>
  <si>
    <t>帆布</t>
  </si>
  <si>
    <t>繊維製袋</t>
  </si>
  <si>
    <t>刺しゅう製品</t>
  </si>
  <si>
    <t>他に分類されない繊維製品</t>
  </si>
  <si>
    <t>板類</t>
  </si>
  <si>
    <t>ひき割類</t>
  </si>
  <si>
    <t>ひき角類</t>
  </si>
  <si>
    <t>小割</t>
  </si>
  <si>
    <t>乾燥桁材</t>
  </si>
  <si>
    <t>その他の製材製品</t>
  </si>
  <si>
    <t>床板</t>
  </si>
  <si>
    <t>木質フローリング</t>
  </si>
  <si>
    <t>木材チップ</t>
  </si>
  <si>
    <t>経木･同製品</t>
  </si>
  <si>
    <t>その他の特殊製材品(経木･同製品を除く)</t>
  </si>
  <si>
    <t>木製笠木</t>
  </si>
  <si>
    <t>木製窓枠</t>
  </si>
  <si>
    <t>木製幅木</t>
  </si>
  <si>
    <t>普通合板</t>
  </si>
  <si>
    <t>特殊合板</t>
  </si>
  <si>
    <t>集成材</t>
  </si>
  <si>
    <t>住宅建築用木製組立材料</t>
  </si>
  <si>
    <t>その他の建築用木製組立材料</t>
  </si>
  <si>
    <t>木質系プレハブ住宅</t>
  </si>
  <si>
    <t>パーティクルボード</t>
  </si>
  <si>
    <t>竹・とう・きりゅう等容器</t>
  </si>
  <si>
    <t>折箱</t>
  </si>
  <si>
    <t>木箱類(折箱を除く)</t>
  </si>
  <si>
    <t>たる</t>
  </si>
  <si>
    <t>おけ類</t>
  </si>
  <si>
    <t>薬品処理木材</t>
  </si>
  <si>
    <t>木製まくら木</t>
  </si>
  <si>
    <t>コルク製品</t>
  </si>
  <si>
    <t>木製台所用品</t>
  </si>
  <si>
    <t>機械器具木部</t>
  </si>
  <si>
    <t>木製机・テーブル・いす</t>
  </si>
  <si>
    <t>個</t>
  </si>
  <si>
    <t>台</t>
  </si>
  <si>
    <t>たんす</t>
  </si>
  <si>
    <t>木製棚・戸棚</t>
  </si>
  <si>
    <t>木製音響機器用キャビネット</t>
  </si>
  <si>
    <t>木製ベッド</t>
  </si>
  <si>
    <t>金属製机・テーブル・いす</t>
  </si>
  <si>
    <t>金属製ベッド</t>
  </si>
  <si>
    <t>金属製電動ベッド</t>
  </si>
  <si>
    <t>金属製棚・戸棚</t>
  </si>
  <si>
    <t>その他の金属製家具</t>
  </si>
  <si>
    <t>宗教用具</t>
  </si>
  <si>
    <t>枚</t>
  </si>
  <si>
    <t>内装建具(木部のみ）</t>
  </si>
  <si>
    <t>事務所用・店舗用装備品</t>
  </si>
  <si>
    <t>窓用・扉用日よけ</t>
  </si>
  <si>
    <t>鏡縁・額縁</t>
  </si>
  <si>
    <t>他に分類されない家具・装備品</t>
  </si>
  <si>
    <t>溶解パルプ</t>
  </si>
  <si>
    <t>クラフトパルプ</t>
  </si>
  <si>
    <t>その他のパルプ</t>
  </si>
  <si>
    <t>古紙パルプ</t>
  </si>
  <si>
    <t>新聞巻取紙</t>
  </si>
  <si>
    <t>非塗工印刷用紙</t>
  </si>
  <si>
    <t>塗工印刷用紙</t>
  </si>
  <si>
    <t>特殊印刷用紙</t>
  </si>
  <si>
    <t>情報用紙</t>
  </si>
  <si>
    <t>筆記・図画用紙</t>
  </si>
  <si>
    <t>未さらし包装紙</t>
  </si>
  <si>
    <t>さらし包装紙</t>
  </si>
  <si>
    <t>衛生用紙</t>
  </si>
  <si>
    <t>障子紙、書道用紙</t>
  </si>
  <si>
    <t>雑種紙</t>
  </si>
  <si>
    <t>マニラボール</t>
  </si>
  <si>
    <t>白ボール</t>
  </si>
  <si>
    <t>色板紙</t>
  </si>
  <si>
    <t>建材原紙</t>
  </si>
  <si>
    <t>その他の板紙</t>
  </si>
  <si>
    <t>手すき和紙</t>
  </si>
  <si>
    <t>アスファルト塗工紙</t>
  </si>
  <si>
    <t>浸透加工紙</t>
  </si>
  <si>
    <t>積層加工紙</t>
  </si>
  <si>
    <t>その他の塗工紙</t>
  </si>
  <si>
    <t>段ボールシート</t>
  </si>
  <si>
    <t>帳簿類</t>
  </si>
  <si>
    <t>事務用書式類</t>
  </si>
  <si>
    <t>事務用紙袋</t>
  </si>
  <si>
    <t>その他の事務用紙製品</t>
  </si>
  <si>
    <t>ノート類</t>
  </si>
  <si>
    <t>その他の学用紙製品</t>
  </si>
  <si>
    <t>祝儀用品</t>
  </si>
  <si>
    <t>写真用紙製品</t>
  </si>
  <si>
    <t>その他の日用紙製品</t>
  </si>
  <si>
    <t>その他の紙製品</t>
  </si>
  <si>
    <t>重包装紙袋</t>
  </si>
  <si>
    <t>袋</t>
  </si>
  <si>
    <t>角底紙袋</t>
  </si>
  <si>
    <t>段ボール箱</t>
  </si>
  <si>
    <t>印刷箱</t>
  </si>
  <si>
    <t>簡易箱</t>
  </si>
  <si>
    <t>貼箱</t>
  </si>
  <si>
    <t>その他の紙器</t>
  </si>
  <si>
    <t>セロファン</t>
  </si>
  <si>
    <t>硬質繊維板</t>
  </si>
  <si>
    <t>その他の繊維板</t>
  </si>
  <si>
    <t>中質繊維板（MDF）</t>
  </si>
  <si>
    <t>インシュレーションボード</t>
  </si>
  <si>
    <t>紙製衛生材料</t>
  </si>
  <si>
    <t>大人用紙おむつ</t>
  </si>
  <si>
    <t>子供用紙おむつ</t>
  </si>
  <si>
    <t>その他の紙製衛生用品</t>
  </si>
  <si>
    <t>紙管</t>
  </si>
  <si>
    <t>ソリッドファイバー・バルカナイズドファイバー製品</t>
  </si>
  <si>
    <t>その他の他に分類されないパルプ・紙・紙加工品</t>
  </si>
  <si>
    <t>紙以外のものに対する特殊印刷物</t>
  </si>
  <si>
    <t>フォトマスク</t>
  </si>
  <si>
    <t>活字</t>
  </si>
  <si>
    <t>鉛版</t>
  </si>
  <si>
    <t>kg-N</t>
  </si>
  <si>
    <t>kg-P2O5</t>
  </si>
  <si>
    <t>硝酸アンモニウム</t>
  </si>
  <si>
    <t>尿素</t>
  </si>
  <si>
    <t>その他のアンモニウム系肥料</t>
  </si>
  <si>
    <t>硝酸ナトリウム</t>
  </si>
  <si>
    <t>石灰窒素</t>
  </si>
  <si>
    <t>過りん酸石灰</t>
  </si>
  <si>
    <t>熔成りん肥</t>
  </si>
  <si>
    <t>その他のりん酸質肥料</t>
  </si>
  <si>
    <t>重過りん酸石灰</t>
  </si>
  <si>
    <t>化成肥料</t>
  </si>
  <si>
    <t>配合肥料</t>
  </si>
  <si>
    <t>その他の化学肥料</t>
  </si>
  <si>
    <t>kg-K2O</t>
  </si>
  <si>
    <t>ソーダ灰</t>
  </si>
  <si>
    <t>液体塩素</t>
  </si>
  <si>
    <t>塩化アンモニウム</t>
  </si>
  <si>
    <t>塩素酸ナトリウム</t>
  </si>
  <si>
    <t>その他のソーダ工業製品</t>
  </si>
  <si>
    <t>過酸化ナトリウム</t>
  </si>
  <si>
    <t>炭酸水素ナトリウム(重炭酸ナトリウム)</t>
  </si>
  <si>
    <t>塩素</t>
  </si>
  <si>
    <t>亜鉛華</t>
  </si>
  <si>
    <t>酸化チタン</t>
  </si>
  <si>
    <t>黄鉛</t>
  </si>
  <si>
    <t>カーボンブラック</t>
  </si>
  <si>
    <t>その他の無機顔料</t>
  </si>
  <si>
    <t>リトポン</t>
  </si>
  <si>
    <t>溶解アセチレン</t>
  </si>
  <si>
    <t>ドライアイス</t>
  </si>
  <si>
    <t>窒素</t>
  </si>
  <si>
    <t>その他の圧縮ガス・液化ガス</t>
  </si>
  <si>
    <t>合成ガス</t>
  </si>
  <si>
    <t>一酸化炭素</t>
  </si>
  <si>
    <t>工業塩</t>
  </si>
  <si>
    <t>食用塩</t>
  </si>
  <si>
    <t>かん水・にがり</t>
  </si>
  <si>
    <t>カルシウムカーバイド</t>
  </si>
  <si>
    <t>カリウム塩類</t>
  </si>
  <si>
    <t>塩化カリウム</t>
  </si>
  <si>
    <t>硫酸カリウム</t>
  </si>
  <si>
    <t>過マンガン酸カリウム</t>
  </si>
  <si>
    <t>炭酸カリウム</t>
  </si>
  <si>
    <t>硝酸銀</t>
  </si>
  <si>
    <t>過酸化水素</t>
  </si>
  <si>
    <t>けい酸ナトリウム</t>
  </si>
  <si>
    <t>りん酸ナトリウム</t>
  </si>
  <si>
    <t>活性炭</t>
  </si>
  <si>
    <t>バリウム塩類</t>
  </si>
  <si>
    <t>炭酸バリウム</t>
  </si>
  <si>
    <t>触媒</t>
  </si>
  <si>
    <t>その他の他に分類されない無機化学工業製品</t>
  </si>
  <si>
    <t>ホスゲン</t>
  </si>
  <si>
    <t>重クロム酸ナトリウム</t>
  </si>
  <si>
    <t>黄りん</t>
  </si>
  <si>
    <t>五硫化二りん</t>
  </si>
  <si>
    <t>ふっ化アルミニウム</t>
  </si>
  <si>
    <t>塩化スルホン酸</t>
  </si>
  <si>
    <t>無水硫酸</t>
  </si>
  <si>
    <t>塩化亜鉛</t>
  </si>
  <si>
    <t>次亜塩素酸カルシウム</t>
  </si>
  <si>
    <t>二硫化炭素</t>
  </si>
  <si>
    <t>炭酸水素アンモニウム</t>
  </si>
  <si>
    <t>無水亜硫酸ナトリウム</t>
  </si>
  <si>
    <t>硫化ナトリウム</t>
  </si>
  <si>
    <t>シリカゲル</t>
  </si>
  <si>
    <t>無水クロム酸</t>
  </si>
  <si>
    <t>五酸化バナジウム</t>
  </si>
  <si>
    <t>二硫化モリブデン</t>
  </si>
  <si>
    <t>水酸化マグネシウム</t>
  </si>
  <si>
    <t>パラタングステン酸アンモニウム</t>
  </si>
  <si>
    <t>炭化タングステン</t>
  </si>
  <si>
    <t>ゼオライトA</t>
  </si>
  <si>
    <t>五酸化タンタル</t>
  </si>
  <si>
    <t>ふっ化タンタル酸カリウム</t>
  </si>
  <si>
    <t>よう素</t>
  </si>
  <si>
    <t>ほう酸</t>
  </si>
  <si>
    <t>無水ほう酸</t>
  </si>
  <si>
    <t>酸化エチレン</t>
  </si>
  <si>
    <t>エチレングリコール</t>
  </si>
  <si>
    <t>イソブチレン</t>
  </si>
  <si>
    <t>1-ブテン</t>
  </si>
  <si>
    <t>イソブタン</t>
  </si>
  <si>
    <t>パラキシレン</t>
  </si>
  <si>
    <t>芳香族混合溶剤</t>
  </si>
  <si>
    <t>n-ブタノール</t>
  </si>
  <si>
    <t>合成ブタノール</t>
  </si>
  <si>
    <t>合成オクタノール</t>
  </si>
  <si>
    <t>酸化プロピレン</t>
  </si>
  <si>
    <t>プロピレングリコール</t>
  </si>
  <si>
    <t>ポリプロピレングリコール</t>
  </si>
  <si>
    <t>二塩化エチレン</t>
  </si>
  <si>
    <t>塩化ビニルモノマー</t>
  </si>
  <si>
    <t>アクリロニトリル</t>
  </si>
  <si>
    <t>酢酸ビニルモノマー</t>
  </si>
  <si>
    <t>メラミン</t>
  </si>
  <si>
    <t>無水酢酸</t>
  </si>
  <si>
    <t>その他の脂肪族系中間物</t>
  </si>
  <si>
    <t>アセトアルデヒド</t>
  </si>
  <si>
    <t>1,4-ヘキサジエン</t>
  </si>
  <si>
    <t>2-エチルヘキシルアクリレート</t>
  </si>
  <si>
    <t>2-ヒドロキシエチルアクリレート</t>
  </si>
  <si>
    <t>n-ブチルアルデヒド</t>
  </si>
  <si>
    <t>アクリルアミド</t>
  </si>
  <si>
    <t>アクリル酸</t>
  </si>
  <si>
    <t>アクリル酸メチル</t>
  </si>
  <si>
    <t>アクロレイン</t>
  </si>
  <si>
    <t>アジポニトリル</t>
  </si>
  <si>
    <t>アセトンシアンヒドリン</t>
  </si>
  <si>
    <t>アリルアルコール</t>
  </si>
  <si>
    <t>イソオクテン</t>
  </si>
  <si>
    <t>イソブチルアルデヒド</t>
  </si>
  <si>
    <t>イソプロピルアルコール</t>
  </si>
  <si>
    <t>エチレンイミン</t>
  </si>
  <si>
    <t>1-オクテン</t>
  </si>
  <si>
    <t>ジ-n-ブチルアミン</t>
  </si>
  <si>
    <t>ジ-n-プロピルアミン</t>
  </si>
  <si>
    <t>ジブチルグリコールエーテル</t>
  </si>
  <si>
    <t>ジメチルアセトアミド（DMAC）</t>
  </si>
  <si>
    <t>スルフォラン</t>
  </si>
  <si>
    <t>ソルビン酸</t>
  </si>
  <si>
    <t>テトラハイドロフラン</t>
  </si>
  <si>
    <t>トリエタノールアミン</t>
  </si>
  <si>
    <t>トリエチルアミン</t>
  </si>
  <si>
    <t>トリクロロエタン</t>
  </si>
  <si>
    <t>トリメチルアミン</t>
  </si>
  <si>
    <t>パラアルデヒド</t>
  </si>
  <si>
    <t>ブチルトリグリコールエーテル</t>
  </si>
  <si>
    <t>ブチルモノグリコールエーテル</t>
  </si>
  <si>
    <t>フマル酸</t>
  </si>
  <si>
    <t>ポリエチレングリコール</t>
  </si>
  <si>
    <t>ポリテトラフルオロエチレン</t>
  </si>
  <si>
    <t>ポリフェニレンエーテル樹脂</t>
  </si>
  <si>
    <t>メタクリル酸</t>
  </si>
  <si>
    <t>メチルイソブチルケトン（MIBK）</t>
  </si>
  <si>
    <t>高級アルコールエトキシレート</t>
  </si>
  <si>
    <t>酢酸-n-ブチル</t>
  </si>
  <si>
    <t>酢酸エチル</t>
  </si>
  <si>
    <t>無水マレイン酸</t>
  </si>
  <si>
    <t>合成エタノール</t>
  </si>
  <si>
    <t>ジエチルマレエート</t>
  </si>
  <si>
    <t>モノクロル酢酸</t>
  </si>
  <si>
    <t>1,4-ブタンジオール</t>
  </si>
  <si>
    <t>2-エチルヘキサノール</t>
  </si>
  <si>
    <t>2-ブタノール</t>
  </si>
  <si>
    <t>アジピン酸</t>
  </si>
  <si>
    <t>塩化アリル</t>
  </si>
  <si>
    <t>エチレングリコールモノブチルエーテル</t>
  </si>
  <si>
    <t>エピクロロヒドリン</t>
  </si>
  <si>
    <t>ジエタノールアミン</t>
  </si>
  <si>
    <t>モノエタノールアミン</t>
  </si>
  <si>
    <t>ジエチレントリアミン</t>
  </si>
  <si>
    <t>テトラエチレンペンタミン</t>
  </si>
  <si>
    <t>トリエチレンテトラミン</t>
  </si>
  <si>
    <t>プロピレングリコールメチルエーテル</t>
  </si>
  <si>
    <t>プロピレンテトラマー</t>
  </si>
  <si>
    <t>ヘキサメチレンジアミン（HMDA）</t>
  </si>
  <si>
    <t>ペンタエリスリトール</t>
  </si>
  <si>
    <t>ポリアクリロニトリル</t>
  </si>
  <si>
    <t>ポリフェニレンサルファイド</t>
  </si>
  <si>
    <t>メチルエチルケトン</t>
  </si>
  <si>
    <t>メチルメルカプタン</t>
  </si>
  <si>
    <t>エチレングリコールモノエチルエーテル</t>
  </si>
  <si>
    <t>ジエチレングリコールモノエチルエーテル</t>
  </si>
  <si>
    <t>トリエチレングリコールモノエチルエーテル</t>
  </si>
  <si>
    <t>その他の発酵製品</t>
  </si>
  <si>
    <t>ジメチルテレフタレート</t>
  </si>
  <si>
    <t>テレフタル酸</t>
  </si>
  <si>
    <t>スチレンモノマー</t>
  </si>
  <si>
    <t>トリレンジイソシアネート(TDI)</t>
  </si>
  <si>
    <t>カプロラクタム</t>
  </si>
  <si>
    <t>シクロヘキサノン</t>
  </si>
  <si>
    <t>シクロヘキサン</t>
  </si>
  <si>
    <t>合成アセトン</t>
  </si>
  <si>
    <t>アニリン</t>
  </si>
  <si>
    <t>無水フタル酸</t>
  </si>
  <si>
    <t>ニトロベンゼン</t>
  </si>
  <si>
    <t>その他の環式中間物</t>
  </si>
  <si>
    <t>o-ジクロルベンゼン</t>
  </si>
  <si>
    <t>p-ジクロルベンゼン</t>
  </si>
  <si>
    <t>イソフタル酸</t>
  </si>
  <si>
    <t>エチルベンゼン</t>
  </si>
  <si>
    <t>ジ-n-ブチルフタレート</t>
  </si>
  <si>
    <t>ジニトロトルエン</t>
  </si>
  <si>
    <t>ノニルフェノール</t>
  </si>
  <si>
    <t>ノニルフェノールエトキシレート</t>
  </si>
  <si>
    <t>パラ-tert-ブチルフェノール</t>
  </si>
  <si>
    <t>フタル酸ジオクチル</t>
  </si>
  <si>
    <t>モノクロルベンゼン</t>
  </si>
  <si>
    <t>安息香酸</t>
  </si>
  <si>
    <t>サリチル酸</t>
  </si>
  <si>
    <t>サリチル酸メチル</t>
  </si>
  <si>
    <t>2,6-ジメチルフェノール</t>
  </si>
  <si>
    <t>4-メチルペンテン-1</t>
  </si>
  <si>
    <t>p-メチルスチレン</t>
  </si>
  <si>
    <t>シクロヘキサノール</t>
  </si>
  <si>
    <t>デカブロモジフェニルオキサイド</t>
  </si>
  <si>
    <t>ドデシルベンゼン</t>
  </si>
  <si>
    <t>ビスフェノールA</t>
  </si>
  <si>
    <t>ピリジン</t>
  </si>
  <si>
    <t>直接染料</t>
  </si>
  <si>
    <t>分散性染料</t>
  </si>
  <si>
    <t>その他の合成染料</t>
  </si>
  <si>
    <t>ピグメントレジンカラー</t>
  </si>
  <si>
    <t>レーキ</t>
  </si>
  <si>
    <t>フェノール樹脂</t>
  </si>
  <si>
    <t>不飽和ポリエステル樹脂</t>
  </si>
  <si>
    <t>アルキド樹脂</t>
  </si>
  <si>
    <t>ポリエチレン</t>
  </si>
  <si>
    <t>直鎖状低密度ポリエチレン</t>
  </si>
  <si>
    <t>低密度ポリエチレン</t>
  </si>
  <si>
    <t>エポキシ樹脂</t>
  </si>
  <si>
    <t>ポリ酢酸ビニル</t>
  </si>
  <si>
    <t>ポリアセタール</t>
  </si>
  <si>
    <t>ポリカーボネート</t>
  </si>
  <si>
    <t>その他のプラスチック</t>
  </si>
  <si>
    <t>イソブチルエーテルメラミン樹脂</t>
  </si>
  <si>
    <t>n-ブチルエーテルメラミン樹脂</t>
  </si>
  <si>
    <t>MBS樹脂</t>
  </si>
  <si>
    <t>ポリ1-ブテン</t>
  </si>
  <si>
    <t>ポリメチルペンテン</t>
  </si>
  <si>
    <t>塩化ビニリデン樹脂</t>
  </si>
  <si>
    <t>ポリジメチルシロキサン</t>
  </si>
  <si>
    <t>ヘキセンコポリマー</t>
  </si>
  <si>
    <t>ポリイミド</t>
  </si>
  <si>
    <t>ポリブチレンテレフタレート</t>
  </si>
  <si>
    <t>ポリブタジエン</t>
  </si>
  <si>
    <t>ブチルゴム</t>
  </si>
  <si>
    <t>エチレン・プロピレン・ジエンターポリマー</t>
  </si>
  <si>
    <t>スチレンブタジエンゴム</t>
  </si>
  <si>
    <t>ブタジエンゴムラテックス</t>
  </si>
  <si>
    <t>ブタジエン</t>
  </si>
  <si>
    <t>ホルマリン</t>
  </si>
  <si>
    <t>クロロジフルオロメタン</t>
  </si>
  <si>
    <t>その他のメタン誘導品</t>
  </si>
  <si>
    <t>メタノール</t>
  </si>
  <si>
    <t>モノメチルアミン</t>
  </si>
  <si>
    <t>ジメチルアミン</t>
  </si>
  <si>
    <t>ジメチルエーテル</t>
  </si>
  <si>
    <t>ジメチルスルホキサイド（DMSO）</t>
  </si>
  <si>
    <t>ジメチルフォルムアミド（DMF）</t>
  </si>
  <si>
    <t>四塩化炭素</t>
  </si>
  <si>
    <t>クレオソート油</t>
  </si>
  <si>
    <t>ピッチ</t>
  </si>
  <si>
    <t>その他のコールタール製品</t>
  </si>
  <si>
    <t>m-クレゾール</t>
  </si>
  <si>
    <t>p-クレゾール</t>
  </si>
  <si>
    <t>フタル酸系可塑剤</t>
  </si>
  <si>
    <t>その他の可塑剤</t>
  </si>
  <si>
    <t>有機ゴム薬品</t>
  </si>
  <si>
    <t>その他の他に分類されない有機化学工業製品</t>
  </si>
  <si>
    <t>DL-メチオニン</t>
  </si>
  <si>
    <t>N-メチル-2-ピロリドン（NMP）</t>
  </si>
  <si>
    <t>エチルターシャリーブチルエーテル(ETBE)</t>
  </si>
  <si>
    <t>キレート剤</t>
  </si>
  <si>
    <t>ヘキサメチレンテトラミン</t>
  </si>
  <si>
    <t>ポリエーテルポリオール</t>
  </si>
  <si>
    <t>ポリオール</t>
  </si>
  <si>
    <t>1-ヘキセン</t>
  </si>
  <si>
    <t>ペンタエチレンヘキサミン</t>
  </si>
  <si>
    <t>ポリエステルポリオール</t>
  </si>
  <si>
    <t>メチル-tert-ブチルエーテル（MTBE）</t>
  </si>
  <si>
    <t>ビスコース長繊維糸</t>
  </si>
  <si>
    <t>ビスコース短繊維</t>
  </si>
  <si>
    <t>ナイロン長繊維糸・短繊維</t>
  </si>
  <si>
    <t>ナイロン6</t>
  </si>
  <si>
    <t>ポリエステル長繊維糸</t>
  </si>
  <si>
    <t>ポリエステル短繊維</t>
  </si>
  <si>
    <t>アクリル長繊維糸・短繊維</t>
  </si>
  <si>
    <t>ビニロン長繊維糸・短繊維</t>
  </si>
  <si>
    <t>ポリプロピレン長繊維糸・短繊維</t>
  </si>
  <si>
    <t>その他の合成繊維</t>
  </si>
  <si>
    <t>ポリアクリロニトリル繊維</t>
  </si>
  <si>
    <t>合成脂肪酸</t>
  </si>
  <si>
    <t>精製脂肪酸</t>
  </si>
  <si>
    <t>その他の石けん</t>
  </si>
  <si>
    <t>ステアリン酸カルシウム</t>
  </si>
  <si>
    <t>ステアリン酸亜鉛</t>
  </si>
  <si>
    <t>洗濯用合成洗剤</t>
  </si>
  <si>
    <t>台所用合成洗剤</t>
  </si>
  <si>
    <t>その他の家庭用合成洗剤</t>
  </si>
  <si>
    <t>工業用合成洗剤</t>
  </si>
  <si>
    <t>陰イオン界面活性剤</t>
  </si>
  <si>
    <t>陽イオン界面活性剤</t>
  </si>
  <si>
    <t>非イオン界面活性剤</t>
  </si>
  <si>
    <t>その他の界面活性剤</t>
  </si>
  <si>
    <t>油性塗料</t>
  </si>
  <si>
    <t>ラッカー</t>
  </si>
  <si>
    <t>電気絶縁塗料</t>
  </si>
  <si>
    <t>溶剤系合成樹脂塗料</t>
  </si>
  <si>
    <t>水系合成樹脂塗料</t>
  </si>
  <si>
    <t>無溶剤系合成樹脂塗料</t>
  </si>
  <si>
    <t>家電用ポリエステル粉体塗料</t>
  </si>
  <si>
    <t>シンナー</t>
  </si>
  <si>
    <t>アルミニウムペースト</t>
  </si>
  <si>
    <t>一般インキ</t>
  </si>
  <si>
    <t>新聞インキ</t>
  </si>
  <si>
    <t>印刷インキ用ワニス</t>
  </si>
  <si>
    <t>クレンザー</t>
  </si>
  <si>
    <t>ワックス</t>
  </si>
  <si>
    <t>靴クリーム</t>
  </si>
  <si>
    <t>その他の洗浄剤・磨用剤</t>
  </si>
  <si>
    <t>ろうそく</t>
  </si>
  <si>
    <t>医薬品原末、原液</t>
  </si>
  <si>
    <t>生薬・漢方製剤</t>
  </si>
  <si>
    <t>動物用医薬品</t>
  </si>
  <si>
    <t>ファンデーション</t>
  </si>
  <si>
    <t>おしろい</t>
  </si>
  <si>
    <t>クリーム(化粧品)</t>
  </si>
  <si>
    <t>化粧水</t>
  </si>
  <si>
    <t>乳液</t>
  </si>
  <si>
    <t>その他の仕上用・皮膚用化粧品</t>
  </si>
  <si>
    <t>養毛料</t>
  </si>
  <si>
    <t>整髪料</t>
  </si>
  <si>
    <t>その他の頭髪用化粧品</t>
  </si>
  <si>
    <t>その他の化粧品・調整品</t>
  </si>
  <si>
    <t>歯磨</t>
  </si>
  <si>
    <t>産業用火薬・爆薬</t>
  </si>
  <si>
    <t>その他の火工品</t>
  </si>
  <si>
    <t>武器用火薬類</t>
  </si>
  <si>
    <t>殺虫剤</t>
  </si>
  <si>
    <t>殺菌剤</t>
  </si>
  <si>
    <t>その他の農薬</t>
  </si>
  <si>
    <t>天然香料</t>
  </si>
  <si>
    <t>合成香料</t>
  </si>
  <si>
    <t>調合香料</t>
  </si>
  <si>
    <t>フェノール樹脂系接着剤</t>
  </si>
  <si>
    <t>フェノール・レゾルシノール樹脂系接着剤</t>
  </si>
  <si>
    <t>ユリア樹脂系接着剤</t>
  </si>
  <si>
    <t>水性高分子イソシアネート接着剤</t>
  </si>
  <si>
    <t>その他の接着剤</t>
  </si>
  <si>
    <t>レンズ付写真フィルム</t>
  </si>
  <si>
    <t>写真用印画紙</t>
  </si>
  <si>
    <t>製版用感光材料</t>
  </si>
  <si>
    <t>木材化学製品</t>
  </si>
  <si>
    <t>漂白剤</t>
  </si>
  <si>
    <t>その他の他に分類されない化学工業製品</t>
  </si>
  <si>
    <t>ジェット燃料油</t>
  </si>
  <si>
    <t>エンジンオイル</t>
  </si>
  <si>
    <t>パラフィン</t>
  </si>
  <si>
    <t>アスファルト</t>
  </si>
  <si>
    <t>液化石油ガス</t>
  </si>
  <si>
    <t>石油ガス</t>
  </si>
  <si>
    <t>コークス</t>
  </si>
  <si>
    <t>ピッチコークス</t>
  </si>
  <si>
    <t>練炭・豆炭</t>
  </si>
  <si>
    <t>回収硫黄</t>
  </si>
  <si>
    <t>プラスチック棒</t>
  </si>
  <si>
    <t>プラスチック硬質管</t>
  </si>
  <si>
    <t>プラスチックホース</t>
  </si>
  <si>
    <t>プラスチック雨どい・同附属品</t>
  </si>
  <si>
    <t>その他のプラスチック異形押出製品</t>
  </si>
  <si>
    <t>ラミネート用PSフィルム</t>
  </si>
  <si>
    <t>農業用塩化ビニルフィルム</t>
  </si>
  <si>
    <t>プラスチックタイル</t>
  </si>
  <si>
    <t>その他のプラスチック床材</t>
  </si>
  <si>
    <t>合成皮革</t>
  </si>
  <si>
    <t>アルミ蒸着プラスチックフィルム</t>
  </si>
  <si>
    <t>自動車用プラスチック製品</t>
  </si>
  <si>
    <t>電気機械器具用プラスチック製品</t>
  </si>
  <si>
    <t>その他の工業用プラスチック製品</t>
  </si>
  <si>
    <t>硬質ウレタンフォーム</t>
  </si>
  <si>
    <t>ポリスチレンペーパー(PSP)</t>
  </si>
  <si>
    <t>その他の硬質プラスチック発泡製品</t>
  </si>
  <si>
    <t>強化プラスチック製板・棒・管・継手</t>
  </si>
  <si>
    <t>強化プラスチック製容器・浴槽・浄化槽</t>
  </si>
  <si>
    <t>工業用強化プラスチック製品</t>
  </si>
  <si>
    <t>その他の強化プラスチック製品</t>
  </si>
  <si>
    <t>PSPトレイ</t>
  </si>
  <si>
    <t>プラスチック成形材料</t>
  </si>
  <si>
    <t>再生プラスチック成形材料</t>
  </si>
  <si>
    <t>再生PETフレーク</t>
  </si>
  <si>
    <t>再生POフラフ</t>
  </si>
  <si>
    <t>再生POペレット</t>
  </si>
  <si>
    <t>廃プラスチック製品</t>
  </si>
  <si>
    <t>再生物流パレット</t>
  </si>
  <si>
    <t>再生合板パネル</t>
  </si>
  <si>
    <t>再生白色PSPトレイ</t>
  </si>
  <si>
    <t>再生塩ビ管</t>
  </si>
  <si>
    <t>再生塩ビ床材</t>
  </si>
  <si>
    <t>プラスチック製日用雑貨・台所用品・食卓用品・浴室用品</t>
  </si>
  <si>
    <t>プラスチック製中空成形容器</t>
  </si>
  <si>
    <t>飲料用プラスチックボトル</t>
  </si>
  <si>
    <t>その他のプラスチック製容器</t>
  </si>
  <si>
    <t>医療・衛生用プラスチック製品</t>
  </si>
  <si>
    <t>他に分類されないプラスチック製品(医療･衛生用を除く)</t>
  </si>
  <si>
    <t>トラック・バス用タイヤ</t>
  </si>
  <si>
    <t>小型トラック用タイヤ</t>
  </si>
  <si>
    <t>乗用車用タイヤ</t>
  </si>
  <si>
    <t>二輪自動車用タイヤ</t>
  </si>
  <si>
    <t>特殊車両用・航空機用タイヤ</t>
  </si>
  <si>
    <t>自動車用・特殊車両用・航空機用チューブ</t>
  </si>
  <si>
    <t>自転車用タイヤ・チューブ</t>
  </si>
  <si>
    <t>その他のタイヤ・チューブ</t>
  </si>
  <si>
    <t>地下足袋</t>
  </si>
  <si>
    <t>足</t>
  </si>
  <si>
    <t>ゴム底布靴</t>
  </si>
  <si>
    <t>総ゴム靴</t>
  </si>
  <si>
    <t>ゴム製履物用品</t>
  </si>
  <si>
    <t>kg-新ゴム</t>
  </si>
  <si>
    <t>プラスチック製靴</t>
  </si>
  <si>
    <t>プラスチック製サンダル</t>
  </si>
  <si>
    <t>プラスチック製スリッパ</t>
  </si>
  <si>
    <t>コンベヤゴムベルト</t>
  </si>
  <si>
    <t>cmプライ</t>
  </si>
  <si>
    <t>平ゴムベルト</t>
  </si>
  <si>
    <t>m</t>
  </si>
  <si>
    <t>その他のゴムベルト</t>
  </si>
  <si>
    <t>ゴムホース</t>
  </si>
  <si>
    <t>防振ゴム</t>
  </si>
  <si>
    <t>ゴムロール</t>
  </si>
  <si>
    <t>ゴム製パッキン類</t>
  </si>
  <si>
    <t>ゴム管</t>
  </si>
  <si>
    <t>ゴムライニング</t>
  </si>
  <si>
    <t>工業用ゴム板</t>
  </si>
  <si>
    <t>防げん材</t>
  </si>
  <si>
    <t>工業用スポンジ製品</t>
  </si>
  <si>
    <t>その他の工業用ゴム製品</t>
  </si>
  <si>
    <t>衣料用・雑貨用ゴム引布</t>
  </si>
  <si>
    <t>その他のゴム引布</t>
  </si>
  <si>
    <t>ゴム引布製品</t>
  </si>
  <si>
    <t>医療・衛生用ゴム製品</t>
  </si>
  <si>
    <t>更生タイヤ用練生地</t>
  </si>
  <si>
    <t>更生タイヤ</t>
  </si>
  <si>
    <t>再生ゴム</t>
  </si>
  <si>
    <t>ゴム手袋</t>
  </si>
  <si>
    <t>双</t>
  </si>
  <si>
    <t>その他のゴム製品</t>
  </si>
  <si>
    <t>成牛甲革</t>
  </si>
  <si>
    <t>中小牛甲革</t>
  </si>
  <si>
    <t>その他の牛革</t>
  </si>
  <si>
    <t>馬革</t>
  </si>
  <si>
    <t>豚革</t>
  </si>
  <si>
    <t>山羊・めん羊革</t>
  </si>
  <si>
    <t>その他のなめし革</t>
  </si>
  <si>
    <t>工業用革製品</t>
  </si>
  <si>
    <t>婦人用・子供用革靴</t>
  </si>
  <si>
    <t>運動用革靴</t>
  </si>
  <si>
    <t>作業用革靴</t>
  </si>
  <si>
    <t>その他の革製靴</t>
  </si>
  <si>
    <t>その他の革製履物</t>
  </si>
  <si>
    <t>なめし革製旅行かばん</t>
  </si>
  <si>
    <t>なめし革製書類入かばん・学生かばん・ランドセル</t>
  </si>
  <si>
    <t>革製ケース</t>
  </si>
  <si>
    <t>その他のなめし革製かばん類</t>
  </si>
  <si>
    <t>プラスチック製かばん</t>
  </si>
  <si>
    <t>合成皮革製ケース</t>
  </si>
  <si>
    <t>その他のかばん類</t>
  </si>
  <si>
    <t>袋物</t>
  </si>
  <si>
    <t>なめし革製ハンドバッグ</t>
  </si>
  <si>
    <t>プラスチック製ハンドバッグ</t>
  </si>
  <si>
    <t>その他のハンドバッグ</t>
  </si>
  <si>
    <t>服装用革ベルト</t>
  </si>
  <si>
    <t>普通板ガラス</t>
  </si>
  <si>
    <t>2mm換算箱</t>
  </si>
  <si>
    <t>変り板ガラス</t>
  </si>
  <si>
    <t>磨き板ガラス</t>
  </si>
  <si>
    <t>合わせガラス</t>
  </si>
  <si>
    <t>強化ガラス</t>
  </si>
  <si>
    <t>その他の板ガラス</t>
  </si>
  <si>
    <t>鏡</t>
  </si>
  <si>
    <t>光学ガラス素地（眼鏡用を含む）</t>
  </si>
  <si>
    <t>電球類用ガラスバルブ（管、棒を含む）</t>
  </si>
  <si>
    <t>電子管用ガラスバルブ（管、棒を含む）</t>
  </si>
  <si>
    <t>ガラス管・棒・球（電気用を除く）</t>
  </si>
  <si>
    <t>その他のガラス製加工素材</t>
  </si>
  <si>
    <t>ガラスびん</t>
  </si>
  <si>
    <t>ガラス製飲料用容器</t>
  </si>
  <si>
    <t>ガラス製食料用・調味料用容器</t>
  </si>
  <si>
    <t>その他のガラス製容器</t>
  </si>
  <si>
    <t>理化学用・医療用ガラス器具(アンプル･薬瓶を除く)</t>
  </si>
  <si>
    <t>アンプル</t>
  </si>
  <si>
    <t>薬瓶</t>
  </si>
  <si>
    <t>卓上用ガラス器具</t>
  </si>
  <si>
    <t>ガラス製台所用品・食卓用品</t>
  </si>
  <si>
    <t>ガラス繊維（ダイレクトロービング）</t>
  </si>
  <si>
    <t>ガラス繊維（チョップドストランドマット）</t>
  </si>
  <si>
    <t>m-芯</t>
  </si>
  <si>
    <t>光ファイバ素線</t>
  </si>
  <si>
    <t>魔法瓶用ガラス製中瓶</t>
  </si>
  <si>
    <t>照明用・信号用ガラス製品</t>
  </si>
  <si>
    <t>ポルトランドセメント</t>
  </si>
  <si>
    <t>セメントクリンカ</t>
  </si>
  <si>
    <t>その他の水硬性セメント</t>
  </si>
  <si>
    <t>生コンクリート</t>
  </si>
  <si>
    <t>鉄筋コンクリート製品</t>
  </si>
  <si>
    <t>遠心力鉄筋コンクリート管（ヒューム管）</t>
  </si>
  <si>
    <t>遠心力鉄筋コンクリート柱（ポール）</t>
  </si>
  <si>
    <t>遠心力鉄筋コンクリートくい（パイル）</t>
  </si>
  <si>
    <t>PCパイル</t>
  </si>
  <si>
    <t>普通コンクリート管</t>
  </si>
  <si>
    <t>空洞コンクリートブロック</t>
  </si>
  <si>
    <t>建築用コンクリートブロック</t>
  </si>
  <si>
    <t>土木用コンクリートブロック</t>
  </si>
  <si>
    <t>道路用コンクリート製品</t>
  </si>
  <si>
    <t>プレストレストコンクリート製品</t>
  </si>
  <si>
    <t>コンクリート製枕木</t>
  </si>
  <si>
    <t>その他のコンクリート製品</t>
  </si>
  <si>
    <t>コンクリート成形パネル</t>
  </si>
  <si>
    <t>コンクリート軽量成形パネル</t>
  </si>
  <si>
    <t>テラゾー製品</t>
  </si>
  <si>
    <t>コンクリート系プレハブ住宅</t>
  </si>
  <si>
    <t>厚形スレート</t>
  </si>
  <si>
    <t>波型セメントスレート</t>
  </si>
  <si>
    <t>平板フレキシブルセメントスレート</t>
  </si>
  <si>
    <t>気泡コンクリート製品</t>
  </si>
  <si>
    <t>ALCパネル</t>
  </si>
  <si>
    <t>その他の他に分類されないセメント製品</t>
  </si>
  <si>
    <t>モルタル</t>
  </si>
  <si>
    <t>いぶしかわら</t>
  </si>
  <si>
    <t>うわ薬かわら、塩焼かわら</t>
  </si>
  <si>
    <t>普通れんが</t>
  </si>
  <si>
    <t>その他の建設用粘土製品</t>
  </si>
  <si>
    <t>アルミナセラミックス</t>
  </si>
  <si>
    <t>ジルコニアセラミックス</t>
  </si>
  <si>
    <t>窒化ケイ素セラミックス</t>
  </si>
  <si>
    <t>衛生陶器</t>
  </si>
  <si>
    <t>陶磁器製和飲食器</t>
  </si>
  <si>
    <t>陶磁器製洋飲食器</t>
  </si>
  <si>
    <t>陶磁器製台所・調理用品</t>
  </si>
  <si>
    <t>陶磁器製置物</t>
  </si>
  <si>
    <t>がい子、がい管</t>
  </si>
  <si>
    <t>電気用特殊陶磁器</t>
  </si>
  <si>
    <t>その他の電気用陶磁器</t>
  </si>
  <si>
    <t>理化学用・工業用陶磁器(工業用ファインセラミックスを除く)</t>
  </si>
  <si>
    <t>磁器製ハニカム</t>
  </si>
  <si>
    <t>モザイクタイル</t>
  </si>
  <si>
    <t>内装タイル</t>
  </si>
  <si>
    <t>その他のタイル</t>
  </si>
  <si>
    <t>その他の陶磁器・同関連製品</t>
  </si>
  <si>
    <t>粘土質耐火れんが</t>
  </si>
  <si>
    <t>その他の耐火れんが</t>
  </si>
  <si>
    <t>けい石れんが</t>
  </si>
  <si>
    <t>耐火モルタル</t>
  </si>
  <si>
    <t>キャスタブル耐火物</t>
  </si>
  <si>
    <t>その他の不定形耐火物</t>
  </si>
  <si>
    <t>人造耐火材</t>
  </si>
  <si>
    <t>その他の耐火物(人造耐火物を除く)</t>
  </si>
  <si>
    <t>人造黒鉛電極</t>
  </si>
  <si>
    <t>その他の炭素質電極</t>
  </si>
  <si>
    <t>炭素電極</t>
  </si>
  <si>
    <t>炭素繊維</t>
  </si>
  <si>
    <t>ガソリン分,ピッチ系炭素繊維副生</t>
  </si>
  <si>
    <t>炭素棒</t>
  </si>
  <si>
    <t>炭素・黒鉛質ブラシ</t>
  </si>
  <si>
    <t>特殊炭素製品</t>
  </si>
  <si>
    <t>その他の他に分類されない炭素・黒鉛製品</t>
  </si>
  <si>
    <t>天然研磨材、人造研削材</t>
  </si>
  <si>
    <t>炭化けい素,Cグレード</t>
  </si>
  <si>
    <t>炭化けい素,GCグレード</t>
  </si>
  <si>
    <t>溶融アルミナ</t>
  </si>
  <si>
    <t>レジノイド研削と石</t>
  </si>
  <si>
    <t>その他の研削と石</t>
  </si>
  <si>
    <t>研磨布紙</t>
  </si>
  <si>
    <t>連</t>
  </si>
  <si>
    <t>その他の研磨材、同製品</t>
  </si>
  <si>
    <t>砕石</t>
  </si>
  <si>
    <t>人工骨材</t>
  </si>
  <si>
    <t>石工品</t>
  </si>
  <si>
    <t>鉱物・土石粉砕、その他の処理品</t>
  </si>
  <si>
    <t>台所・食卓用ほうろう鉄器</t>
  </si>
  <si>
    <t>ほうろう製衛生用品</t>
  </si>
  <si>
    <t>その他のほうろう鉄器</t>
  </si>
  <si>
    <t>七宝製品</t>
  </si>
  <si>
    <t>石綿製品</t>
  </si>
  <si>
    <t>焼石こう</t>
  </si>
  <si>
    <t>石こうプラスタ製品</t>
  </si>
  <si>
    <t>その他の石こう製品</t>
  </si>
  <si>
    <t>生石灰</t>
  </si>
  <si>
    <t>消石灰</t>
  </si>
  <si>
    <t>軽質炭酸カルシウム</t>
  </si>
  <si>
    <t>その他の石灰製品</t>
  </si>
  <si>
    <t>焼成ドロマイト</t>
  </si>
  <si>
    <t>うわ薬</t>
  </si>
  <si>
    <t>雲母板</t>
  </si>
  <si>
    <t>その他の他に分類されない窯業・土石製品</t>
  </si>
  <si>
    <t>けい酸カルシウム保温材</t>
  </si>
  <si>
    <t>鋼管製造加工</t>
  </si>
  <si>
    <t>溶融亜鉛めっき加工</t>
  </si>
  <si>
    <t>表面処理加工</t>
  </si>
  <si>
    <t>溶解（鉄鋳物）</t>
  </si>
  <si>
    <t>鋳造（鉄鋳物）</t>
  </si>
  <si>
    <t>鍛造（鉄鋼）</t>
  </si>
  <si>
    <t>鋳鍛鋼加工</t>
  </si>
  <si>
    <t>電気亜鉛めっき加工</t>
  </si>
  <si>
    <t>焼結鉱</t>
  </si>
  <si>
    <t>鉄ペレット</t>
  </si>
  <si>
    <t>高炉銑（製鋼用銑）</t>
  </si>
  <si>
    <t>粗鋼</t>
  </si>
  <si>
    <t>フェロマンガン</t>
  </si>
  <si>
    <t>シリコマンガン</t>
  </si>
  <si>
    <t>フェロシリコン</t>
  </si>
  <si>
    <t>フェロクロム</t>
  </si>
  <si>
    <t>フェロニッケル</t>
  </si>
  <si>
    <t>フェロモリブデン</t>
  </si>
  <si>
    <t>フェロバナジウム</t>
  </si>
  <si>
    <t>フェロタングステン</t>
  </si>
  <si>
    <t>その他のフェロアロイ</t>
  </si>
  <si>
    <t>普通鋼形鋼</t>
  </si>
  <si>
    <t>普通鋼棒鋼</t>
  </si>
  <si>
    <t>普通鋼線材</t>
  </si>
  <si>
    <t>普通鋼厚中板</t>
  </si>
  <si>
    <t>普通鋼熱延鋼板</t>
  </si>
  <si>
    <t>普通鋼冷延鋼板</t>
  </si>
  <si>
    <t>表面処理鋼板</t>
  </si>
  <si>
    <t>普通鋼鋼管</t>
  </si>
  <si>
    <t>錫めっき鋼板(ブリキ)</t>
  </si>
  <si>
    <t>ティンフリースチール</t>
  </si>
  <si>
    <t>亜鉛めっき鋼板</t>
  </si>
  <si>
    <t>電気亜鉛めっき鋼板</t>
  </si>
  <si>
    <t>溶融亜鉛めっき鋼板</t>
  </si>
  <si>
    <t>普通鋼線</t>
  </si>
  <si>
    <t>特殊鋼形鋼</t>
  </si>
  <si>
    <t>特殊鋼棒鋼</t>
  </si>
  <si>
    <t>特殊鋼線材</t>
  </si>
  <si>
    <t>特殊鋼厚中板</t>
  </si>
  <si>
    <t>特殊鋼熱延鋼板</t>
  </si>
  <si>
    <t>特殊鋼冷延鋼板</t>
  </si>
  <si>
    <t>特殊鋼鋼管</t>
  </si>
  <si>
    <t>工具鋼</t>
  </si>
  <si>
    <t>機械構造用炭素鋼</t>
  </si>
  <si>
    <t>構造用合金鋼</t>
  </si>
  <si>
    <t>快削鋼</t>
  </si>
  <si>
    <t>高抗張力鋼</t>
  </si>
  <si>
    <t>特殊鋼線</t>
  </si>
  <si>
    <t>ステンレス鋼形鋼</t>
  </si>
  <si>
    <t>ステンレス鋼棒鋼</t>
  </si>
  <si>
    <t>ステンレス鋼線材</t>
  </si>
  <si>
    <t>ステンレス鋼中厚板</t>
  </si>
  <si>
    <t>ステンレス鋼熱延鋼板</t>
  </si>
  <si>
    <t>ステンレス鋼(オーステナイト系)熱延鋼板</t>
  </si>
  <si>
    <t>ステンレス鋼(フェライト系)熱延鋼板</t>
  </si>
  <si>
    <t>ステンレス鋼冷延鋼板</t>
  </si>
  <si>
    <t>ステンレス鋼(オーステナイト系)冷延鋼板</t>
  </si>
  <si>
    <t>ステンレス鋼(フェライト系)冷延鋼板</t>
  </si>
  <si>
    <t>ステンレス鋼鋼管</t>
  </si>
  <si>
    <t>機械用銑鉄鋳物</t>
  </si>
  <si>
    <t>その他の銑鉄鋳物</t>
  </si>
  <si>
    <t>機械用可鍛鋳鉄鋳物</t>
  </si>
  <si>
    <t>その他の可鍛鋳鉄鋳物</t>
  </si>
  <si>
    <t>鉄鋼シャースリット加工</t>
  </si>
  <si>
    <t>鉄スクラップ加工</t>
  </si>
  <si>
    <t>鋳鉄管</t>
  </si>
  <si>
    <t>他に分類されない鉄鋼品</t>
  </si>
  <si>
    <t>電解鉄</t>
  </si>
  <si>
    <t>粗銅</t>
  </si>
  <si>
    <t>亜鉛酸化焙焼鉱,蒸留亜鉛用</t>
  </si>
  <si>
    <t>亜鉛酸化焙焼鉱,電気亜鉛用</t>
  </si>
  <si>
    <t>蒸留亜鉛</t>
  </si>
  <si>
    <t>精留亜鉛</t>
  </si>
  <si>
    <t>電気亜鉛</t>
  </si>
  <si>
    <t>酸化アルミニウム(アルミナ)</t>
  </si>
  <si>
    <t>水酸化アルミニウム</t>
  </si>
  <si>
    <t>アルミニウム一次地金</t>
  </si>
  <si>
    <t>高純度アルミニウム地金</t>
  </si>
  <si>
    <t>粗鉛</t>
  </si>
  <si>
    <t>電気鉛</t>
  </si>
  <si>
    <t>鉛酸化焙焼鉱</t>
  </si>
  <si>
    <t>その他の非鉄金属(一次製錬・精製によるもの)</t>
  </si>
  <si>
    <t>金属シリコン</t>
  </si>
  <si>
    <t>金属リチウム</t>
  </si>
  <si>
    <t>金属バナジウム</t>
  </si>
  <si>
    <t>金属モリブデン,焼結ビレット</t>
  </si>
  <si>
    <t>塩化希土</t>
  </si>
  <si>
    <t>酸化プラセオジム</t>
  </si>
  <si>
    <t>酸化ネオジム</t>
  </si>
  <si>
    <t>酸化ランタン</t>
  </si>
  <si>
    <t>酸化サマリウム</t>
  </si>
  <si>
    <t>酸化ガドリニウム</t>
  </si>
  <si>
    <t>金属クロム</t>
  </si>
  <si>
    <t>金属マンガン</t>
  </si>
  <si>
    <t>金属ガリウム</t>
  </si>
  <si>
    <t>金属マグネシウム</t>
  </si>
  <si>
    <t>金属インジウム</t>
  </si>
  <si>
    <t>電気錫</t>
  </si>
  <si>
    <t>金属アンチモン</t>
  </si>
  <si>
    <t>三酸化アンチモン</t>
  </si>
  <si>
    <t>金属タングステン,焼結品</t>
  </si>
  <si>
    <t>金属ニッケル</t>
  </si>
  <si>
    <t>酸化ニッケル</t>
  </si>
  <si>
    <t>金属タンタル,インゴット</t>
  </si>
  <si>
    <t>金属ニオブ</t>
  </si>
  <si>
    <t>ウラン精鉱(イエローケーキ)</t>
  </si>
  <si>
    <t>六フッ化ウラン,水素吹込み法</t>
  </si>
  <si>
    <t>六フッ化ウラン,アンモニア吹込み法</t>
  </si>
  <si>
    <t>二酸化ウラン,粉末</t>
  </si>
  <si>
    <t>はんだ、減摩合金</t>
  </si>
  <si>
    <t>亜鉛再生地金、亜鉛合金</t>
  </si>
  <si>
    <t>アルミニウム再生地金、アルミニウム合金</t>
  </si>
  <si>
    <t>アルミニウム再生地金,展伸用</t>
  </si>
  <si>
    <t>アルミニウム用添加合金,圧延材用</t>
  </si>
  <si>
    <t>アルミニウム用添加合金,押出材用</t>
  </si>
  <si>
    <t>銀ろう</t>
  </si>
  <si>
    <t>その他の非鉄金属再生地金、同合金</t>
  </si>
  <si>
    <t>鋳鉄用球状化剤</t>
  </si>
  <si>
    <t>銅伸銅品</t>
  </si>
  <si>
    <t>黄銅伸銅品</t>
  </si>
  <si>
    <t>青銅伸銅品</t>
  </si>
  <si>
    <t>アルミニウム圧延品</t>
  </si>
  <si>
    <t>アルミニウム板材,缶ボディ用</t>
  </si>
  <si>
    <t>アルミニウム板材,缶エンド用</t>
  </si>
  <si>
    <t>アルミニウム板材,箔地用</t>
  </si>
  <si>
    <t>アルミニウム板材,印刷板用</t>
  </si>
  <si>
    <t>アルミニウム板材,建材用</t>
  </si>
  <si>
    <t>アルミニウム板材,フィン用</t>
  </si>
  <si>
    <t>アルミニウム板材,汎用</t>
  </si>
  <si>
    <t>アルミニウム板材,自動車パネル用,5000系</t>
  </si>
  <si>
    <t>アルミニウム板材,自動車パネル用,6000系</t>
  </si>
  <si>
    <t>アルミニウム棒材</t>
  </si>
  <si>
    <t>アルミニウム管材</t>
  </si>
  <si>
    <t>アルミニウムはく</t>
  </si>
  <si>
    <t>アルミニウム箔,7μm</t>
  </si>
  <si>
    <t>アルミニウム箔,80μm</t>
  </si>
  <si>
    <t>溶解鋳造(特殊金属)</t>
  </si>
  <si>
    <t>鉛管、板</t>
  </si>
  <si>
    <t>金・同合金展伸材</t>
  </si>
  <si>
    <t>銀・同合金展伸材</t>
  </si>
  <si>
    <t>白金・同合金展伸材</t>
  </si>
  <si>
    <t>ニッケル・同合金展伸材</t>
  </si>
  <si>
    <t>その他の非鉄金属・同合金展伸材</t>
  </si>
  <si>
    <t>モリブデン展伸材</t>
  </si>
  <si>
    <t>チタン展伸材</t>
  </si>
  <si>
    <t>kg-導体</t>
  </si>
  <si>
    <t>銅荒引線</t>
  </si>
  <si>
    <t>銅裸線</t>
  </si>
  <si>
    <t>銅被覆線</t>
  </si>
  <si>
    <t>巻線</t>
  </si>
  <si>
    <t>通信ケーブル</t>
  </si>
  <si>
    <t>アルミニウム荒引線</t>
  </si>
  <si>
    <t>その他の非鉄金属鋳物</t>
  </si>
  <si>
    <t>ダイカスト加工</t>
  </si>
  <si>
    <t>亜鉛ダイカスト</t>
  </si>
  <si>
    <t>その他の非鉄金属ダイカスト</t>
  </si>
  <si>
    <t>非鉄金属鍛造品</t>
  </si>
  <si>
    <t>核燃料</t>
  </si>
  <si>
    <t>銅・同合金粉</t>
  </si>
  <si>
    <t>その他の非鉄金属・同合金粉</t>
  </si>
  <si>
    <t>その他の他に分類されない非鉄金属製品</t>
  </si>
  <si>
    <t>１８リットル缶</t>
  </si>
  <si>
    <t>その他のめっき板製容器</t>
  </si>
  <si>
    <t>その他のめっき板製品</t>
  </si>
  <si>
    <t>その他の洋食器</t>
  </si>
  <si>
    <t>合板・木材加工機械用刃物</t>
  </si>
  <si>
    <t>その他の機械刃物</t>
  </si>
  <si>
    <t>理髪用刃物</t>
  </si>
  <si>
    <t>ほう丁</t>
  </si>
  <si>
    <t>ナイフ類</t>
  </si>
  <si>
    <t>はさみ</t>
  </si>
  <si>
    <t>工匠具</t>
  </si>
  <si>
    <t>やすり</t>
  </si>
  <si>
    <t>手引のこぎり</t>
  </si>
  <si>
    <t>金切のこ刃</t>
  </si>
  <si>
    <t>その他ののこ刃</t>
  </si>
  <si>
    <t>農業用器具</t>
  </si>
  <si>
    <t>農業用器具部分品</t>
  </si>
  <si>
    <t>錠、かぎ</t>
  </si>
  <si>
    <t>建築用金物</t>
  </si>
  <si>
    <t>架線金物</t>
  </si>
  <si>
    <t>その他の金物類</t>
  </si>
  <si>
    <t>金属製管継手</t>
  </si>
  <si>
    <t>金属製衛生器具</t>
  </si>
  <si>
    <t>配管工事用附属品</t>
  </si>
  <si>
    <t>ガスこんろ</t>
  </si>
  <si>
    <t>ガス湯沸器</t>
  </si>
  <si>
    <t>ガス炊飯器</t>
  </si>
  <si>
    <t>石油ストーブ</t>
  </si>
  <si>
    <t>温水ボイラ</t>
  </si>
  <si>
    <t>暖房用・調理用器具</t>
  </si>
  <si>
    <t>太陽熱利用機器</t>
  </si>
  <si>
    <t>鉄骨</t>
  </si>
  <si>
    <t>軽量鉄骨</t>
  </si>
  <si>
    <t>橋りょう</t>
  </si>
  <si>
    <t>鉄塔</t>
  </si>
  <si>
    <t>水門</t>
  </si>
  <si>
    <t>その他の建設用金属製品</t>
  </si>
  <si>
    <t>住宅用アルミニウム製サッシ</t>
  </si>
  <si>
    <t>ビル用アルミニウム製サッシ</t>
  </si>
  <si>
    <t>その他のアルミニウム製サッシ</t>
  </si>
  <si>
    <t>アルミニウム製ドア</t>
  </si>
  <si>
    <t>金属製サッシ・ドア</t>
  </si>
  <si>
    <t>シャッタ</t>
  </si>
  <si>
    <t>メタルラス</t>
  </si>
  <si>
    <t>建築用板金製品</t>
  </si>
  <si>
    <t>鉄骨系プレハブ住宅</t>
  </si>
  <si>
    <t>戸</t>
  </si>
  <si>
    <t>ユニットハウス</t>
  </si>
  <si>
    <t>その他の建築用金属製品</t>
  </si>
  <si>
    <t>板金製タンク</t>
  </si>
  <si>
    <t>ドラム缶</t>
  </si>
  <si>
    <t>コンテナ</t>
  </si>
  <si>
    <t>その他の製缶板金製品</t>
  </si>
  <si>
    <t>プレス加工</t>
  </si>
  <si>
    <t>アルミニウム製台所・食卓用品</t>
  </si>
  <si>
    <t>アルミニウム製飲料用缶</t>
  </si>
  <si>
    <t>その他のアルミニウム・同合金製打抜・プレス加工品</t>
  </si>
  <si>
    <t>王冠</t>
  </si>
  <si>
    <t>その他の打抜・プレス金属製品</t>
  </si>
  <si>
    <t>粉末や金製品</t>
  </si>
  <si>
    <t>その他の金属表面処理加工</t>
  </si>
  <si>
    <t>鉄丸くぎ</t>
  </si>
  <si>
    <t>鉄特殊くぎ</t>
  </si>
  <si>
    <t>その他のくぎ</t>
  </si>
  <si>
    <t>非鉄金属製金網</t>
  </si>
  <si>
    <t>PC鋼より線</t>
  </si>
  <si>
    <t>溶接棒</t>
  </si>
  <si>
    <t>その他の線材製品</t>
  </si>
  <si>
    <t>リベット</t>
  </si>
  <si>
    <t>その他のボルト・ナット等関連製品</t>
  </si>
  <si>
    <t>金庫</t>
  </si>
  <si>
    <t>かさね板ばね</t>
  </si>
  <si>
    <t>つるまきばね</t>
  </si>
  <si>
    <t>線ばね</t>
  </si>
  <si>
    <t>うす板ばね</t>
  </si>
  <si>
    <t>その他のばね</t>
  </si>
  <si>
    <t>金属板ネームプレート</t>
  </si>
  <si>
    <t>フレキシブルチューブ</t>
  </si>
  <si>
    <t>金属製押出しチューブ</t>
  </si>
  <si>
    <t>煙管ボイラ</t>
  </si>
  <si>
    <t>水管ボイラ</t>
  </si>
  <si>
    <t>蒸気タービン</t>
  </si>
  <si>
    <t>その他のタービン</t>
  </si>
  <si>
    <t>汎用ガソリン・石油機関(汎用ガス機関を含む)</t>
  </si>
  <si>
    <t>小型汎用ガソリン機関</t>
  </si>
  <si>
    <t>はん用ディーゼル機関</t>
  </si>
  <si>
    <t>原子動力炉、同部分品・取付具・附属品</t>
  </si>
  <si>
    <t>その他の原動機(原子動力炉、同部品等を除く)</t>
  </si>
  <si>
    <t>農業用トラクタ</t>
  </si>
  <si>
    <t>その他の整地用機器</t>
  </si>
  <si>
    <t>噴霧機、散粉機</t>
  </si>
  <si>
    <t>田植機</t>
  </si>
  <si>
    <t>その他の栽培用・管理用機器</t>
  </si>
  <si>
    <t>農業用乾燥機</t>
  </si>
  <si>
    <t>コンバイン</t>
  </si>
  <si>
    <t>その他の収穫調整用機器</t>
  </si>
  <si>
    <t>飼料機器</t>
  </si>
  <si>
    <t>その他の農業用機械</t>
  </si>
  <si>
    <t>ショベル系掘さく機</t>
  </si>
  <si>
    <t>建設用クレーン</t>
  </si>
  <si>
    <t>整地機械</t>
  </si>
  <si>
    <t>アスファルト舗装機械</t>
  </si>
  <si>
    <t>コンクリート機械</t>
  </si>
  <si>
    <t>基礎工事用機械</t>
  </si>
  <si>
    <t>せん孔機</t>
  </si>
  <si>
    <t>建設用トラクタ</t>
  </si>
  <si>
    <t>さく岩機</t>
  </si>
  <si>
    <t>破砕機</t>
  </si>
  <si>
    <t>摩砕機、選別機</t>
  </si>
  <si>
    <t>破砕機・摩砕機・選別機の補助機</t>
  </si>
  <si>
    <t>その他の建設機械・鉱山機械</t>
  </si>
  <si>
    <t>数値制御旋盤</t>
  </si>
  <si>
    <t>その他の旋盤</t>
  </si>
  <si>
    <t>ボール盤</t>
  </si>
  <si>
    <t>中ぐり盤</t>
  </si>
  <si>
    <t>フライス盤</t>
  </si>
  <si>
    <t>研削盤</t>
  </si>
  <si>
    <t>歯切り盤、歯車仕上機械</t>
  </si>
  <si>
    <t>専用機,工作機械</t>
  </si>
  <si>
    <t>マシニングセンタ</t>
  </si>
  <si>
    <t>その他の金属工作機械</t>
  </si>
  <si>
    <t>圧延機械、同附属装置</t>
  </si>
  <si>
    <t>精整仕上装置</t>
  </si>
  <si>
    <t>ベンディングマシン</t>
  </si>
  <si>
    <t>液圧プレス</t>
  </si>
  <si>
    <t>機械プレス</t>
  </si>
  <si>
    <t>鍛造機械</t>
  </si>
  <si>
    <t>ワイヤフォーミングマシン</t>
  </si>
  <si>
    <t>ガス溶接・溶断機</t>
  </si>
  <si>
    <t>その他の金属加工機械</t>
  </si>
  <si>
    <t>金属工作機械の部分品・取付具・附属品</t>
  </si>
  <si>
    <t>金属圧延用ロール</t>
  </si>
  <si>
    <t>金属加工機械の部分品・取付具・附属品</t>
  </si>
  <si>
    <t>特殊鋼切削工具</t>
  </si>
  <si>
    <t>ダイヤモンド工具</t>
  </si>
  <si>
    <t>空気動工具</t>
  </si>
  <si>
    <t>電動工具</t>
  </si>
  <si>
    <t>その他の機械工具</t>
  </si>
  <si>
    <t>化学繊維機械</t>
  </si>
  <si>
    <t>精紡機</t>
  </si>
  <si>
    <t>その他の紡績関連機械</t>
  </si>
  <si>
    <t>その他の織機</t>
  </si>
  <si>
    <t>ニット機械</t>
  </si>
  <si>
    <t>その他の編組機械</t>
  </si>
  <si>
    <t>織物用準備機</t>
  </si>
  <si>
    <t>仕上機械</t>
  </si>
  <si>
    <t>その他の染色整理仕上機械</t>
  </si>
  <si>
    <t>化学繊維機械・紡績機械の部分品・取付具・附属品</t>
  </si>
  <si>
    <t>製織機械・編組機械の部分品・取付具・附属品</t>
  </si>
  <si>
    <t>染色整理仕上機械の部分品・取付具・附属品</t>
  </si>
  <si>
    <t>家庭用ミシン</t>
  </si>
  <si>
    <t>工業用ミシン</t>
  </si>
  <si>
    <t>その他の縫製機械</t>
  </si>
  <si>
    <t>製パン・製菓機械、同装置</t>
  </si>
  <si>
    <t>醸造用機械</t>
  </si>
  <si>
    <t>牛乳加工・乳製品製造機械、同装置</t>
  </si>
  <si>
    <t>肉製品・水産製品製造機械</t>
  </si>
  <si>
    <t>その他の食料品加工機械</t>
  </si>
  <si>
    <t>製材機械</t>
  </si>
  <si>
    <t>抄紙機</t>
  </si>
  <si>
    <t>その他の製紙機械</t>
  </si>
  <si>
    <t>印刷機械</t>
  </si>
  <si>
    <t>製本機械</t>
  </si>
  <si>
    <t>紙工機械</t>
  </si>
  <si>
    <t>ダイカストマシン</t>
  </si>
  <si>
    <t>その他の鋳造装置</t>
  </si>
  <si>
    <t>射出成形機</t>
  </si>
  <si>
    <t>押出成形機</t>
  </si>
  <si>
    <t>組立用装置</t>
  </si>
  <si>
    <t>その他の半導体製造装置</t>
  </si>
  <si>
    <t>フラットパネル・ディスプレイ製造装置</t>
  </si>
  <si>
    <t>真空ポンプ</t>
  </si>
  <si>
    <t>真空装置・真空機器(真空ポンプを除く)</t>
  </si>
  <si>
    <t>ゴム工業用機械器具</t>
  </si>
  <si>
    <t>ガラス工業用特殊機械</t>
  </si>
  <si>
    <t>その他の特殊産業用機械器具(ゴム工業用、ガラス工業用を除く)</t>
  </si>
  <si>
    <t>家庭用電気ポンプ</t>
  </si>
  <si>
    <t>その他のポンプ</t>
  </si>
  <si>
    <t>往復圧縮機</t>
  </si>
  <si>
    <t>回転圧縮機</t>
  </si>
  <si>
    <t>遠心圧縮機、軸流圧縮機</t>
  </si>
  <si>
    <t>遠心送風機</t>
  </si>
  <si>
    <t>軸流送風機</t>
  </si>
  <si>
    <t>その他の送風機</t>
  </si>
  <si>
    <t>エレベータ</t>
  </si>
  <si>
    <t>式</t>
  </si>
  <si>
    <t>エスカレータ</t>
  </si>
  <si>
    <t>天井走行クレーン</t>
  </si>
  <si>
    <t>その他のクレーン</t>
  </si>
  <si>
    <t>巻上機</t>
  </si>
  <si>
    <t>コンベヤ</t>
  </si>
  <si>
    <t>その他の荷役運搬設備</t>
  </si>
  <si>
    <t>変速機</t>
  </si>
  <si>
    <t>ローラチェーン</t>
  </si>
  <si>
    <t>その他の動力伝導装置</t>
  </si>
  <si>
    <t>工業窯炉</t>
  </si>
  <si>
    <t>油圧ポンプ</t>
  </si>
  <si>
    <t>油圧モータ</t>
  </si>
  <si>
    <t>油圧シリンダ</t>
  </si>
  <si>
    <t>油圧バルブ</t>
  </si>
  <si>
    <t>その他の油圧機器</t>
  </si>
  <si>
    <t>ろ過機器</t>
  </si>
  <si>
    <t>分離機器</t>
  </si>
  <si>
    <t>混合機、かくはん機、ねつ和機、溶解機、造粒機、乳化機、粉砕機</t>
  </si>
  <si>
    <t>反応機、発生炉、乾留炉、電解槽</t>
  </si>
  <si>
    <t>蒸発機器、蒸留機器、蒸煮機器、晶出機器</t>
  </si>
  <si>
    <t>乾燥機器</t>
  </si>
  <si>
    <t>集じん機器</t>
  </si>
  <si>
    <t>化学装置用タンク</t>
  </si>
  <si>
    <t>基</t>
  </si>
  <si>
    <t>その他の化学機械、同装置</t>
  </si>
  <si>
    <t>その他の一般産業用機械、同装置（重油･ガス燃焼装置を除く)</t>
  </si>
  <si>
    <t>静電間接式複写機</t>
  </si>
  <si>
    <t>デジタル式複写機</t>
  </si>
  <si>
    <t>フルカラー複写機</t>
  </si>
  <si>
    <t>その他の事務用機械器具</t>
  </si>
  <si>
    <t>冷凍機</t>
  </si>
  <si>
    <t>その他の冷凍機応用製品</t>
  </si>
  <si>
    <t>冷却塔</t>
  </si>
  <si>
    <t>冷凍装置</t>
  </si>
  <si>
    <t>パチンコ、スロットマシン</t>
  </si>
  <si>
    <t>ゲームセンター用娯楽機器</t>
  </si>
  <si>
    <t>遊園地用娯楽機器</t>
  </si>
  <si>
    <t>その他の娯楽機器</t>
  </si>
  <si>
    <t>自動販売機</t>
  </si>
  <si>
    <t>業務用洗濯装置</t>
  </si>
  <si>
    <t>自動車整備・サービス機器</t>
  </si>
  <si>
    <t>高温・高圧バルブ</t>
  </si>
  <si>
    <t>自動調整バルブ</t>
  </si>
  <si>
    <t>給排水用バルブ・コック</t>
  </si>
  <si>
    <t>一般用バルブ・コック</t>
  </si>
  <si>
    <t>軸受ユニット</t>
  </si>
  <si>
    <t>玉軸受・ころ軸受の部分品</t>
  </si>
  <si>
    <t>ピストンリング</t>
  </si>
  <si>
    <t>CD-R</t>
  </si>
  <si>
    <t>DVD-R</t>
  </si>
  <si>
    <t>導入線</t>
  </si>
  <si>
    <t>パーソナルコンピュータ</t>
  </si>
  <si>
    <t>磁気ディスク装置</t>
  </si>
  <si>
    <t>光ディスク装置</t>
  </si>
  <si>
    <t>フレキシブルディスク装置</t>
  </si>
  <si>
    <t>その他の外部記憶装置</t>
  </si>
  <si>
    <t>一般長さ計</t>
  </si>
  <si>
    <t>積算体積計</t>
  </si>
  <si>
    <t>その他の体積計</t>
  </si>
  <si>
    <t>はかり</t>
  </si>
  <si>
    <t>圧力計</t>
  </si>
  <si>
    <t>tkm</t>
  </si>
  <si>
    <t>組</t>
  </si>
  <si>
    <t>個装・内装機械</t>
  </si>
  <si>
    <t>外装・荷造機械</t>
  </si>
  <si>
    <t>数値制御ロボット</t>
  </si>
  <si>
    <t>その他の産業用ロボット</t>
  </si>
  <si>
    <t>他に分類されない各種機械・同部分品</t>
  </si>
  <si>
    <t>発電機,160-200MVA級</t>
  </si>
  <si>
    <t>タービン発電機,交流</t>
  </si>
  <si>
    <t>エンジン発電機,交流</t>
  </si>
  <si>
    <t>単相誘導電動機,70W以上</t>
  </si>
  <si>
    <t>三相誘導電動機,70W以上</t>
  </si>
  <si>
    <t>その他の交流電動機,70W以上</t>
  </si>
  <si>
    <t>直流・交流小形電動機,3W以上70W未満</t>
  </si>
  <si>
    <t>その他の小形電動機,3W以上70W未満</t>
  </si>
  <si>
    <t>その他の発電機</t>
  </si>
  <si>
    <t>その他の回転電気機械</t>
  </si>
  <si>
    <t>変圧器,3φ200MVA電力用</t>
  </si>
  <si>
    <t>標準変圧器</t>
  </si>
  <si>
    <t>非標準変圧器</t>
  </si>
  <si>
    <t>特殊用途変圧器</t>
  </si>
  <si>
    <t>計器用変成器</t>
  </si>
  <si>
    <t>電力制御装置</t>
  </si>
  <si>
    <t>配電盤</t>
  </si>
  <si>
    <t>面</t>
  </si>
  <si>
    <t>監視制御装置</t>
  </si>
  <si>
    <t>分電盤</t>
  </si>
  <si>
    <t>継電器</t>
  </si>
  <si>
    <t>遮断器</t>
  </si>
  <si>
    <t>開閉器</t>
  </si>
  <si>
    <t>ガス開閉装置</t>
  </si>
  <si>
    <t>プログラマブルコントローラ</t>
  </si>
  <si>
    <t>その他の配電制御装置</t>
  </si>
  <si>
    <t>小形開閉器</t>
  </si>
  <si>
    <t>点滅器</t>
  </si>
  <si>
    <t>接続器</t>
  </si>
  <si>
    <t>その他の配線器具・配線附属品</t>
  </si>
  <si>
    <t>アーク溶接機</t>
  </si>
  <si>
    <t>抵抗溶接機</t>
  </si>
  <si>
    <t>充電発電機</t>
  </si>
  <si>
    <t>始動電動機</t>
  </si>
  <si>
    <t>磁石発電機</t>
  </si>
  <si>
    <t>その他の内燃機関電装品</t>
  </si>
  <si>
    <t>電気炉</t>
  </si>
  <si>
    <t>産業用電熱装置</t>
  </si>
  <si>
    <t>電力変換装置</t>
  </si>
  <si>
    <t>シリコン・セレン整流器</t>
  </si>
  <si>
    <t>その他の整流器</t>
  </si>
  <si>
    <t>その他の産業用電気機械器具の部分品・取付具・附属品</t>
  </si>
  <si>
    <t>電気がま</t>
  </si>
  <si>
    <t>電子レンジ</t>
  </si>
  <si>
    <t>電気冷蔵庫</t>
  </si>
  <si>
    <t>その他のちゅう房機器</t>
  </si>
  <si>
    <t>扇風機</t>
  </si>
  <si>
    <t>換気扇</t>
  </si>
  <si>
    <t>エアコンディショナ</t>
  </si>
  <si>
    <t>その他の空調・住宅関連機器</t>
  </si>
  <si>
    <t>電気アイロン</t>
  </si>
  <si>
    <t>電気洗濯機</t>
  </si>
  <si>
    <t>電気掃除機</t>
  </si>
  <si>
    <t>その他の衣料衛生関連機器</t>
  </si>
  <si>
    <t>電気こたつ</t>
  </si>
  <si>
    <t>理容用電気器具</t>
  </si>
  <si>
    <t>その他の民生用電気機械器具(電気こたつ、理容用電気器具を除く）</t>
  </si>
  <si>
    <t>一般照明用電球</t>
  </si>
  <si>
    <t>豆電球、クリスマスツリー用電球</t>
  </si>
  <si>
    <t>自動車用電球</t>
  </si>
  <si>
    <t>その他の電球</t>
  </si>
  <si>
    <t>蛍光ランプ</t>
  </si>
  <si>
    <t>その他の放電ランプ</t>
  </si>
  <si>
    <t>白熱電灯器具</t>
  </si>
  <si>
    <t>直管蛍光灯器具</t>
  </si>
  <si>
    <t>環形管蛍光灯器具</t>
  </si>
  <si>
    <t>水銀灯器具</t>
  </si>
  <si>
    <t>その他の電気照明器具</t>
  </si>
  <si>
    <t>電気照明器具の部分品・取付具・附属品</t>
  </si>
  <si>
    <t>医療用Ｘ線装置</t>
  </si>
  <si>
    <t>産業用Ｘ線装置</t>
  </si>
  <si>
    <t>デジタルカメラ</t>
  </si>
  <si>
    <t>医療用電子応用装置</t>
  </si>
  <si>
    <t>超音波応用装置</t>
  </si>
  <si>
    <t>高周波電力応用装置</t>
  </si>
  <si>
    <t>電子顕微鏡</t>
  </si>
  <si>
    <t>他に分類されない電子応用装置</t>
  </si>
  <si>
    <t>電気計器</t>
  </si>
  <si>
    <t>電気測定器</t>
  </si>
  <si>
    <t>半導体・ＩＣ測定器</t>
  </si>
  <si>
    <t>その他の電気計測器</t>
  </si>
  <si>
    <t>工業計器</t>
  </si>
  <si>
    <t>医療用計測器</t>
  </si>
  <si>
    <t>鉛蓄電池</t>
  </si>
  <si>
    <t>アルカリ蓄電池</t>
  </si>
  <si>
    <t>リチウムイオン電池</t>
  </si>
  <si>
    <t>蓄電池の部分品・取付具・附属品</t>
  </si>
  <si>
    <t>その他の一次電池</t>
  </si>
  <si>
    <t>電話機</t>
  </si>
  <si>
    <t>電話自動交換装置</t>
  </si>
  <si>
    <t>電話交換装置の附属装置</t>
  </si>
  <si>
    <t>デジタル伝送装置</t>
  </si>
  <si>
    <t>固定局通信装置</t>
  </si>
  <si>
    <t>その他の移動局通信装置</t>
  </si>
  <si>
    <t>無線応用装置</t>
  </si>
  <si>
    <t>その他の無線通信装置</t>
  </si>
  <si>
    <t>ラジオ受信機</t>
  </si>
  <si>
    <t>液晶テレビジョン受信機</t>
  </si>
  <si>
    <t>ステレオセット</t>
  </si>
  <si>
    <t>カーステレオ</t>
  </si>
  <si>
    <t>テープレコーダ</t>
  </si>
  <si>
    <t>デジタルオーディオディスクプレーヤ</t>
  </si>
  <si>
    <t>ハイファイ用アンプ</t>
  </si>
  <si>
    <t>ハイファイ用・自動車用スピーカシステム</t>
  </si>
  <si>
    <t>補聴器</t>
  </si>
  <si>
    <t>その他の電気音響機械器具</t>
  </si>
  <si>
    <t>交通信号保安装置</t>
  </si>
  <si>
    <t>火災報知設備</t>
  </si>
  <si>
    <t>その他の通信関連機械器具</t>
  </si>
  <si>
    <t>汎用コンピュータ</t>
  </si>
  <si>
    <t>印刷装置</t>
  </si>
  <si>
    <t>表示装置</t>
  </si>
  <si>
    <t>その他の入出力装置</t>
  </si>
  <si>
    <t>金融用端末装置</t>
  </si>
  <si>
    <t>その他の端末装置</t>
  </si>
  <si>
    <t>その他の附属装置(表示・入出力・端末装置を除く)</t>
  </si>
  <si>
    <t>マイクロ波管</t>
  </si>
  <si>
    <t>ブラウン管</t>
  </si>
  <si>
    <t>その他の電子管</t>
  </si>
  <si>
    <t>ダイオード</t>
  </si>
  <si>
    <t>整流素子,１００ミリアンペア以上</t>
  </si>
  <si>
    <t>シリコントランジスタ</t>
  </si>
  <si>
    <t>光電変換素子</t>
  </si>
  <si>
    <t>発光ダイオード</t>
  </si>
  <si>
    <t>その他の半導体素子</t>
  </si>
  <si>
    <t>バイポーラ型ＩＣ</t>
  </si>
  <si>
    <t>モス型ＩＣ</t>
  </si>
  <si>
    <t>DRAM</t>
  </si>
  <si>
    <t>線形回路</t>
  </si>
  <si>
    <t>その他の半導体集積回路</t>
  </si>
  <si>
    <t>厚膜集積回路</t>
  </si>
  <si>
    <t>その他の混成集積回路</t>
  </si>
  <si>
    <t>その他の集積回路</t>
  </si>
  <si>
    <t>抵抗器</t>
  </si>
  <si>
    <t>固定コンデンサ</t>
  </si>
  <si>
    <t>タンタルコンデンサ</t>
  </si>
  <si>
    <t>変成器</t>
  </si>
  <si>
    <t>電子複合部品</t>
  </si>
  <si>
    <t>音響部品</t>
  </si>
  <si>
    <t>磁気ヘッド</t>
  </si>
  <si>
    <t>プリント配線板用コネクタ</t>
  </si>
  <si>
    <t>スイッチ</t>
  </si>
  <si>
    <t>リレー</t>
  </si>
  <si>
    <t>スイッチング電源</t>
  </si>
  <si>
    <t>その他の高周波組立部品</t>
  </si>
  <si>
    <t>コントロールユニット</t>
  </si>
  <si>
    <t>リジット配線板</t>
  </si>
  <si>
    <t>その他のプリント配線板</t>
  </si>
  <si>
    <t>プリント回路板</t>
  </si>
  <si>
    <t>異方性Ba-フェライト磁石,湿式法</t>
  </si>
  <si>
    <t>異方性Sr-フェライト磁石,湿式法</t>
  </si>
  <si>
    <t>ネオジム(NdFeB)磁石</t>
  </si>
  <si>
    <t>液晶素子</t>
  </si>
  <si>
    <t>他に分類されない通信機械器具の部分品・附属品</t>
  </si>
  <si>
    <t>その他の他に分類されない電子部品</t>
  </si>
  <si>
    <t>バス</t>
  </si>
  <si>
    <t>特別用途車</t>
  </si>
  <si>
    <t>バス・トラックシャシー</t>
  </si>
  <si>
    <t>乗用車ボデー</t>
  </si>
  <si>
    <t>バスボデー</t>
  </si>
  <si>
    <t>トラックボデー</t>
  </si>
  <si>
    <t>特別用途車ボデー</t>
  </si>
  <si>
    <t>自動車用ガソリン機関</t>
  </si>
  <si>
    <t>自動車用ディーゼル機関</t>
  </si>
  <si>
    <t>二輪自動車・モータスクータ用内燃機関</t>
  </si>
  <si>
    <t>自動車用内燃機関の部分品・取付具・附属品</t>
  </si>
  <si>
    <t>駆動・伝導・操縦装置部品</t>
  </si>
  <si>
    <t>懸架・制動装置部品</t>
  </si>
  <si>
    <t>カーエアコン</t>
  </si>
  <si>
    <t>カーヒータ</t>
  </si>
  <si>
    <t>機関車</t>
  </si>
  <si>
    <t>内燃動車</t>
  </si>
  <si>
    <t>鉄道用貨車</t>
  </si>
  <si>
    <t>その他の鉄道車両</t>
  </si>
  <si>
    <t>機関車の部分品・取付具・附属品</t>
  </si>
  <si>
    <t>電車・客貨車の部分品・取付具・附属品</t>
  </si>
  <si>
    <t>鋼製客船,新造,20総ｔ以上の動力船</t>
  </si>
  <si>
    <t>隻</t>
  </si>
  <si>
    <t>鋼製船舶の船体</t>
  </si>
  <si>
    <t>船体ブロック</t>
  </si>
  <si>
    <t>舶用ディーゼル機関</t>
  </si>
  <si>
    <t>その他の舶用機関</t>
  </si>
  <si>
    <t>機</t>
  </si>
  <si>
    <t>飛行機</t>
  </si>
  <si>
    <t>ヘリコプター</t>
  </si>
  <si>
    <t>航空機用エンジン</t>
  </si>
  <si>
    <t>その他の航空機部分品・補助装置</t>
  </si>
  <si>
    <t>フォークリフトトラック</t>
  </si>
  <si>
    <t>その他の産業用運搬車両</t>
  </si>
  <si>
    <t>子供車,車輪の呼び径12～24インチのもの</t>
  </si>
  <si>
    <t>自転車の部分品・取付具・附属品</t>
  </si>
  <si>
    <t>飛しょう体</t>
  </si>
  <si>
    <t>他に分類されない輸送用機械器具(飛しょう体を除く)</t>
  </si>
  <si>
    <t>金属温度計</t>
  </si>
  <si>
    <t>流量計</t>
  </si>
  <si>
    <t>工業用長さ計</t>
  </si>
  <si>
    <t>精密測定器(工業用長さ計を除く)</t>
  </si>
  <si>
    <t>光分析装置</t>
  </si>
  <si>
    <t>その他の分析装置</t>
  </si>
  <si>
    <t>材料試験機</t>
  </si>
  <si>
    <t>その他の試験機</t>
  </si>
  <si>
    <t>光度計、光束計、照度計、屈折度計</t>
  </si>
  <si>
    <t>公害計測器</t>
  </si>
  <si>
    <t>その他の計量器・測定器</t>
  </si>
  <si>
    <t>その他の測量機械器具</t>
  </si>
  <si>
    <t>歯科用機械器具、同装置</t>
  </si>
  <si>
    <t>動物用医療機械器具</t>
  </si>
  <si>
    <t>医療用品</t>
  </si>
  <si>
    <t>歯科材料</t>
  </si>
  <si>
    <t>理化学機械器具</t>
  </si>
  <si>
    <t>望遠鏡</t>
  </si>
  <si>
    <t>双眼鏡</t>
  </si>
  <si>
    <t>35ミリカメラ</t>
  </si>
  <si>
    <t>35ミリカメラ以外のカメラ</t>
  </si>
  <si>
    <t>カメラ・写真装置の部分品・取付具・附属品</t>
  </si>
  <si>
    <t>映画用機械器具</t>
  </si>
  <si>
    <t>カメラ用レンズ</t>
  </si>
  <si>
    <t>カメラ用交換レンズ</t>
  </si>
  <si>
    <t>光学レンズ</t>
  </si>
  <si>
    <t>プリズム</t>
  </si>
  <si>
    <t>眼鏡</t>
  </si>
  <si>
    <t>眼鏡枠</t>
  </si>
  <si>
    <t>眼鏡の部分品</t>
  </si>
  <si>
    <t>その他の時計</t>
  </si>
  <si>
    <t>時計の部分品</t>
  </si>
  <si>
    <t>携帯時計側</t>
  </si>
  <si>
    <t>その他の時計側</t>
  </si>
  <si>
    <t>貴金属・宝石製装身具附属品、同材料加工品、同細工品</t>
  </si>
  <si>
    <t>ピアノ</t>
  </si>
  <si>
    <t>電子楽器</t>
  </si>
  <si>
    <t>その他の洋楽器、和楽器</t>
  </si>
  <si>
    <t>電子応用がん具</t>
  </si>
  <si>
    <t>金属製がん具</t>
  </si>
  <si>
    <t>プラスチック製がん具</t>
  </si>
  <si>
    <t>その他の娯楽用具・がん具</t>
  </si>
  <si>
    <t>人形</t>
  </si>
  <si>
    <t>運動用具</t>
  </si>
  <si>
    <t>万年筆・シャープペンシル・ペン先</t>
  </si>
  <si>
    <t>ボールペン・マーキングペン</t>
  </si>
  <si>
    <t>鉛筆</t>
  </si>
  <si>
    <t>他に分類されない事務用品</t>
  </si>
  <si>
    <t>ボタン</t>
  </si>
  <si>
    <t>針・ピン・ホック・スナップ・同関連品</t>
  </si>
  <si>
    <t>漆器</t>
  </si>
  <si>
    <t>麦わら・パナマ類帽子・わら工品</t>
  </si>
  <si>
    <t>畳</t>
  </si>
  <si>
    <t>うちわ・扇子・ちょうちん</t>
  </si>
  <si>
    <t>ほうき・ブラシ</t>
  </si>
  <si>
    <t>傘・同部分品</t>
  </si>
  <si>
    <t>魔法瓶</t>
  </si>
  <si>
    <t>武器</t>
  </si>
  <si>
    <t>看板、標識、展示装置</t>
  </si>
  <si>
    <t>CD-ROM</t>
  </si>
  <si>
    <t>DVD-ROM</t>
  </si>
  <si>
    <t>ユニット住宅・ルームユニット</t>
  </si>
  <si>
    <t>玄関収納ユニット</t>
  </si>
  <si>
    <t>洗面化粧台ユニット</t>
  </si>
  <si>
    <t>その他の他に分類されないその他の製品(ユニット住宅、ルームユニットを除く）</t>
  </si>
  <si>
    <t>kWh</t>
  </si>
  <si>
    <t>電力,亜鉛製造用</t>
  </si>
  <si>
    <t>電力,粗鉛製造用</t>
  </si>
  <si>
    <t>電力,電気鉛製造用</t>
  </si>
  <si>
    <t>電力,鉄鋼用</t>
  </si>
  <si>
    <t>自家発電力,鉄鋼用</t>
  </si>
  <si>
    <t>自家発電力,亜鉛製造用</t>
  </si>
  <si>
    <t>自家発電力,粗鉛製造用,火力</t>
  </si>
  <si>
    <t>自家発電力,鉄道</t>
  </si>
  <si>
    <t>自家発電力,鉱業</t>
  </si>
  <si>
    <t>熱</t>
  </si>
  <si>
    <t>蒸気</t>
  </si>
  <si>
    <t>上水道</t>
  </si>
  <si>
    <t>工業用水道</t>
  </si>
  <si>
    <t>人km</t>
  </si>
  <si>
    <t>内航貨物船輸送</t>
  </si>
  <si>
    <t>内航油送船輸送</t>
  </si>
  <si>
    <t>プッシャーバージ・台船輸送</t>
  </si>
  <si>
    <t>下水道処理</t>
  </si>
  <si>
    <t>下水道処理サービス</t>
  </si>
  <si>
    <t>産廃処理 (汚泥)</t>
  </si>
  <si>
    <t>産廃処理 (廃油)</t>
  </si>
  <si>
    <t>産廃処理 (廃酸)</t>
  </si>
  <si>
    <t>産廃処理 (廃アルカリ)</t>
  </si>
  <si>
    <t>産廃処理 (紙くず)</t>
  </si>
  <si>
    <t>産廃処理 (木くず)</t>
  </si>
  <si>
    <t>産廃処理 (繊維くず)</t>
  </si>
  <si>
    <t>産廃処理 (ゴムくず)</t>
  </si>
  <si>
    <t>産廃処理 (金属くず)</t>
  </si>
  <si>
    <t>産廃処理 (がれき類)</t>
  </si>
  <si>
    <t>産廃処理(動物のふん尿)</t>
  </si>
  <si>
    <t>産廃処理(動物の死体)</t>
  </si>
  <si>
    <t>燃焼・廃油</t>
  </si>
  <si>
    <t>工業排水処理</t>
  </si>
  <si>
    <t>粗銀,鉛スライム処理</t>
  </si>
  <si>
    <t>三酸化アンチモン,鉛電解スライム処理</t>
  </si>
  <si>
    <t>ビスマス密陀（鉛スライム処理）</t>
  </si>
  <si>
    <t>金属セレン(純分質量基準)</t>
  </si>
  <si>
    <t>Ni,Co混合硫化物,ラテライト鉱原料</t>
  </si>
  <si>
    <t>ニッケルマット,ラテライト鉱原料</t>
  </si>
  <si>
    <t>電気コバルト,MCLE法</t>
  </si>
  <si>
    <t>金属テルル(純分質量基準)</t>
  </si>
  <si>
    <t>電気ニッケル,MCLE法</t>
  </si>
  <si>
    <t>プレス用金型</t>
  </si>
  <si>
    <t>鍛造用金型</t>
  </si>
  <si>
    <t>数値制御装置</t>
  </si>
  <si>
    <t>プラスチック用金型</t>
  </si>
  <si>
    <t>メチレンジフェニルジイソシアナート(MDI)</t>
  </si>
  <si>
    <t>塩化ビニリデンモノマー</t>
  </si>
  <si>
    <t>副生硫酸アンモニウム</t>
  </si>
  <si>
    <t>テトラフルオロエチレン</t>
  </si>
  <si>
    <t>トリクロロエチレン</t>
  </si>
  <si>
    <t>ゴム・ガラス用金型</t>
  </si>
  <si>
    <t>製品名</t>
  </si>
  <si>
    <t>換算係数</t>
  </si>
  <si>
    <t>JPY</t>
  </si>
  <si>
    <t>kW</t>
  </si>
  <si>
    <t>絶乾kg</t>
  </si>
  <si>
    <t>kVA</t>
  </si>
  <si>
    <t>PS</t>
  </si>
  <si>
    <t>着</t>
  </si>
  <si>
    <t>銅再生地金、銅合金</t>
  </si>
  <si>
    <t>ct</t>
  </si>
  <si>
    <t>金再生地金、金合金</t>
  </si>
  <si>
    <t>kg-チップ</t>
  </si>
  <si>
    <t>銀再生地金、銀合金</t>
  </si>
  <si>
    <t>点</t>
  </si>
  <si>
    <t>Ah</t>
  </si>
  <si>
    <t>粗製コールタール</t>
  </si>
  <si>
    <t>kg-鉛</t>
  </si>
  <si>
    <t>銀地金</t>
  </si>
  <si>
    <t>機器名称</t>
    <rPh sb="0" eb="2">
      <t>キキ</t>
    </rPh>
    <rPh sb="2" eb="4">
      <t>メイショウ</t>
    </rPh>
    <phoneticPr fontId="33"/>
  </si>
  <si>
    <t>機能単位</t>
    <rPh sb="0" eb="2">
      <t>キノウ</t>
    </rPh>
    <rPh sb="2" eb="4">
      <t>タンイ</t>
    </rPh>
    <phoneticPr fontId="33"/>
  </si>
  <si>
    <t>運転時間</t>
    <rPh sb="0" eb="2">
      <t>ウンテン</t>
    </rPh>
    <rPh sb="2" eb="4">
      <t>ジカン</t>
    </rPh>
    <phoneticPr fontId="33"/>
  </si>
  <si>
    <t>都市ガス</t>
    <phoneticPr fontId="33"/>
  </si>
  <si>
    <t>スペック</t>
    <phoneticPr fontId="33"/>
  </si>
  <si>
    <t>出力</t>
    <rPh sb="0" eb="2">
      <t>シュツリョク</t>
    </rPh>
    <phoneticPr fontId="33"/>
  </si>
  <si>
    <t>車両重量</t>
    <rPh sb="0" eb="2">
      <t>シャリョウ</t>
    </rPh>
    <rPh sb="2" eb="4">
      <t>ジュウリョウ</t>
    </rPh>
    <phoneticPr fontId="33"/>
  </si>
  <si>
    <t>kg</t>
    <phoneticPr fontId="33"/>
  </si>
  <si>
    <t>車両全長</t>
    <rPh sb="0" eb="2">
      <t>シャリョウ</t>
    </rPh>
    <rPh sb="2" eb="4">
      <t>ゼンチョウ</t>
    </rPh>
    <phoneticPr fontId="33"/>
  </si>
  <si>
    <t>車両全幅</t>
    <rPh sb="0" eb="2">
      <t>シャリョウ</t>
    </rPh>
    <rPh sb="2" eb="4">
      <t>ゼンプク</t>
    </rPh>
    <phoneticPr fontId="33"/>
  </si>
  <si>
    <t>車両全高</t>
    <rPh sb="0" eb="2">
      <t>シャリョウ</t>
    </rPh>
    <rPh sb="2" eb="4">
      <t>ゼンコウ</t>
    </rPh>
    <phoneticPr fontId="33"/>
  </si>
  <si>
    <t>m</t>
    <phoneticPr fontId="33"/>
  </si>
  <si>
    <t>使用燃料種</t>
    <rPh sb="0" eb="2">
      <t>シヨウ</t>
    </rPh>
    <rPh sb="2" eb="4">
      <t>ネンリョウ</t>
    </rPh>
    <rPh sb="4" eb="5">
      <t>シュ</t>
    </rPh>
    <phoneticPr fontId="33"/>
  </si>
  <si>
    <t>モード燃費</t>
    <rPh sb="3" eb="5">
      <t>ネンピ</t>
    </rPh>
    <phoneticPr fontId="33"/>
  </si>
  <si>
    <t>モード種類</t>
    <rPh sb="3" eb="5">
      <t>シュルイ</t>
    </rPh>
    <phoneticPr fontId="33"/>
  </si>
  <si>
    <t>JC08</t>
    <phoneticPr fontId="33"/>
  </si>
  <si>
    <t>乗車定員</t>
    <rPh sb="0" eb="2">
      <t>ジョウシャ</t>
    </rPh>
    <rPh sb="2" eb="4">
      <t>テイイン</t>
    </rPh>
    <phoneticPr fontId="33"/>
  </si>
  <si>
    <t>人</t>
    <rPh sb="0" eb="1">
      <t>ニン</t>
    </rPh>
    <phoneticPr fontId="33"/>
  </si>
  <si>
    <t>km/kg</t>
    <phoneticPr fontId="33"/>
  </si>
  <si>
    <t>kW</t>
    <phoneticPr fontId="33"/>
  </si>
  <si>
    <t>圧縮水素</t>
    <rPh sb="0" eb="2">
      <t>アッシュク</t>
    </rPh>
    <rPh sb="2" eb="4">
      <t>スイソ</t>
    </rPh>
    <phoneticPr fontId="33"/>
  </si>
  <si>
    <t>JE05</t>
    <phoneticPr fontId="33"/>
  </si>
  <si>
    <t>定格荷重</t>
    <rPh sb="0" eb="2">
      <t>テイカク</t>
    </rPh>
    <rPh sb="2" eb="4">
      <t>カジュウ</t>
    </rPh>
    <phoneticPr fontId="33"/>
  </si>
  <si>
    <t>t</t>
    <phoneticPr fontId="33"/>
  </si>
  <si>
    <t>自重</t>
    <rPh sb="0" eb="2">
      <t>ジジュウ</t>
    </rPh>
    <phoneticPr fontId="33"/>
  </si>
  <si>
    <t>燃費</t>
    <rPh sb="0" eb="2">
      <t>ネンピ</t>
    </rPh>
    <phoneticPr fontId="33"/>
  </si>
  <si>
    <t>家庭用燃料電池</t>
    <rPh sb="0" eb="3">
      <t>カテイヨウ</t>
    </rPh>
    <rPh sb="3" eb="5">
      <t>ネンリョウ</t>
    </rPh>
    <rPh sb="5" eb="7">
      <t>デンチ</t>
    </rPh>
    <phoneticPr fontId="33"/>
  </si>
  <si>
    <t>潜熱回収型給湯器</t>
    <rPh sb="0" eb="2">
      <t>センネツ</t>
    </rPh>
    <rPh sb="2" eb="5">
      <t>カイシュウガタ</t>
    </rPh>
    <rPh sb="5" eb="8">
      <t>キュウトウキ</t>
    </rPh>
    <phoneticPr fontId="33"/>
  </si>
  <si>
    <t>発電出力</t>
    <rPh sb="0" eb="2">
      <t>ハツデン</t>
    </rPh>
    <rPh sb="2" eb="4">
      <t>シュツリョク</t>
    </rPh>
    <phoneticPr fontId="33"/>
  </si>
  <si>
    <t>kW</t>
    <phoneticPr fontId="33"/>
  </si>
  <si>
    <t>従来システム</t>
    <rPh sb="0" eb="2">
      <t>ジュウライ</t>
    </rPh>
    <phoneticPr fontId="33"/>
  </si>
  <si>
    <t>水素</t>
    <rPh sb="0" eb="2">
      <t>スイソ</t>
    </rPh>
    <phoneticPr fontId="33"/>
  </si>
  <si>
    <t>％</t>
    <phoneticPr fontId="33"/>
  </si>
  <si>
    <t>形式</t>
    <rPh sb="0" eb="2">
      <t>ケイシキ</t>
    </rPh>
    <phoneticPr fontId="33"/>
  </si>
  <si>
    <t>熱出力</t>
    <rPh sb="0" eb="3">
      <t>ネツシュツリョク</t>
    </rPh>
    <phoneticPr fontId="33"/>
  </si>
  <si>
    <t>発電効率</t>
    <rPh sb="0" eb="2">
      <t>ハツデン</t>
    </rPh>
    <rPh sb="2" eb="4">
      <t>コウリツ</t>
    </rPh>
    <phoneticPr fontId="33"/>
  </si>
  <si>
    <t>熱回収効率</t>
    <rPh sb="0" eb="1">
      <t>ネツ</t>
    </rPh>
    <rPh sb="1" eb="3">
      <t>カイシュウ</t>
    </rPh>
    <rPh sb="3" eb="5">
      <t>コウリツ</t>
    </rPh>
    <phoneticPr fontId="33"/>
  </si>
  <si>
    <t>貯湯容量</t>
    <rPh sb="0" eb="2">
      <t>チョトウ</t>
    </rPh>
    <rPh sb="2" eb="4">
      <t>ヨウリョウ</t>
    </rPh>
    <phoneticPr fontId="33"/>
  </si>
  <si>
    <t>％</t>
    <phoneticPr fontId="33"/>
  </si>
  <si>
    <t>貯湯温度</t>
    <rPh sb="0" eb="2">
      <t>チョトウ</t>
    </rPh>
    <rPh sb="2" eb="4">
      <t>オンド</t>
    </rPh>
    <phoneticPr fontId="33"/>
  </si>
  <si>
    <t>℃</t>
    <phoneticPr fontId="33"/>
  </si>
  <si>
    <t>L</t>
    <phoneticPr fontId="33"/>
  </si>
  <si>
    <t>給湯能力</t>
    <rPh sb="0" eb="2">
      <t>キュウトウ</t>
    </rPh>
    <rPh sb="2" eb="4">
      <t>ノウリョク</t>
    </rPh>
    <phoneticPr fontId="33"/>
  </si>
  <si>
    <t>kW</t>
    <phoneticPr fontId="33"/>
  </si>
  <si>
    <t>家庭用燃料電池及び比較対象の概要</t>
    <rPh sb="0" eb="3">
      <t>カテイヨウ</t>
    </rPh>
    <rPh sb="3" eb="5">
      <t>ネンリョウ</t>
    </rPh>
    <rPh sb="5" eb="7">
      <t>デンチ</t>
    </rPh>
    <rPh sb="7" eb="8">
      <t>オヨ</t>
    </rPh>
    <rPh sb="9" eb="11">
      <t>ヒカク</t>
    </rPh>
    <rPh sb="11" eb="13">
      <t>タイショウ</t>
    </rPh>
    <rPh sb="14" eb="16">
      <t>ガイヨウ</t>
    </rPh>
    <phoneticPr fontId="33"/>
  </si>
  <si>
    <t>業務用燃料電池及び比較対象の概要</t>
    <rPh sb="0" eb="2">
      <t>ギョウム</t>
    </rPh>
    <rPh sb="2" eb="3">
      <t>ヨウ</t>
    </rPh>
    <rPh sb="3" eb="5">
      <t>ネンリョウ</t>
    </rPh>
    <rPh sb="5" eb="7">
      <t>デンチ</t>
    </rPh>
    <rPh sb="7" eb="8">
      <t>オヨ</t>
    </rPh>
    <rPh sb="9" eb="11">
      <t>ヒカク</t>
    </rPh>
    <rPh sb="11" eb="13">
      <t>タイショウ</t>
    </rPh>
    <rPh sb="14" eb="16">
      <t>ガイヨウ</t>
    </rPh>
    <phoneticPr fontId="33"/>
  </si>
  <si>
    <t>固体酸化型</t>
    <rPh sb="0" eb="2">
      <t>コタイ</t>
    </rPh>
    <rPh sb="2" eb="4">
      <t>サンカ</t>
    </rPh>
    <rPh sb="4" eb="5">
      <t>ガタ</t>
    </rPh>
    <phoneticPr fontId="33"/>
  </si>
  <si>
    <t>ボイラ</t>
    <phoneticPr fontId="33"/>
  </si>
  <si>
    <t>削減量</t>
    <rPh sb="0" eb="3">
      <t>サクゲンリョウ</t>
    </rPh>
    <phoneticPr fontId="33"/>
  </si>
  <si>
    <t>業務用燃料電池</t>
    <rPh sb="0" eb="3">
      <t>ギョウムヨウ</t>
    </rPh>
    <rPh sb="3" eb="5">
      <t>ネンリョウ</t>
    </rPh>
    <rPh sb="5" eb="7">
      <t>デンチ</t>
    </rPh>
    <phoneticPr fontId="33"/>
  </si>
  <si>
    <t>－</t>
    <phoneticPr fontId="33"/>
  </si>
  <si>
    <t>燃え殻</t>
    <rPh sb="0" eb="1">
      <t>モ</t>
    </rPh>
    <rPh sb="2" eb="3">
      <t>ガラ</t>
    </rPh>
    <phoneticPr fontId="33"/>
  </si>
  <si>
    <t>廃プラスチック類</t>
  </si>
  <si>
    <t>動植物性残渣</t>
  </si>
  <si>
    <t>ガラス・陶磁器くず</t>
  </si>
  <si>
    <t>鉱さい</t>
  </si>
  <si>
    <t>ばいじん</t>
  </si>
  <si>
    <t>汚泥</t>
    <rPh sb="0" eb="2">
      <t>オデイ</t>
    </rPh>
    <phoneticPr fontId="33"/>
  </si>
  <si>
    <t>廃油</t>
    <rPh sb="0" eb="2">
      <t>ハイユ</t>
    </rPh>
    <phoneticPr fontId="33"/>
  </si>
  <si>
    <t>廃酸</t>
    <rPh sb="0" eb="2">
      <t>ハイサン</t>
    </rPh>
    <phoneticPr fontId="33"/>
  </si>
  <si>
    <t>廃アルカリ</t>
    <rPh sb="0" eb="1">
      <t>ハイ</t>
    </rPh>
    <phoneticPr fontId="33"/>
  </si>
  <si>
    <t>紙くず</t>
    <rPh sb="0" eb="1">
      <t>カミ</t>
    </rPh>
    <phoneticPr fontId="33"/>
  </si>
  <si>
    <t>木くず</t>
    <rPh sb="0" eb="1">
      <t>キ</t>
    </rPh>
    <phoneticPr fontId="33"/>
  </si>
  <si>
    <t>繊維くず</t>
    <rPh sb="0" eb="2">
      <t>センイ</t>
    </rPh>
    <phoneticPr fontId="33"/>
  </si>
  <si>
    <t>ゴムくず</t>
    <phoneticPr fontId="33"/>
  </si>
  <si>
    <t>金属くず</t>
    <rPh sb="0" eb="2">
      <t>キンゾク</t>
    </rPh>
    <phoneticPr fontId="33"/>
  </si>
  <si>
    <t>がれき類</t>
    <rPh sb="3" eb="4">
      <t>ルイ</t>
    </rPh>
    <phoneticPr fontId="33"/>
  </si>
  <si>
    <t>動物のふん尿</t>
    <rPh sb="0" eb="2">
      <t>ドウブツ</t>
    </rPh>
    <rPh sb="5" eb="6">
      <t>ニョウ</t>
    </rPh>
    <phoneticPr fontId="33"/>
  </si>
  <si>
    <t>動物の死体</t>
    <rPh sb="0" eb="2">
      <t>ドウブツ</t>
    </rPh>
    <rPh sb="3" eb="5">
      <t>シタイ</t>
    </rPh>
    <phoneticPr fontId="33"/>
  </si>
  <si>
    <r>
      <rPr>
        <sz val="11"/>
        <rFont val="ＭＳ Ｐゴシック"/>
        <family val="3"/>
        <charset val="128"/>
      </rPr>
      <t>産廃処理</t>
    </r>
    <r>
      <rPr>
        <sz val="11"/>
        <rFont val="Arial"/>
        <family val="2"/>
      </rPr>
      <t xml:space="preserve"> (</t>
    </r>
    <r>
      <rPr>
        <sz val="11"/>
        <rFont val="ＭＳ Ｐゴシック"/>
        <family val="3"/>
        <charset val="128"/>
      </rPr>
      <t>燃え殻</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</si>
  <si>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廃プラスチック類</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</si>
  <si>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動植物性残渣</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</si>
  <si>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ガラス・陶磁器くず</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</si>
  <si>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鉱さい</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</si>
  <si>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ばいじん</t>
    </r>
    <r>
      <rPr>
        <sz val="11"/>
        <rFont val="Arial"/>
        <family val="2"/>
      </rPr>
      <t>)</t>
    </r>
    <phoneticPr fontId="33"/>
  </si>
  <si>
    <t>利用：集計</t>
    <rPh sb="0" eb="2">
      <t>リヨウ</t>
    </rPh>
    <rPh sb="3" eb="5">
      <t>シュウケイ</t>
    </rPh>
    <phoneticPr fontId="33"/>
  </si>
  <si>
    <t>合　　計</t>
    <rPh sb="0" eb="1">
      <t>ゴウ</t>
    </rPh>
    <rPh sb="3" eb="4">
      <t>ケイ</t>
    </rPh>
    <phoneticPr fontId="33"/>
  </si>
  <si>
    <t>系統電力</t>
    <rPh sb="0" eb="2">
      <t>ケイトウ</t>
    </rPh>
    <rPh sb="2" eb="4">
      <t>デンリョク</t>
    </rPh>
    <phoneticPr fontId="33"/>
  </si>
  <si>
    <t>使用可否</t>
    <rPh sb="0" eb="2">
      <t>シヨウ</t>
    </rPh>
    <rPh sb="2" eb="4">
      <t>カヒ</t>
    </rPh>
    <phoneticPr fontId="33"/>
  </si>
  <si>
    <t>HV01</t>
    <phoneticPr fontId="33"/>
  </si>
  <si>
    <t>HV02</t>
    <phoneticPr fontId="33"/>
  </si>
  <si>
    <t>ICEV</t>
    <phoneticPr fontId="33"/>
  </si>
  <si>
    <t>クラウンロイヤル</t>
    <phoneticPr fontId="33"/>
  </si>
  <si>
    <t>プリウス</t>
    <phoneticPr fontId="33"/>
  </si>
  <si>
    <t>クラウン</t>
    <phoneticPr fontId="33"/>
  </si>
  <si>
    <t>型式</t>
    <rPh sb="0" eb="2">
      <t>カタシキ</t>
    </rPh>
    <phoneticPr fontId="33"/>
  </si>
  <si>
    <t>DAA-AWS210</t>
    <phoneticPr fontId="33"/>
  </si>
  <si>
    <t>DAA-ZVW30</t>
    <phoneticPr fontId="33"/>
  </si>
  <si>
    <t>DBA-GRS210</t>
    <phoneticPr fontId="33"/>
  </si>
  <si>
    <t>パワートレイン</t>
    <phoneticPr fontId="33"/>
  </si>
  <si>
    <t>ハイブリッド自動車</t>
    <rPh sb="6" eb="9">
      <t>ジドウシャ</t>
    </rPh>
    <phoneticPr fontId="33"/>
  </si>
  <si>
    <t>ガソリン内燃自動車</t>
    <rPh sb="4" eb="6">
      <t>ナイネン</t>
    </rPh>
    <rPh sb="6" eb="9">
      <t>ジドウシャ</t>
    </rPh>
    <phoneticPr fontId="33"/>
  </si>
  <si>
    <t>kW</t>
    <phoneticPr fontId="33"/>
  </si>
  <si>
    <t>kg</t>
    <phoneticPr fontId="33"/>
  </si>
  <si>
    <t>m</t>
    <phoneticPr fontId="33"/>
  </si>
  <si>
    <t>m</t>
    <phoneticPr fontId="33"/>
  </si>
  <si>
    <t>人</t>
    <rPh sb="0" eb="1">
      <t>ニン</t>
    </rPh>
    <phoneticPr fontId="33"/>
  </si>
  <si>
    <t>km/L</t>
    <phoneticPr fontId="33"/>
  </si>
  <si>
    <t>JC08</t>
  </si>
  <si>
    <t>TtW</t>
    <phoneticPr fontId="33"/>
  </si>
  <si>
    <t>固体</t>
    <rPh sb="0" eb="2">
      <t>コタイ</t>
    </rPh>
    <phoneticPr fontId="33"/>
  </si>
  <si>
    <t>[kg]</t>
  </si>
  <si>
    <t>[kg]</t>
    <phoneticPr fontId="33"/>
  </si>
  <si>
    <t>[t]</t>
    <phoneticPr fontId="33"/>
  </si>
  <si>
    <t>[kL]</t>
    <phoneticPr fontId="33"/>
  </si>
  <si>
    <t>[Nm3]</t>
  </si>
  <si>
    <t>[1000Nm3]</t>
    <phoneticPr fontId="33"/>
  </si>
  <si>
    <t>[kg]</t>
    <phoneticPr fontId="33"/>
  </si>
  <si>
    <t>[t]</t>
    <phoneticPr fontId="33"/>
  </si>
  <si>
    <r>
      <t>[1000Nm</t>
    </r>
    <r>
      <rPr>
        <vertAlign val="superscript"/>
        <sz val="11"/>
        <color theme="1"/>
        <rFont val="ＭＳ Ｐゴシック"/>
        <family val="3"/>
        <charset val="128"/>
      </rPr>
      <t>3</t>
    </r>
    <r>
      <rPr>
        <sz val="11"/>
        <color theme="1"/>
        <rFont val="ＭＳ Ｐゴシック"/>
        <family val="3"/>
        <charset val="128"/>
      </rPr>
      <t>]</t>
    </r>
    <phoneticPr fontId="33"/>
  </si>
  <si>
    <r>
      <t>IDEA</t>
    </r>
    <r>
      <rPr>
        <sz val="10"/>
        <color indexed="8"/>
        <rFont val="ＭＳ Ｐゴシック"/>
        <family val="3"/>
        <charset val="128"/>
      </rPr>
      <t>製品コード</t>
    </r>
    <rPh sb="4" eb="6">
      <t>セイヒン</t>
    </rPh>
    <phoneticPr fontId="34"/>
  </si>
  <si>
    <r>
      <rPr>
        <sz val="10"/>
        <color indexed="8"/>
        <rFont val="ＭＳ Ｐゴシック"/>
        <family val="3"/>
        <charset val="128"/>
      </rPr>
      <t>国</t>
    </r>
    <rPh sb="0" eb="1">
      <t>クニ</t>
    </rPh>
    <phoneticPr fontId="34"/>
  </si>
  <si>
    <r>
      <rPr>
        <sz val="10"/>
        <color indexed="8"/>
        <rFont val="ＭＳ Ｐゴシック"/>
        <family val="3"/>
        <charset val="128"/>
      </rPr>
      <t>基準フロー</t>
    </r>
    <r>
      <rPr>
        <sz val="11"/>
        <color theme="1"/>
        <rFont val="Arial"/>
        <family val="2"/>
        <charset val="128"/>
      </rPr>
      <t/>
    </r>
    <rPh sb="0" eb="2">
      <t>キジュン</t>
    </rPh>
    <phoneticPr fontId="34"/>
  </si>
  <si>
    <r>
      <rPr>
        <sz val="10"/>
        <color indexed="8"/>
        <rFont val="ＭＳ Ｐゴシック"/>
        <family val="3"/>
        <charset val="128"/>
      </rPr>
      <t>単位</t>
    </r>
    <rPh sb="0" eb="2">
      <t>タンイ</t>
    </rPh>
    <phoneticPr fontId="34"/>
  </si>
  <si>
    <t>JP</t>
  </si>
  <si>
    <t>p</t>
  </si>
  <si>
    <t>TH</t>
  </si>
  <si>
    <t>US</t>
  </si>
  <si>
    <t>VN</t>
  </si>
  <si>
    <t>CN</t>
  </si>
  <si>
    <t>AU</t>
  </si>
  <si>
    <t>BR</t>
  </si>
  <si>
    <t>TR</t>
  </si>
  <si>
    <t>CA</t>
  </si>
  <si>
    <t>DE</t>
  </si>
  <si>
    <t>cm</t>
  </si>
  <si>
    <t>GLO</t>
  </si>
  <si>
    <t>ID</t>
  </si>
  <si>
    <t>PH</t>
  </si>
  <si>
    <t>t</t>
  </si>
  <si>
    <t>AL</t>
  </si>
  <si>
    <t>DZ</t>
  </si>
  <si>
    <t>AO</t>
  </si>
  <si>
    <t>AR</t>
  </si>
  <si>
    <t>AM</t>
  </si>
  <si>
    <t>AT</t>
  </si>
  <si>
    <t>AZ</t>
  </si>
  <si>
    <t>BH</t>
  </si>
  <si>
    <t>BD</t>
  </si>
  <si>
    <t>BY</t>
  </si>
  <si>
    <t>BE</t>
  </si>
  <si>
    <t>BJ</t>
  </si>
  <si>
    <t>BO</t>
  </si>
  <si>
    <t>BW</t>
  </si>
  <si>
    <t>BN</t>
  </si>
  <si>
    <t>BG</t>
  </si>
  <si>
    <t>KH</t>
  </si>
  <si>
    <t>CM</t>
  </si>
  <si>
    <t>CL</t>
  </si>
  <si>
    <t>TW</t>
  </si>
  <si>
    <t>CO</t>
  </si>
  <si>
    <t>CG</t>
  </si>
  <si>
    <t>CR</t>
  </si>
  <si>
    <t>CI</t>
  </si>
  <si>
    <t>HR</t>
  </si>
  <si>
    <t>CU</t>
  </si>
  <si>
    <t>CY</t>
  </si>
  <si>
    <t>CZ</t>
  </si>
  <si>
    <t>DK</t>
  </si>
  <si>
    <t>DO</t>
  </si>
  <si>
    <t>KP</t>
  </si>
  <si>
    <t>CD</t>
  </si>
  <si>
    <t>EC</t>
  </si>
  <si>
    <t>EG</t>
  </si>
  <si>
    <t>SV</t>
  </si>
  <si>
    <t>ER</t>
  </si>
  <si>
    <t>EE</t>
  </si>
  <si>
    <t>ET</t>
  </si>
  <si>
    <t>MK</t>
  </si>
  <si>
    <t>FI</t>
  </si>
  <si>
    <t>FR</t>
  </si>
  <si>
    <t>GA</t>
  </si>
  <si>
    <t>GH</t>
  </si>
  <si>
    <t>GI</t>
  </si>
  <si>
    <t>GR</t>
  </si>
  <si>
    <t>GT</t>
  </si>
  <si>
    <t>HT</t>
  </si>
  <si>
    <t>HN</t>
  </si>
  <si>
    <t>HK</t>
  </si>
  <si>
    <t>HU</t>
  </si>
  <si>
    <t>IS</t>
  </si>
  <si>
    <t>IN</t>
  </si>
  <si>
    <t>IR</t>
  </si>
  <si>
    <t>IQ</t>
  </si>
  <si>
    <t>IE</t>
  </si>
  <si>
    <t>IL</t>
  </si>
  <si>
    <t>IT</t>
  </si>
  <si>
    <t>JM</t>
  </si>
  <si>
    <t>JO</t>
  </si>
  <si>
    <t>KZ</t>
  </si>
  <si>
    <t>KE</t>
  </si>
  <si>
    <t>KR</t>
  </si>
  <si>
    <t>KSV</t>
  </si>
  <si>
    <t>KW</t>
  </si>
  <si>
    <t>KG</t>
  </si>
  <si>
    <t>LV</t>
  </si>
  <si>
    <t>LB</t>
  </si>
  <si>
    <t>LY</t>
  </si>
  <si>
    <t>LT</t>
  </si>
  <si>
    <t>LU</t>
  </si>
  <si>
    <t>MY</t>
  </si>
  <si>
    <t>MT</t>
  </si>
  <si>
    <t>MX</t>
  </si>
  <si>
    <t>MN</t>
  </si>
  <si>
    <t>ME</t>
  </si>
  <si>
    <t>MA</t>
  </si>
  <si>
    <t>MZ</t>
  </si>
  <si>
    <t>MM</t>
  </si>
  <si>
    <t>ANT</t>
  </si>
  <si>
    <t>NA</t>
  </si>
  <si>
    <t>NP</t>
  </si>
  <si>
    <t>NL</t>
  </si>
  <si>
    <t>NZ</t>
  </si>
  <si>
    <t>NI</t>
  </si>
  <si>
    <t>NG</t>
  </si>
  <si>
    <t>NO</t>
  </si>
  <si>
    <t>OM</t>
  </si>
  <si>
    <t>PK</t>
  </si>
  <si>
    <t>PA</t>
  </si>
  <si>
    <t>PY</t>
  </si>
  <si>
    <t>PE</t>
  </si>
  <si>
    <t>PL</t>
  </si>
  <si>
    <t>PT</t>
  </si>
  <si>
    <t>QA</t>
  </si>
  <si>
    <t>MD</t>
  </si>
  <si>
    <t>RO</t>
  </si>
  <si>
    <t>RU</t>
  </si>
  <si>
    <t>SA</t>
  </si>
  <si>
    <t>SN</t>
  </si>
  <si>
    <t>RS</t>
  </si>
  <si>
    <t>SG</t>
  </si>
  <si>
    <t>SK</t>
  </si>
  <si>
    <t>SI</t>
  </si>
  <si>
    <t>ZA</t>
  </si>
  <si>
    <t>ES</t>
  </si>
  <si>
    <t>LK</t>
  </si>
  <si>
    <t>SD</t>
  </si>
  <si>
    <t>SE</t>
  </si>
  <si>
    <t>CH</t>
  </si>
  <si>
    <t>SY</t>
  </si>
  <si>
    <t>TJ</t>
  </si>
  <si>
    <t>TG</t>
  </si>
  <si>
    <t>TT</t>
  </si>
  <si>
    <t>TN</t>
  </si>
  <si>
    <t>TM</t>
  </si>
  <si>
    <t>AE</t>
  </si>
  <si>
    <t>UA</t>
  </si>
  <si>
    <t>GB</t>
  </si>
  <si>
    <t>TZ</t>
  </si>
  <si>
    <t>UY</t>
  </si>
  <si>
    <t>UZ</t>
  </si>
  <si>
    <t>VE</t>
  </si>
  <si>
    <t>YE</t>
  </si>
  <si>
    <t>ZM</t>
  </si>
  <si>
    <t>ZW</t>
  </si>
  <si>
    <t>AEL</t>
  </si>
  <si>
    <t>personkm</t>
  </si>
  <si>
    <t>km</t>
  </si>
  <si>
    <t>m3km</t>
  </si>
  <si>
    <t>IDEA_UUID</t>
  </si>
  <si>
    <t>主単位A</t>
  </si>
  <si>
    <t>単位B</t>
  </si>
  <si>
    <t>9桁</t>
  </si>
  <si>
    <t>{8A96A22A-2200-44AE-855E-39548B704424}</t>
  </si>
  <si>
    <t>玄米, 4桁</t>
  </si>
  <si>
    <t>{7CD3BD8C-9028-4E45-AD7E-E80C3601CE2B}</t>
  </si>
  <si>
    <t>{2ACD4C3F-984B-4328-93C2-8DF6CA339ECB}</t>
  </si>
  <si>
    <t>麦類, 4桁</t>
  </si>
  <si>
    <t>{2DE684B1-8B6B-4EDA-BB37-17851F92A5CA}</t>
  </si>
  <si>
    <t>{3FEA5E57-AFBA-4324-8869-924EA2E9A302}</t>
  </si>
  <si>
    <t>{B6895D4B-7C84-4333-B267-60284AEC2C59}</t>
  </si>
  <si>
    <t>{38510F5B-2ACC-472C-8EBB-05DC7CB63915}</t>
  </si>
  <si>
    <t>{D36D2D75-F892-46C9-A88A-B1168C9B67EA}</t>
  </si>
  <si>
    <t>その他の麦類</t>
  </si>
  <si>
    <t>{2647247E-78EA-46F4-9954-2930BCC60E94}</t>
  </si>
  <si>
    <t>豆類, 4桁</t>
  </si>
  <si>
    <t>{324BA438-B6E6-4D6B-8C16-A39F4DFFF509}</t>
  </si>
  <si>
    <t>{0D6CA172-3DA1-4B71-A17C-2510C78E950C}</t>
  </si>
  <si>
    <t>{C4F8568C-A6EF-4B75-A70E-500634B7E01D}</t>
  </si>
  <si>
    <t>{E457668E-62E6-456A-A92E-6AF17D6DCE68}</t>
  </si>
  <si>
    <t>{D93605B5-CDB2-4EE3-9CD6-B225A3FC6906}</t>
  </si>
  <si>
    <t>その他の豆類</t>
  </si>
  <si>
    <t>{B9B515BA-961D-48AE-B638-9421516241B3}</t>
  </si>
  <si>
    <t>雑穀, 4桁</t>
  </si>
  <si>
    <t>{9B932579-387F-4E4E-82B1-FDD0A797E8F8}</t>
  </si>
  <si>
    <t>{CD1F6CAB-EEA3-4356-8ABF-05A86D71A5A7}</t>
  </si>
  <si>
    <t>その他の雑穀</t>
  </si>
  <si>
    <t>{BFF39712-304F-45F2-BC82-E0991FE4809B}</t>
  </si>
  <si>
    <t>いも類, 4桁</t>
  </si>
  <si>
    <t>{45BF990D-3CAD-4A24-B0D6-385DEEC3B779}</t>
  </si>
  <si>
    <t>{C958CBA3-E441-4140-94D3-FB1961652002}</t>
  </si>
  <si>
    <t>{C18C49AB-0546-4D6C-9FA5-9857105CB3CE}</t>
  </si>
  <si>
    <t>その他のいも類</t>
  </si>
  <si>
    <t>{8AA8242F-AD1B-479C-AF82-8F09A0A5BA66}</t>
  </si>
  <si>
    <t>果菜類, 4桁</t>
  </si>
  <si>
    <t>{BC43F019-5A56-4B9C-A5C6-C7C7D9950E3E}</t>
  </si>
  <si>
    <t>きゅうり, 露地栽培と施設栽培の混合</t>
  </si>
  <si>
    <t>{5184FC5D-3BF3-4F0A-A051-9DB0B401DD3A}</t>
  </si>
  <si>
    <t>きゅうり, 露地栽培</t>
  </si>
  <si>
    <t>{DF5633BD-4BA6-4929-B404-A2F487ED2E8F}</t>
  </si>
  <si>
    <t>きゅうり, 施設栽培</t>
  </si>
  <si>
    <t>{7F12E02A-8AEA-4426-A8E8-E0F725516E9A}</t>
  </si>
  <si>
    <t>すいか, 露地栽培と施設栽培の混合</t>
  </si>
  <si>
    <t>{A52A7E0D-FD06-4084-A72A-D192E007202F}</t>
  </si>
  <si>
    <t>すいか, 露地栽培</t>
  </si>
  <si>
    <t>{C0207BFA-3C34-4810-8B8B-73EDD07F21AA}</t>
  </si>
  <si>
    <t>すいか, 施設栽培</t>
  </si>
  <si>
    <t>{1BED5101-9FC9-47E3-9DE0-6B9C79EBF678}</t>
  </si>
  <si>
    <t>トマト, 露地栽培と施設栽培の混合</t>
  </si>
  <si>
    <t>{93B3E170-E906-41A1-94AB-60ADAB315512}</t>
  </si>
  <si>
    <t>大玉トマト, 露地栽培</t>
  </si>
  <si>
    <t>{68DC6CD2-2CBF-4820-8D7A-DF0BBD6DDB98}</t>
  </si>
  <si>
    <t>大玉トマト, 施設栽培</t>
  </si>
  <si>
    <t>{8C70213B-6559-438E-A2A0-6B1A6449963B}</t>
  </si>
  <si>
    <t>ミニトマト, 露地栽培</t>
  </si>
  <si>
    <t>{25261A62-FD07-47F5-B86D-B6CD4A5E4ACD}</t>
  </si>
  <si>
    <t>ミニトマト, 施設栽培</t>
  </si>
  <si>
    <t>{D06B7AF3-AC0B-475D-A48C-40194B15054E}</t>
  </si>
  <si>
    <t>大玉トマト, 露地栽培と施設栽培の混合</t>
  </si>
  <si>
    <t>{35A9EF2B-BAE7-47C9-9CF6-37491C7AE5CC}</t>
  </si>
  <si>
    <t>ミニトマト, 露地栽培と施設栽培の混合</t>
  </si>
  <si>
    <t>{A8FC0E92-93A9-47D6-A771-26C2AB1F5E9B}</t>
  </si>
  <si>
    <t>トマト, 大玉トマト露地栽培とミニトマト露地栽培の混合</t>
  </si>
  <si>
    <t>{DC983D43-8236-4187-9012-AC5A23F86F13}</t>
  </si>
  <si>
    <t>トマト, 大玉トマト施設栽培とミニトマト施設栽培の混合</t>
  </si>
  <si>
    <t>{5B7DCD8B-BFF7-400F-84E6-A9C1D8541048}</t>
  </si>
  <si>
    <t>ピーマン, 露地栽培と施設栽培の混合</t>
  </si>
  <si>
    <t>{073FB9FD-1BFF-40DF-A6C6-41211399B78B}</t>
  </si>
  <si>
    <t>ピーマン, 露地栽培</t>
  </si>
  <si>
    <t>{EDB7418B-5031-4598-9178-F2F2607D75B6}</t>
  </si>
  <si>
    <t>ピーマン, 施設栽培</t>
  </si>
  <si>
    <t>{EDC84250-CAFA-4CE1-89A8-77520803D6DE}</t>
  </si>
  <si>
    <t>ししとう, 露地栽培と施設栽培の混合</t>
  </si>
  <si>
    <t>{C735577F-000D-42A5-9C38-11196C202051}</t>
  </si>
  <si>
    <t>ししとう, 露地栽培</t>
  </si>
  <si>
    <t>{697A64E5-E11F-4B72-9328-D820F04BA6F2}</t>
  </si>
  <si>
    <t>ししとう, 施設栽培</t>
  </si>
  <si>
    <t>{F57387E4-9B3E-45F9-8048-3F7157954108}</t>
  </si>
  <si>
    <t>なす, 露地栽培と施設栽培の混合</t>
  </si>
  <si>
    <t>{1DA35EE1-66B2-44DC-9505-3A6231564CB9}</t>
  </si>
  <si>
    <t>なす, 露地栽培</t>
  </si>
  <si>
    <t>{54C7049D-6308-447D-9F60-66D5937AFB4F}</t>
  </si>
  <si>
    <t>なす, 施設栽培</t>
  </si>
  <si>
    <t>{F1FEAE37-7BFA-42EC-9E41-FB3BED3C42AB}</t>
  </si>
  <si>
    <t>いちご, 施設栽培</t>
  </si>
  <si>
    <t>{486FB3BE-73DB-4A87-B123-EF7886CA848F}</t>
  </si>
  <si>
    <t>メロン, 施設栽培</t>
  </si>
  <si>
    <t>{C0511F14-DDA2-4CC4-9F3D-6A26231C2D4C}</t>
  </si>
  <si>
    <t>その他の果菜類</t>
  </si>
  <si>
    <t>{AE4C62E9-8669-4C61-91BD-5CCAFC08061D}</t>
  </si>
  <si>
    <t>葉茎菜類, 4桁</t>
  </si>
  <si>
    <t>{B0744F54-C3F0-4F80-AEE9-F1CDE31A64CC}</t>
  </si>
  <si>
    <t>キャベツ</t>
  </si>
  <si>
    <t>{D9F9D5C2-11B6-47AA-9EBB-4823E39F9803}</t>
  </si>
  <si>
    <t>ほうれんそう</t>
  </si>
  <si>
    <t>{A9317B09-3802-4B2D-9BED-F77E47FDF586}</t>
  </si>
  <si>
    <t>レタス</t>
  </si>
  <si>
    <t>{844E0FF6-9920-4A89-B6E9-0FA4D626F5BE}</t>
  </si>
  <si>
    <t>はくさい</t>
  </si>
  <si>
    <t>{FCCAF7EF-A2DE-4817-9A80-510D6616F337}</t>
  </si>
  <si>
    <t>たまねぎ</t>
  </si>
  <si>
    <t>{A1BD3FDB-551B-4F40-912D-DF1F26010D84}</t>
  </si>
  <si>
    <t>その他の葉茎菜類</t>
  </si>
  <si>
    <t>{1FDA9FD1-E762-4E3C-B5A3-07E3DCC743FD}</t>
  </si>
  <si>
    <t>根菜類, 4桁</t>
  </si>
  <si>
    <t>{80CAA84B-E668-4307-93FF-0CE1581B7225}</t>
  </si>
  <si>
    <t>だいこん</t>
  </si>
  <si>
    <t>{0ACCB9EA-8ED3-41A9-9B79-BE62F67375B3}</t>
  </si>
  <si>
    <t>にんじん</t>
  </si>
  <si>
    <t>{ACC3B8F8-8ADC-4305-A4FB-37049B2F10F2}</t>
  </si>
  <si>
    <t>さといも</t>
  </si>
  <si>
    <t>{8F531DCA-6BC2-4F49-B58C-E55D798DB1E9}</t>
  </si>
  <si>
    <t>その他の根菜類</t>
  </si>
  <si>
    <t>{A358984B-D33A-4B6A-9BEF-BB49D3D80D93}</t>
  </si>
  <si>
    <t>しいたけ, 人工栽培, 4桁</t>
  </si>
  <si>
    <t>{4F0671FE-8D7F-4A1D-9507-D4B31CF42BE3}</t>
  </si>
  <si>
    <t>原木生しいたけ, 人工栽培</t>
  </si>
  <si>
    <t>{63050126-7549-4EE3-93CC-9EAB6E0B85E4}</t>
  </si>
  <si>
    <t>菌床生しいたけ, 人工栽培</t>
  </si>
  <si>
    <t>{4D4C5419-7BFE-4743-AB9E-FA3B3131257C}</t>
  </si>
  <si>
    <t>原木乾燥しいたけ, 人工栽培</t>
  </si>
  <si>
    <t>{6F85E25B-AB18-4F14-B755-E2B5A4DACE44}</t>
  </si>
  <si>
    <t>きのこ, 人工栽培, 4桁</t>
  </si>
  <si>
    <t>{09FBB14C-33F9-434E-80CD-5DB2338492C6}</t>
  </si>
  <si>
    <t>えのきだけ, 人工栽培</t>
  </si>
  <si>
    <t>{0D0FDB8A-FBBE-40BE-959F-995CC2D5FA14}</t>
  </si>
  <si>
    <t>ぶなしめじ, 人工栽培</t>
  </si>
  <si>
    <t>{81C44FA9-83F6-4D5A-8F2C-D3221D345172}</t>
  </si>
  <si>
    <t>まいたけ, 人工栽培</t>
  </si>
  <si>
    <t>{738A4008-D079-4AE3-B2DE-8A87CE9D143F}</t>
  </si>
  <si>
    <t>なめこ, 人工栽培</t>
  </si>
  <si>
    <t>{F8F7A4E5-A16E-43C5-8477-692F7FAEFCC7}</t>
  </si>
  <si>
    <t>その他のきのこ, 人工栽培</t>
  </si>
  <si>
    <t>{7803AF8F-D6FF-4762-A401-1C3EC36388CE}</t>
  </si>
  <si>
    <t>仁果果実, 4桁</t>
  </si>
  <si>
    <t>{ED553459-6721-45E2-957B-D808FA313F50}</t>
  </si>
  <si>
    <t>{73033F47-ACF5-4BD5-B5B9-D06126C4DC33}</t>
  </si>
  <si>
    <t>{C07C80C4-000E-4DB1-919B-4F77930DB948}</t>
  </si>
  <si>
    <t>{010CCF8A-36E5-4D28-81FE-DDE08EB8FCF5}</t>
  </si>
  <si>
    <t>その他の仁果果実</t>
  </si>
  <si>
    <t>{60EE946A-5DCA-4349-9F34-DA1F591A92EA}</t>
  </si>
  <si>
    <t>かんきつ類果実, 4桁</t>
  </si>
  <si>
    <t>{F5C9E77C-2C60-437A-9E08-79D9655B6059}</t>
  </si>
  <si>
    <t>{2607DF50-F5C3-47A4-807A-BB502E39EA2A}</t>
  </si>
  <si>
    <t>{F60990F0-E206-4AF4-A551-ECF1CD45069F}</t>
  </si>
  <si>
    <t>{90427BAA-D02E-4815-A52C-82771BB734F6}</t>
  </si>
  <si>
    <t>{AA21192B-482C-469F-9136-4589368337BC}</t>
  </si>
  <si>
    <t>{B9886A77-C140-4637-B622-D5C770F85AA6}</t>
  </si>
  <si>
    <t>その他のかんきつ類果実</t>
  </si>
  <si>
    <t>{B5418530-B107-4E43-AB78-09098102FEF6}</t>
  </si>
  <si>
    <t>核果果実, 4桁</t>
  </si>
  <si>
    <t>{F711B034-7A7A-4ACC-AE03-7111131BC74F}</t>
  </si>
  <si>
    <t>{9C8B701D-788A-419A-B60E-B97C0676A2AE}</t>
  </si>
  <si>
    <t>{21E9D40D-2DBE-4FF3-A2A2-C9C802BBC383}</t>
  </si>
  <si>
    <t>{A7A88F3C-DCF2-49CA-AFC4-009FAD022F62}</t>
  </si>
  <si>
    <t>{43329687-D834-4A0E-9729-34C050E7BFBD}</t>
  </si>
  <si>
    <t>その他の核果果実</t>
  </si>
  <si>
    <t>{2D49BEDA-50CE-4779-82FC-13AF81CFF07D}</t>
  </si>
  <si>
    <t>熱帯産果実, 4桁</t>
  </si>
  <si>
    <t>{2AE7321E-C73A-4609-9E08-6102E261440D}</t>
  </si>
  <si>
    <t>{F157360B-EC31-4570-8808-74BAE867EE6B}</t>
  </si>
  <si>
    <t>{F0A12172-B5D7-43D2-8E02-038A59B83C1B}</t>
  </si>
  <si>
    <t>その他の熱帯産果実</t>
  </si>
  <si>
    <t>{F6208232-C5AF-4D69-BC71-7A597854C13E}</t>
  </si>
  <si>
    <t>その他の果実, 4桁</t>
  </si>
  <si>
    <t>{906F2FE2-2EC6-4C89-A6C8-26A974BBBD7B}</t>
  </si>
  <si>
    <t>かき（果実）</t>
  </si>
  <si>
    <t>{997AE580-F54D-42F8-A1DA-0E0110D51932}</t>
  </si>
  <si>
    <t>{9ABC6987-5735-4835-82AE-9AB3AC0DAF15}</t>
  </si>
  <si>
    <t>{A5012542-C9D4-42BA-8711-6142A1D7C0CB}</t>
  </si>
  <si>
    <t>他に分類されないその他の果実</t>
  </si>
  <si>
    <t>{C43354A0-63C7-4E33-9B28-7FA4634B24AC}</t>
  </si>
  <si>
    <t>飼料作物, 4桁</t>
  </si>
  <si>
    <t>{6E0DAA3B-54BB-499C-B88A-85912D23EC45}</t>
  </si>
  <si>
    <t>{B285EDDF-6033-498A-A7D3-00D1F1C5F670}</t>
  </si>
  <si>
    <t>切花, 露地栽培と施設栽培の混合, 4桁</t>
  </si>
  <si>
    <t>{57115AF9-0FF5-4986-AE48-CA44A62FB391}</t>
  </si>
  <si>
    <t>切花, 露地栽培と施設栽培の混合</t>
  </si>
  <si>
    <t>{53EA74AC-553D-4930-876C-7AF83C584E02}</t>
  </si>
  <si>
    <t>切花, 露地栽培</t>
  </si>
  <si>
    <t>{57783778-BA36-479E-9595-77D234F7D4B3}</t>
  </si>
  <si>
    <t>切花, 施設栽培</t>
  </si>
  <si>
    <t>{080B77CE-4D75-40D6-8D7E-08B64A980ECC}</t>
  </si>
  <si>
    <t>その他の食用耕種作物, 4桁</t>
  </si>
  <si>
    <t>{914E63FC-FA77-4B2C-9401-1546E99F3425}</t>
  </si>
  <si>
    <t>{8295B8ED-C609-4334-861E-B0B1CDB992D0}</t>
  </si>
  <si>
    <t>{67824D4C-2D99-4432-9482-26BA5098DF38}</t>
  </si>
  <si>
    <t>飲料用作物（茶）</t>
  </si>
  <si>
    <t>{775E5D26-1224-4860-83FB-BE9010B45883}</t>
  </si>
  <si>
    <t>{A4236EE0-8B0E-45B4-AA0E-BF562911011A}</t>
  </si>
  <si>
    <t>他に分類されないその他の食用耕種作物</t>
  </si>
  <si>
    <t>{34D48F64-DE89-4957-8E4C-F139865A946F}</t>
  </si>
  <si>
    <t>その他の非食用耕種作物, 4桁</t>
  </si>
  <si>
    <t>{5750497B-7903-43A0-A53E-F6E873847C17}</t>
  </si>
  <si>
    <t>{7D260E26-5503-41B7-BF41-1FE72D34FFB0}</t>
  </si>
  <si>
    <t>{5BD164F3-06CB-4CF7-B51E-82F466B7AA10}</t>
  </si>
  <si>
    <t>他に分類されないその他の非食用耕種作物</t>
  </si>
  <si>
    <t>{E1B9516A-BF99-4CC4-9607-22D6F1EBA68E}</t>
  </si>
  <si>
    <t>天然ゴム, ラテックス, HA</t>
  </si>
  <si>
    <t>{43E360C7-4CC2-4C1B-824F-E18FAB331C39}</t>
  </si>
  <si>
    <t>酪農品, 4桁</t>
  </si>
  <si>
    <t>{E3287B04-2757-4AF6-88F3-4B8F2272E869}</t>
  </si>
  <si>
    <t>{AAADB5ED-FEFE-4B26-A6F6-AC14E2EDB3DC}</t>
  </si>
  <si>
    <t>{BBE62B9A-8B60-4F2D-81C3-06158BC3C091}</t>
  </si>
  <si>
    <t>鶏卵, 4桁</t>
  </si>
  <si>
    <t>{2F321F8B-39F5-4C8A-BE33-0FAB4B9E0EF2}</t>
  </si>
  <si>
    <t>{7B825B10-CAA1-4128-93A1-8FA137694A64}</t>
  </si>
  <si>
    <t>肉用畜産物, 4桁</t>
  </si>
  <si>
    <t>{52FB24BA-A174-4540-81F8-E9C379555DDD}</t>
  </si>
  <si>
    <t>{F2F2AD22-D379-4778-AA14-4EC44C711ADA}</t>
  </si>
  <si>
    <t>{E2FE9F4B-4274-40E1-A30C-B59BC38633C7}</t>
  </si>
  <si>
    <t>{1DC39CEA-686F-4712-9BA5-59A24F9970A6}</t>
  </si>
  <si>
    <t>丸太(原木), 4桁</t>
  </si>
  <si>
    <t>{F0D1EB95-D943-479E-8400-8B62A494B97A}</t>
  </si>
  <si>
    <t>すぎ丸太(原木)</t>
  </si>
  <si>
    <t>{3C081BFC-CDE5-4F9B-8A79-CE2E83883CA1}</t>
  </si>
  <si>
    <t>ひのき丸太(原木)</t>
  </si>
  <si>
    <t>{18071CC7-7E1B-4746-B25A-64B0EA356CF0}</t>
  </si>
  <si>
    <t>あかまつ丸太(原木)、くろまつ丸太(原木)</t>
  </si>
  <si>
    <t>{84DA8DB7-C09B-4630-9418-001DC0C7144E}</t>
  </si>
  <si>
    <t>からまつ丸太(原木)</t>
  </si>
  <si>
    <t>{3FFBCF1E-9BF0-43F9-B1D8-CCA57BAB3D49}</t>
  </si>
  <si>
    <t>木炭</t>
  </si>
  <si>
    <t>{18FF0E55-1A1B-4F0E-A123-5B5404C4D7E9}</t>
  </si>
  <si>
    <t>木炭の燃焼エネルギー</t>
  </si>
  <si>
    <t>{9E5BB345-DD97-4B0D-8EEB-2C7F5241B826}</t>
  </si>
  <si>
    <t>木材の燃焼熱量</t>
  </si>
  <si>
    <t>{EB1AF4CD-5957-443B-8C0C-E35E1D24C921}</t>
  </si>
  <si>
    <t>まぐろ類, 4桁</t>
  </si>
  <si>
    <t>{67C5D7E0-EDDF-429C-86B6-BC6F0C665EC3}</t>
  </si>
  <si>
    <t>{188EFEF1-BB62-4822-8017-D5729E9F2ED0}</t>
  </si>
  <si>
    <t>{3B263754-CE5C-47FE-B684-83C1BEEEC697}</t>
  </si>
  <si>
    <t>{6ACFC5F9-B8B5-4699-8E81-633C68549258}</t>
  </si>
  <si>
    <t>{346EE652-82E4-4AED-9B64-91A739487267}</t>
  </si>
  <si>
    <t>{BC0516F0-D78A-4ACE-BABF-3D72EBF35B67}</t>
  </si>
  <si>
    <t>{435E5248-ED79-456F-BFFD-272E4B9042FB}</t>
  </si>
  <si>
    <t>かじき類, 4桁</t>
  </si>
  <si>
    <t>{B629CFE8-0644-4EAA-B3F7-BE9EDE3A133F}</t>
  </si>
  <si>
    <t>{B7834ADE-F508-445C-AB76-BD218EEDC47E}</t>
  </si>
  <si>
    <t>{4622DF7C-5663-4D84-8A26-A2D16C82B652}</t>
  </si>
  <si>
    <t>{B29A819B-54AD-4355-82F7-6569DDF4421B}</t>
  </si>
  <si>
    <t>{8C78D701-98C6-47BB-B7DE-F3E6C855D2B0}</t>
  </si>
  <si>
    <t>かつお類, 4桁</t>
  </si>
  <si>
    <t>{E96CD621-E00A-49A2-B954-2E5B952D0DFA}</t>
  </si>
  <si>
    <t>{524DA6AB-64DD-4C47-8E68-640815AD23D1}</t>
  </si>
  <si>
    <t>{8EE5C850-6D6D-4606-97C8-DFF63596C4A0}</t>
  </si>
  <si>
    <t>さけ類、ます類, 4桁</t>
  </si>
  <si>
    <t>{6A661CC7-9498-4F33-A54F-3351E811171C}</t>
  </si>
  <si>
    <t>{8E6F66D0-71E7-46AB-A0B6-4094C9B72F5D}</t>
  </si>
  <si>
    <t>べにざけ、しろざけ、ますのすけ</t>
  </si>
  <si>
    <t>{EF5E5F29-6895-4CAA-A39B-9DC97B632279}</t>
  </si>
  <si>
    <t>{AC85990C-424F-403A-AEB1-728F9836326E}</t>
  </si>
  <si>
    <t>{9059F740-9604-49F0-A7D0-90F650CCE0D0}</t>
  </si>
  <si>
    <t>{B6C1960E-E3B3-4D72-B37D-C3F1FAC360C3}</t>
  </si>
  <si>
    <t>{9F6ED481-5797-44FC-9852-1A833F35D891}</t>
  </si>
  <si>
    <t>{4D3DFC6A-C5AB-42E5-9D61-F379FA196E26}</t>
  </si>
  <si>
    <t>その他のさけ類・ます類</t>
  </si>
  <si>
    <t>{778FC699-196D-49FA-ADFD-4DD4742C72FB}</t>
  </si>
  <si>
    <t>いわし類, 4桁</t>
  </si>
  <si>
    <t>{924B8846-D2FB-4F5D-A0B0-1407C599A7A7}</t>
  </si>
  <si>
    <t>{5B12A13D-27DE-452F-BC36-56C316DDABC6}</t>
  </si>
  <si>
    <t>{5D589AB4-97AF-4900-9A46-45091741E6B7}</t>
  </si>
  <si>
    <t>{4E65B608-A564-4FDB-8D02-DB75ACB9CA15}</t>
  </si>
  <si>
    <t>{CB309D9D-9EB4-473E-ABD7-9DD0828BD89C}</t>
  </si>
  <si>
    <t>あじ類, 4桁</t>
  </si>
  <si>
    <t>{C4F8593B-0351-49E2-B6A6-E954FE15152D}</t>
  </si>
  <si>
    <t>{D4A9CE69-FDE5-40A8-8E88-DF6715B9E402}</t>
  </si>
  <si>
    <t>{C8ECE9BF-3FB2-4D78-B1B9-494234F18C9B}</t>
  </si>
  <si>
    <t>{3F16A389-0989-4F22-84F7-FCF5D740D2D0}</t>
  </si>
  <si>
    <t>たら類, 4桁</t>
  </si>
  <si>
    <t>{8F7F721C-4E09-46C5-BE5C-6BAB5020D732}</t>
  </si>
  <si>
    <t>{84E4B996-DFEE-4169-9417-394673B5B5E9}</t>
  </si>
  <si>
    <t>{239CDEE1-BB0A-48F8-BF72-F6F294CA5860}</t>
  </si>
  <si>
    <t>たい類, 4桁</t>
  </si>
  <si>
    <t>{B8BD3DB4-F1C2-48B8-8354-573DE48FFF4C}</t>
  </si>
  <si>
    <t>{98904634-D940-4A1B-A70C-34C8DD9390B6}</t>
  </si>
  <si>
    <t>ちだい、きだい</t>
  </si>
  <si>
    <t>{B2CBDD7E-670D-42BB-B7F8-312AEA125CAD}</t>
  </si>
  <si>
    <t>くろだい、へだい</t>
  </si>
  <si>
    <t>{7CB56550-828C-4A19-9C08-A7A4657490C6}</t>
  </si>
  <si>
    <t>その他の魚類, 4桁</t>
  </si>
  <si>
    <t>{1A9A4C19-AE75-49D8-ACAA-B22259414144}</t>
  </si>
  <si>
    <t>{62853A4E-BDD8-4B85-8299-F150881BF335}</t>
  </si>
  <si>
    <t>{4188636C-63CB-4D1A-B45C-03D34CA0305E}</t>
  </si>
  <si>
    <t>{93EDFC3D-728A-4E45-A5EF-14F7E8C7F5EA}</t>
  </si>
  <si>
    <t>{9FDEE4E5-D278-445B-90C9-9D8E735AAF3B}</t>
  </si>
  <si>
    <t>{C56E53C5-9E31-4F01-A881-759073BC519C}</t>
  </si>
  <si>
    <t>{5C01EC6B-CE73-46F2-BA40-4C1314A2920E}</t>
  </si>
  <si>
    <t>{F148C453-6E11-49A1-88EB-2C66876B7586}</t>
  </si>
  <si>
    <t>{9D70E315-9D2B-4370-B2EB-F00B16ABCB3D}</t>
  </si>
  <si>
    <t>{59043C76-FBC9-492A-93EF-4B6D15791CE9}</t>
  </si>
  <si>
    <t>{0ECC344E-DB44-4E35-AFA2-B9B6DC0F0573}</t>
  </si>
  <si>
    <t>{1F86A187-63FA-46C8-BE54-279517437CE9}</t>
  </si>
  <si>
    <t>{51685F5D-2572-49D7-9E68-7F930F80E781}</t>
  </si>
  <si>
    <t>{E7EAE074-B71D-47A1-B1F5-964D001A055B}</t>
  </si>
  <si>
    <t>{95AB18C2-D211-4E3C-A720-174D9955B762}</t>
  </si>
  <si>
    <t>{D8874DB3-9AE1-4521-A085-7EF8F7C064D8}</t>
  </si>
  <si>
    <t>{CF88DD0A-0D28-4932-A1CF-27B669BC5C2C}</t>
  </si>
  <si>
    <t>{4A927922-072F-47B9-AE04-60D5A875E0AF}</t>
  </si>
  <si>
    <t>{09A380E6-E92A-4412-A543-E6DBDA0D2829}</t>
  </si>
  <si>
    <t>{405F62AB-F648-47C3-B7B2-237F78DE39E8}</t>
  </si>
  <si>
    <t>{E3810D3E-A841-4981-A66B-FCD529191CD1}</t>
  </si>
  <si>
    <t>{1E19F445-F6AE-47CC-BF7E-F251FA2A6AFB}</t>
  </si>
  <si>
    <t>にべ類、ぐち類</t>
  </si>
  <si>
    <t>{97EF8C09-D6F8-4966-B71C-8C822066C082}</t>
  </si>
  <si>
    <t>{FBD33ED0-CA9B-45A0-8C1F-71386F9245EB}</t>
  </si>
  <si>
    <t>{4D857283-1AA2-4555-88C1-9FF74C1F0170}</t>
  </si>
  <si>
    <t>{83960C14-5F55-4F64-BCE6-7DFC5BA95589}</t>
  </si>
  <si>
    <t>{4D208F8D-7BD7-466D-AFE2-A74FAAA2B525}</t>
  </si>
  <si>
    <t>{61309AD6-8244-47DB-86A1-8F86E9DE1ED5}</t>
  </si>
  <si>
    <t>{D02E49ED-DEF9-40A8-B300-8BA03A1903FF}</t>
  </si>
  <si>
    <t>{204BA836-DB48-412C-B349-6D9192496EC4}</t>
  </si>
  <si>
    <t>{C1A9106C-27A6-4D8A-B079-99579947F84C}</t>
  </si>
  <si>
    <t>{E9A94392-499D-4014-8AFE-92B582F7E50B}</t>
  </si>
  <si>
    <t>{126A85D4-A3EF-4EA0-8AE8-4EAEDB34812C}</t>
  </si>
  <si>
    <t>{D43D3B27-4CD8-4087-8DD9-EB0157FACCE5}</t>
  </si>
  <si>
    <t>{83B47C05-0B40-4486-9D03-E2FC817E73C3}</t>
  </si>
  <si>
    <t>{A6D0DC63-89C4-40CD-A3CF-B302170B2457}</t>
  </si>
  <si>
    <t>貝類, 4桁</t>
  </si>
  <si>
    <t>{7C5596F8-C37E-406D-A564-7E6A35698A1E}</t>
  </si>
  <si>
    <t>{C0890529-208E-4804-956C-BB0FF557B865}</t>
  </si>
  <si>
    <t>かき類（貝）</t>
  </si>
  <si>
    <t>{80DA6CEA-9615-47BC-A7B8-040C4806F1C7}</t>
  </si>
  <si>
    <t>{3072F489-E2F9-47DD-A431-A43DE8AB161B}</t>
  </si>
  <si>
    <t>{EDAC3A52-EEE0-4549-A76F-B898E97C5942}</t>
  </si>
  <si>
    <t>{A735C212-D2E4-4346-A1DB-88F18B3C9270}</t>
  </si>
  <si>
    <t>{DDDF417B-2BD4-4DBC-9213-7B2AA6FFCC32}</t>
  </si>
  <si>
    <t>{11A7F894-722F-4705-B03C-BC116DA0074D}</t>
  </si>
  <si>
    <t>{86DB6641-7B29-454F-8A40-3244C5C6A810}</t>
  </si>
  <si>
    <t>{F95E5A80-23DD-4908-B294-6521C7557D32}</t>
  </si>
  <si>
    <t>{A552349A-D7AF-437C-9B59-937B3DBBCA33}</t>
  </si>
  <si>
    <t>海藻類, 4桁</t>
  </si>
  <si>
    <t>{E32B8E66-2728-403F-BC08-E6BA9972C070}</t>
  </si>
  <si>
    <t>{8555B4E8-A97B-4FDB-ACB4-693B8688DB2A}</t>
  </si>
  <si>
    <t>{1E5458E0-3702-44FD-9738-56655A27A750}</t>
  </si>
  <si>
    <t>{11A04915-3937-4ACD-A136-8E2C5871EDDA}</t>
  </si>
  <si>
    <t>{D428430A-B814-4CC2-B652-CD529C99CF07}</t>
  </si>
  <si>
    <t>{368A1EF2-CAA5-4B49-A1C2-442F41A33FED}</t>
  </si>
  <si>
    <t>{0C1974B9-E671-4C20-A0A9-020ED45B11E1}</t>
  </si>
  <si>
    <t>{19F2CA6B-FBD5-488F-A61A-C1B77BD34904}</t>
  </si>
  <si>
    <t>えび類, 4桁</t>
  </si>
  <si>
    <t>{173BD214-3245-4984-ADA1-31507638824A}</t>
  </si>
  <si>
    <t>{8AEBD709-DB4A-4A4B-9C1C-E21FE8C17634}</t>
  </si>
  <si>
    <t>{5631A4FA-041B-4800-9EF3-24DE23D6F065}</t>
  </si>
  <si>
    <t>{C9B6150A-4588-4EDC-8511-05F7FD9E0E82}</t>
  </si>
  <si>
    <t>かに類, 4桁</t>
  </si>
  <si>
    <t>{D0CFC83F-D519-4525-86A5-8B8AF595B2EB}</t>
  </si>
  <si>
    <t>{4B88BF61-586B-40A5-B405-D7B5F4306C8E}</t>
  </si>
  <si>
    <t>{1E64B047-B082-459F-9A6A-3C12075AD535}</t>
  </si>
  <si>
    <t>{3E49D116-9701-4334-B723-6FF27BE357C5}</t>
  </si>
  <si>
    <t>{57977E5F-E42C-41B7-AA1B-F0513DD41BB5}</t>
  </si>
  <si>
    <t>{C4DD836F-C280-4781-A248-50723D5B0ABF}</t>
  </si>
  <si>
    <t>いか類, 4桁</t>
  </si>
  <si>
    <t>{3D7C73D8-4589-418A-B723-A5D3A3B16905}</t>
  </si>
  <si>
    <t>{4780B49E-365F-4765-8619-DB17BC63F020}</t>
  </si>
  <si>
    <t>{4F600435-FAA7-400B-932D-027B5FB4166F}</t>
  </si>
  <si>
    <t>{31694765-9154-4CA2-BA04-FA0499AFA1B9}</t>
  </si>
  <si>
    <t>{E7332134-36CB-4A65-884C-4401B93B4548}</t>
  </si>
  <si>
    <t>たこ類, 4桁</t>
  </si>
  <si>
    <t>{5E18A17F-855A-4C1B-8FE9-FD3D36C88909}</t>
  </si>
  <si>
    <t>{703E703A-BBA6-4C48-B564-6A6E2BC397F3}</t>
  </si>
  <si>
    <t>おきあみ類, 4桁</t>
  </si>
  <si>
    <t>{5B9D4989-0C9B-4F4C-BF04-3E3BFD64B9F1}</t>
  </si>
  <si>
    <t>{A551F55E-4CD2-4C3D-8F37-49A08E110B9E}</t>
  </si>
  <si>
    <t>ほや類, 4桁</t>
  </si>
  <si>
    <t>{718B544B-F198-44D5-AE2C-28E568B7A158}</t>
  </si>
  <si>
    <t>{E7E531C4-9357-46AC-9EF8-4E60D2BBAD54}</t>
  </si>
  <si>
    <t>うに類, 4桁</t>
  </si>
  <si>
    <t>{9E2F0E6C-F16B-42BB-A369-4D079FA86D52}</t>
  </si>
  <si>
    <t>{E10D730B-F9F9-4660-B724-1814D8242EC2}</t>
  </si>
  <si>
    <t>なまこ類, 4桁</t>
  </si>
  <si>
    <t>{2A08DF0F-CE55-44FA-AF14-67834F74D18D}</t>
  </si>
  <si>
    <t>{A3C1A21A-139F-4754-8B4C-7BCB5B17E293}</t>
  </si>
  <si>
    <t>海産ほ乳類, 4桁</t>
  </si>
  <si>
    <t>{FECD2A98-2603-4580-A9D7-CA799BBB8EFF}</t>
  </si>
  <si>
    <t>{1193210B-F492-46EA-BFDB-D1180753C89F}</t>
  </si>
  <si>
    <t>真珠, 4桁</t>
  </si>
  <si>
    <t>{13496ADC-CB59-4DAC-BAFC-19A2E15F308B}</t>
  </si>
  <si>
    <t>真珠</t>
  </si>
  <si>
    <t>{2651F730-F659-4892-A480-C365AD1026C3}</t>
  </si>
  <si>
    <t>他に分類されないその他の水産動物類, 4桁</t>
  </si>
  <si>
    <t>{4A331A21-94C0-492A-8DF8-7DB05B64C026}</t>
  </si>
  <si>
    <t>他に分類されないその他の水産動物類</t>
  </si>
  <si>
    <t>{3AC9EC58-BD7D-4674-B881-23B1521B592A}</t>
  </si>
  <si>
    <t>石炭・亜炭, 4桁</t>
  </si>
  <si>
    <t>{A5AD5504-70FA-4AE4-A06C-CEDBF673CFAE}</t>
  </si>
  <si>
    <t>{D79C0CC4-8CCB-4575-AA84-993A238F8860}</t>
  </si>
  <si>
    <t>原料炭の燃焼エネルギー, コークス用</t>
  </si>
  <si>
    <t>{C6177B53-5DB7-463B-93B5-C77EF73184A2}</t>
  </si>
  <si>
    <t>原料炭の燃焼エネルギー, 吹込用</t>
  </si>
  <si>
    <t>{99EB2A9C-B6CD-4694-B370-F66B932FF627}</t>
  </si>
  <si>
    <t>{5B816779-44FD-4C49-ABF2-11BF44ACB082}</t>
  </si>
  <si>
    <t>一般炭の燃焼エネルギー</t>
  </si>
  <si>
    <t>{84C6771A-E5DE-4886-9B8B-B1D15679E4FC}</t>
  </si>
  <si>
    <t>無煙炭の燃焼エネルギー</t>
  </si>
  <si>
    <t>{DD8193E5-B534-4890-B940-71D1DBB73F92}</t>
  </si>
  <si>
    <t>{65F39355-64D6-4704-9CCE-0BB005B21CD3}</t>
  </si>
  <si>
    <t>原油・天然ガス, 4桁</t>
  </si>
  <si>
    <t>{793D5045-8E24-4353-BBC8-2E0249D454F2}</t>
  </si>
  <si>
    <t>{355C01F6-613C-470A-B118-988FB38CA757}</t>
  </si>
  <si>
    <t>原油の燃焼エネルギー</t>
  </si>
  <si>
    <t>{183CCD50-D11E-49B3-9080-89DA90710486}</t>
  </si>
  <si>
    <t>{5A9709CC-2E2D-466D-B160-ABB7DCDD823F}</t>
  </si>
  <si>
    <t>{8CB39A99-A530-40EB-A668-B5EAE515F64D}</t>
  </si>
  <si>
    <t>天然ガスの燃焼エネルギー</t>
  </si>
  <si>
    <t>{E759CF0B-E506-4CC1-B4C8-1C2347FE0BA0}</t>
  </si>
  <si>
    <t>kcal</t>
  </si>
  <si>
    <t>LNGの燃焼エネルギー</t>
  </si>
  <si>
    <t>{317EE39C-F2B7-43AC-9357-3053B39EF06E}</t>
  </si>
  <si>
    <t>天然ガス液(NGL)の燃焼エネルギー</t>
  </si>
  <si>
    <t>{7B459BA9-B0DB-4125-864E-8ED55789EE81}</t>
  </si>
  <si>
    <t>液化天然ガス（LNG）の燃焼エネルギー, 内燃機関, ガスタービン（輸送用を除く）</t>
  </si>
  <si>
    <t>{A0BAB902-EA5B-4346-9ED5-31D35636E5BD}</t>
  </si>
  <si>
    <t>液化天然ガス（LNG）の燃焼エネルギー, 内燃機関, ディーゼル機関（輸送用を除く）</t>
  </si>
  <si>
    <t>{A2B37464-D120-44BE-9B23-1E5D1B27C047}</t>
  </si>
  <si>
    <t>天然ガスの燃焼エネルギー, 内燃機関, ガスタービン（輸送用を除く）</t>
  </si>
  <si>
    <t>{3ACB6152-AF83-4BAF-92D6-9C187DE930BC}</t>
  </si>
  <si>
    <t>{E7C52BD7-7F51-4765-BF82-CCE01F95B248}</t>
  </si>
  <si>
    <t>{A62485EB-9799-484F-BEAF-F657EF943B3D}</t>
  </si>
  <si>
    <t>銅鉱石, 精鉱</t>
  </si>
  <si>
    <t>{E2D86AA1-8869-4288-9E35-C4B6BBA7BFF5}</t>
  </si>
  <si>
    <t>鉛鉱石, 精鉱</t>
  </si>
  <si>
    <t>{C38BBD16-D31A-437E-94BA-6E15A61456EE}</t>
  </si>
  <si>
    <t>亜鉛鉱石, 精鉱</t>
  </si>
  <si>
    <t>{15DDFC57-D57F-4711-AF82-82557F25C7AD}</t>
  </si>
  <si>
    <t>貴金属鉱石（金銀鉱）, 精鉱</t>
  </si>
  <si>
    <t>{1C249237-F45D-40BE-B014-29D1702D2EBD}</t>
  </si>
  <si>
    <t>その他の金属鉱石, 精鉱</t>
  </si>
  <si>
    <t>{AB0A83BE-B1AF-4F34-8794-5823C19BE204}</t>
  </si>
  <si>
    <t>マンガン鉱石, 精鉱</t>
  </si>
  <si>
    <t>{3AE33C82-4F13-4F5E-9CCE-DC1718DE8A2E}</t>
  </si>
  <si>
    <t>鉄マンガン鉱石, 精鉱</t>
  </si>
  <si>
    <t>{95990836-3A03-4172-A213-84B4CDCC49BF}</t>
  </si>
  <si>
    <t>クロム鉱石, 精鉱</t>
  </si>
  <si>
    <t>{16AD58AD-5300-45BC-A412-3DF988DFCAA3}</t>
  </si>
  <si>
    <t>タングステン鉱石, 精鉱</t>
  </si>
  <si>
    <t>{C0CE0E8A-ECC5-4D54-BD2C-E81E4FF89754}</t>
  </si>
  <si>
    <t>モリブデン鉱石, 精鉱</t>
  </si>
  <si>
    <t>{11B36C98-3AED-4178-86A4-C62D4072A70D}</t>
  </si>
  <si>
    <t>バナジウム鉱石, 精鉱</t>
  </si>
  <si>
    <t>{74C56FB5-C26B-41F2-A94B-07EF36976182}</t>
  </si>
  <si>
    <t>{37CD678F-16A2-443E-9603-BC9EB48ADF35}</t>
  </si>
  <si>
    <t>非金属鉱物, 4桁</t>
  </si>
  <si>
    <t>{0684C803-EE81-42FC-96F4-B05DBD5231E0}</t>
  </si>
  <si>
    <t>採石・砂・砂利・玉石</t>
  </si>
  <si>
    <t>{7FC504DC-8755-4A0E-B71D-64CB353C3607}</t>
  </si>
  <si>
    <t>{97AB79FB-861B-4DFD-8727-9E2565D47B58}</t>
  </si>
  <si>
    <t>{96FB8CBD-EBE1-4CD9-8E5F-90A89BC94BE3}</t>
  </si>
  <si>
    <t>{0441BC5E-B27E-4AAD-B93A-3BABAF229835}</t>
  </si>
  <si>
    <t>{0B24272D-3278-457E-918D-DF9A132E397F}</t>
  </si>
  <si>
    <t>{E68DBB9D-6C84-4CF3-BBF5-68E84048E295}</t>
  </si>
  <si>
    <t>{B9753D67-F3E6-48DC-8113-8A9D9A6FAC82}</t>
  </si>
  <si>
    <t>{1FFB5578-72B9-4D9D-A840-108EC5466D1B}</t>
  </si>
  <si>
    <t>{B9707ADC-FE10-4961-B68E-8730BD44F9C5}</t>
  </si>
  <si>
    <t>{7A6193D1-84B2-4F4C-954A-D70201EB4A71}</t>
  </si>
  <si>
    <t>{67F8C173-CAEA-40A9-965E-DFE12F920E2C}</t>
  </si>
  <si>
    <t>{AE5481E2-DF66-4B85-8FAF-9363B8C08F5F}</t>
  </si>
  <si>
    <t>{4E59C0E7-4519-4FFF-9DC8-8014FB06360F}</t>
  </si>
  <si>
    <t>{7247F4D1-A5C4-4B81-9CE5-1965D9F22E37}</t>
  </si>
  <si>
    <t>{98F00B22-1435-4238-B334-B6370C737701}</t>
  </si>
  <si>
    <t>{93292570-83CC-4F72-9BC5-3C3C155ED2EF}</t>
  </si>
  <si>
    <t>{771F4AB7-65DE-4555-A2A8-3BE34D1EBC6F}</t>
  </si>
  <si>
    <t>{985C7F22-B1CF-4FC5-A0A9-B8633D2E5D1A}</t>
  </si>
  <si>
    <t>ダイヤモンド原石, 宝飾用</t>
  </si>
  <si>
    <t>{E48B63A3-DE21-4E72-96B8-1F2D1CA037F4}</t>
  </si>
  <si>
    <t>ダイヤモンド原石, 工業用</t>
  </si>
  <si>
    <t>{2D40D0A2-5879-447B-91CA-A24430A081B3}</t>
  </si>
  <si>
    <t>木造住宅, 4桁</t>
  </si>
  <si>
    <t>{06D9DEBF-1C7A-4EE4-BEC1-CE92B0C58482}</t>
  </si>
  <si>
    <t>{4F0AF74E-7D56-474A-A988-45D37E632634}</t>
  </si>
  <si>
    <t>{F371747D-034D-4973-943C-D06A7578194D}</t>
  </si>
  <si>
    <t>SRC住宅, 4桁</t>
  </si>
  <si>
    <t>{4DE63589-2379-444F-9FAB-CADDA9865508}</t>
  </si>
  <si>
    <t>{BFE392B7-DE25-44F3-914F-EA4CC08EB74D}</t>
  </si>
  <si>
    <t>RC住宅, 4桁</t>
  </si>
  <si>
    <t>{77BCCD71-3222-4CF1-ABFF-8E770080F8E8}</t>
  </si>
  <si>
    <t>{89A2E2F2-3FD8-47BB-98AD-65757C071D6D}</t>
  </si>
  <si>
    <t>{F1C5D759-5046-4429-ABD3-DA05A7B216CB}</t>
  </si>
  <si>
    <t>S住宅, 4桁</t>
  </si>
  <si>
    <t>{263BAFAD-5C08-471A-8A63-1A78670B7C7A}</t>
  </si>
  <si>
    <t>{981B7519-9DC0-4E62-B642-02F6545D89BF}</t>
  </si>
  <si>
    <t>{1DE61BE8-A08E-46D3-B2BA-C2E111E8D2CE}</t>
  </si>
  <si>
    <t>CB住宅, 4桁</t>
  </si>
  <si>
    <t>{083ED267-138A-4A86-86E3-23E917BFAB27}</t>
  </si>
  <si>
    <t>{AC63383C-77F2-4A6A-8BFF-4FE0353E0324}</t>
  </si>
  <si>
    <t>木造工場, 4桁</t>
  </si>
  <si>
    <t>{73D4236A-0049-4414-BE7D-DA6AECD65467}</t>
  </si>
  <si>
    <t>{CA137E3C-F5C6-454E-87E7-479999DAC92E}</t>
  </si>
  <si>
    <t>木造事務所, 4桁</t>
  </si>
  <si>
    <t>{7FAF0651-798E-4224-A51A-F36D2E9F18F0}</t>
  </si>
  <si>
    <t>{1BB99B26-29B9-4B7F-AAA5-F5E2F63244BA}</t>
  </si>
  <si>
    <t>SRC工場, 4桁</t>
  </si>
  <si>
    <t>{162AB68F-3BE2-4458-9E89-F16072B141B6}</t>
  </si>
  <si>
    <t>{F4E12C94-C7D5-444A-9EC0-DD941C97CCC1}</t>
  </si>
  <si>
    <t>SRC事務所, 4桁</t>
  </si>
  <si>
    <t>{F152F98C-366D-4576-8D2C-E128E65BBDA4}</t>
  </si>
  <si>
    <t>{819C0FD3-DBEE-4FC3-8664-F0B994891618}</t>
  </si>
  <si>
    <t>RC工場, 4桁</t>
  </si>
  <si>
    <t>{1526CCBA-02BD-4AE1-B15A-BC275C96AD80}</t>
  </si>
  <si>
    <t>{94B56AA4-94DB-4D35-93D7-4F8EFD5189AA}</t>
  </si>
  <si>
    <t>RC学校, 4桁</t>
  </si>
  <si>
    <t>{B3F81145-1568-451B-86F4-51EA7069BD58}</t>
  </si>
  <si>
    <t>{B1670FDC-38D1-4180-954F-0B8A7B74B2AF}</t>
  </si>
  <si>
    <t>RC事務所, 4桁</t>
  </si>
  <si>
    <t>{82013555-FA99-4432-8D47-37C8C5A19794}</t>
  </si>
  <si>
    <t>{6066175E-A9F8-414C-8827-9D94BF8BE45E}</t>
  </si>
  <si>
    <t>S工場, 4桁</t>
  </si>
  <si>
    <t>{ABCA9B1F-6186-4BE7-956E-72A784C34DC2}</t>
  </si>
  <si>
    <t>{1E6A799D-66FC-4407-A776-C274C988E87A}</t>
  </si>
  <si>
    <t>S事務所, 4桁</t>
  </si>
  <si>
    <t>{BF2E48A5-239C-4CB5-B0C3-B8BF9D076EB2}</t>
  </si>
  <si>
    <t>{478C3469-E106-4792-B1A2-83882977AE67}</t>
  </si>
  <si>
    <t>CB非住宅, 4桁</t>
  </si>
  <si>
    <t>{8D38D0E4-AC8F-4C71-8E17-E31AF7E4BB59}</t>
  </si>
  <si>
    <t>{92E22C45-5BF0-41D5-B847-F66D5A0D3CDA}</t>
  </si>
  <si>
    <t>建設補修, 4桁</t>
  </si>
  <si>
    <t>{085DFD56-DEF2-4AF5-A399-DDB4399174A5}</t>
  </si>
  <si>
    <t>{BFC4CF35-662A-4250-9A9A-DFB98913D975}</t>
  </si>
  <si>
    <t>肉製品, 4桁</t>
  </si>
  <si>
    <t>{5F5C8C63-4883-4F6B-AC1D-4BD1EBD440CE}</t>
  </si>
  <si>
    <t>部分肉・冷凍肉(ブロイラーを除く)</t>
  </si>
  <si>
    <t>{7D4634CF-859D-48BE-849A-C3265A346076}</t>
  </si>
  <si>
    <t>牛部分肉</t>
  </si>
  <si>
    <t>{C4B0FACA-4324-424A-AF4E-F931900A1DEC}</t>
  </si>
  <si>
    <t>豚部分肉</t>
  </si>
  <si>
    <t>{2B5211D3-5B04-4BDC-9865-E3E74997064B}</t>
  </si>
  <si>
    <t>豚枝肉</t>
  </si>
  <si>
    <t>{1951BEEC-2382-4BF1-A5C8-4504D6328A72}</t>
  </si>
  <si>
    <t>牛枝肉</t>
  </si>
  <si>
    <t>{8FC5FBD7-E3F5-46DD-B3EA-B0C109880DC0}</t>
  </si>
  <si>
    <t>牛・豚以外の部分肉</t>
  </si>
  <si>
    <t>{07F0F3EA-E3E8-43C1-9527-D65FDE8B06E7}</t>
  </si>
  <si>
    <t>肉缶詰、瓶詰、つぼ詰</t>
  </si>
  <si>
    <t>{EAD4BFA0-9BAC-4F94-B6F5-9C5A90CDE8AF}</t>
  </si>
  <si>
    <t>{8AED8379-28A8-4536-A78C-A97EE5C2B076}</t>
  </si>
  <si>
    <t>乳製品, 4桁</t>
  </si>
  <si>
    <t>{DF41F366-596D-4A16-B3CB-A5F153D9BD06}</t>
  </si>
  <si>
    <t>{02292FD7-2C2D-4EC0-953E-7A30F375069F}</t>
  </si>
  <si>
    <t>{B7DE38E9-6310-47E3-B2AB-F6CEAFC9E105}</t>
  </si>
  <si>
    <t>{63797525-E413-4524-8A76-FD524EFDF28C}</t>
  </si>
  <si>
    <t>{6DD29EE3-871A-4F0D-9612-8FF6C30EB0EB}</t>
  </si>
  <si>
    <t>クリーム（乳製品）</t>
  </si>
  <si>
    <t>{4FF51282-ACD1-4144-9428-766AE6F7DBCE}</t>
  </si>
  <si>
    <t>{1514A08C-7BCF-47A5-A8F3-381F3CF5EE95}</t>
  </si>
  <si>
    <t>{7AB4200D-031D-475A-9C57-0D69A4DD7C3A}</t>
  </si>
  <si>
    <t>{46CDE09E-A888-4131-B30A-837489915AE7}</t>
  </si>
  <si>
    <t>その他の畜産食料品, 4桁</t>
  </si>
  <si>
    <t>{47865176-FEFE-45F1-9ACE-969C705A3E45}</t>
  </si>
  <si>
    <t>{062EEAEF-2B13-4FE7-A4D0-380D1AECC229}</t>
  </si>
  <si>
    <t>その他の畜産食料品(ブロイラー加工品を除く)</t>
  </si>
  <si>
    <t>{F5D62924-1D45-46B5-AE44-C25D257B75DB}</t>
  </si>
  <si>
    <t>水産缶詰・瓶詰, 4桁</t>
  </si>
  <si>
    <t>{A88F6167-E03C-489C-8B87-D2A373AF2617}</t>
  </si>
  <si>
    <t>{7124F5FD-99DF-442B-8607-866E174B4312}</t>
  </si>
  <si>
    <t>{7B8EF4A0-D46F-4908-8072-238B514280DE}</t>
  </si>
  <si>
    <t>その他の水産缶詰、その他の水産瓶詰</t>
  </si>
  <si>
    <t>{1AC09F2F-4C55-4220-9159-C9EB0E2D1927}</t>
  </si>
  <si>
    <t>海藻加工品, 4桁</t>
  </si>
  <si>
    <t>{825A0E6F-D2F2-4DEE-A9E4-ADC271FBB857}</t>
  </si>
  <si>
    <t>{4104B707-3965-4D86-9D91-6DBB0D1D6CBF}</t>
  </si>
  <si>
    <t>水産練製品, 4桁</t>
  </si>
  <si>
    <t>{92F85427-13E0-434D-A059-4C9688793490}</t>
  </si>
  <si>
    <t>{ED789B53-2C6C-4AB1-BE49-5BEBC77AB922}</t>
  </si>
  <si>
    <t>水産練製品(魚肉ハム・ソーセージを除く)</t>
  </si>
  <si>
    <t>{8B1CDE27-51C2-427A-988F-3ECBCFF39D57}</t>
  </si>
  <si>
    <t>塩干・塩蔵品, 4桁</t>
  </si>
  <si>
    <t>{85A21EF1-9D7F-447E-8ABD-3158AF6A61CB}</t>
  </si>
  <si>
    <t>{C4C2A17A-A1C2-4F64-B4AE-94EC73577BB3}</t>
  </si>
  <si>
    <t>冷凍水産物, 4桁</t>
  </si>
  <si>
    <t>{84B3A0E3-ABBB-410A-ADD3-423103D2D0A2}</t>
  </si>
  <si>
    <t>{F8A9E2CB-CAEB-4336-80E6-EB08ECA7A619}</t>
  </si>
  <si>
    <t>冷凍水産食品, 4桁</t>
  </si>
  <si>
    <t>{5D9B22CB-4967-4614-8E30-02E56737C99D}</t>
  </si>
  <si>
    <t>{696CE5A1-F15D-4011-829C-BA01BE17B2BA}</t>
  </si>
  <si>
    <t>その他の水産食料品, 4桁</t>
  </si>
  <si>
    <t>{DCC6D8A1-A078-489D-9E1F-3A37E16705DB}</t>
  </si>
  <si>
    <t>素干、煮干</t>
  </si>
  <si>
    <t>{22A6EFAE-0D59-49FC-866D-84C12DB4035B}</t>
  </si>
  <si>
    <t>その他の水産食料品(素干、煮干を除く)</t>
  </si>
  <si>
    <t>{D9804DE7-3F44-46F7-A2B6-F4B32EA23400}</t>
  </si>
  <si>
    <t>野菜缶詰、果実缶詰、農産保存食料品, 4桁</t>
  </si>
  <si>
    <t>{7A989F96-66BE-45BA-9EEC-90AAD0C01304}</t>
  </si>
  <si>
    <t>野菜缶詰(瓶詰、つぼ詰を含む)</t>
  </si>
  <si>
    <t>{B1E7E389-754F-4C7C-9EEB-85D90EE3C5D4}</t>
  </si>
  <si>
    <t>果実缶詰(瓶詰、つぼ詰を含む)</t>
  </si>
  <si>
    <t>{678246B0-86C2-47E1-B523-E7BD0D055116}</t>
  </si>
  <si>
    <t>その他の缶詰(瓶詰、つぼ詰を含む)</t>
  </si>
  <si>
    <t>{9A5618A0-8966-4FDB-9388-A3572F72AEF4}</t>
  </si>
  <si>
    <t>{B8EB7730-ED30-4128-9835-B2D11E758826}</t>
  </si>
  <si>
    <t>{E9279723-8DAA-4E3A-9102-DAB3D54D0EF6}</t>
  </si>
  <si>
    <t>野菜漬物(果実漬物を含む), 4桁</t>
  </si>
  <si>
    <t>{7B849B7D-26CF-457B-9D8A-8D0A90D92FAB}</t>
  </si>
  <si>
    <t>野菜漬物(果実漬物を含む)</t>
  </si>
  <si>
    <t>{C277401F-868D-4758-923E-515F97B679E4}</t>
  </si>
  <si>
    <t>味そ, 4桁</t>
  </si>
  <si>
    <t>{BD740E43-E522-4924-B5B2-64B8FE3B204B}</t>
  </si>
  <si>
    <t>味そ</t>
  </si>
  <si>
    <t>{EBA3F092-B650-4A85-A007-2DAE81BD14B8}</t>
  </si>
  <si>
    <t>しょう油、食用アミノ酸, 4桁</t>
  </si>
  <si>
    <t>{17A86E35-0DF9-4BA2-9B1F-2EFE116BD51A}</t>
  </si>
  <si>
    <t>{390F9CB2-4D9B-46CC-8D7D-017FBDBFC3B3}</t>
  </si>
  <si>
    <t>食用アミノ酸</t>
  </si>
  <si>
    <t>{11D60130-04C1-44DC-A653-7EB9347E992E}</t>
  </si>
  <si>
    <t>{78E386BD-5FE3-46CE-A1CA-CEB8859490AD}</t>
  </si>
  <si>
    <t>グルタミン酸ソーダ, 4桁</t>
  </si>
  <si>
    <t>{11BB2E57-0063-4E90-A027-6D291073A5CC}</t>
  </si>
  <si>
    <t>{E9BBC248-F982-40E0-B0E6-D027FECEED05}</t>
  </si>
  <si>
    <t>ソース, 4桁</t>
  </si>
  <si>
    <t>{0074CB5D-AA8F-40A1-BF83-365DA550F920}</t>
  </si>
  <si>
    <t>{5FFE1B0C-E002-400B-BC94-5DCC726265AB}</t>
  </si>
  <si>
    <t>{DF072EDA-BF14-4E5E-90CE-F8F819C2406D}</t>
  </si>
  <si>
    <t>食酢, 4桁</t>
  </si>
  <si>
    <t>{EE02DAA0-1398-414F-B240-39CBE590F8E1}</t>
  </si>
  <si>
    <t>{30BD4580-B46E-4EE2-BD0B-698DD0BD8D21}</t>
  </si>
  <si>
    <t>その他の調味料, 4桁</t>
  </si>
  <si>
    <t>{594A40B8-1840-46C7-9E56-8BF6A681D238}</t>
  </si>
  <si>
    <t>{F775640E-4CF9-4347-9389-A05FFC5E6E40}</t>
  </si>
  <si>
    <t>{8A6E19C1-A481-4F06-9380-039C54EEB83E}</t>
  </si>
  <si>
    <t>その他の調味料(香辛料、ルウ類を除く)</t>
  </si>
  <si>
    <t>{11B29EC3-665F-408D-AC5A-BE9EB515D218}</t>
  </si>
  <si>
    <t>粗糖(糖みつ、黒糖を含む), 4桁</t>
  </si>
  <si>
    <t>{33C0E7C2-DDC7-4BDA-A141-A86615DB005E}</t>
  </si>
  <si>
    <t>粗糖(糖みつ、黒糖を含む)</t>
  </si>
  <si>
    <t>{B00DB182-04F0-4067-8ED9-27A5EC939583}</t>
  </si>
  <si>
    <t>粗糖,甘しゃ,沖縄・鹿児島</t>
  </si>
  <si>
    <t>{6840EE66-472F-4E7A-95C2-81CAB26F8AE3}</t>
  </si>
  <si>
    <t>糖蜜,沖縄・鹿児島</t>
  </si>
  <si>
    <t>{3666653E-A2A7-44C7-8C8C-4A9B5BFA7D5D}</t>
  </si>
  <si>
    <t>精製糖, 4桁</t>
  </si>
  <si>
    <t>{AD648DD3-F466-4F11-B557-6D9C94CA56D7}</t>
  </si>
  <si>
    <t>{A5D2B666-4105-4769-B259-C1C8B72AECDE}</t>
  </si>
  <si>
    <t>ぶどう糖、水あめ、異性化糖, 4桁</t>
  </si>
  <si>
    <t>{9BF21B9C-3E14-42A4-B9EF-DA3A9043D713}</t>
  </si>
  <si>
    <t>{DFFBB212-C515-43B2-9C5D-4A435BD56B22}</t>
  </si>
  <si>
    <t>{80650552-3EAB-432D-B1BB-A6627777801C}</t>
  </si>
  <si>
    <t>{ABEF1058-EF7A-4353-A17D-14CCC4910943}</t>
  </si>
  <si>
    <t>精米, 4桁</t>
  </si>
  <si>
    <t>{675D4D21-F45F-43E5-91FC-6094D6D74AF2}</t>
  </si>
  <si>
    <t>{F33E7A7E-BB7C-42E9-9784-05978C3B8F2B}</t>
  </si>
  <si>
    <t>精麦, 4桁</t>
  </si>
  <si>
    <t>{9F803273-3559-4AFE-9479-C8DB1431A220}</t>
  </si>
  <si>
    <t>{AC6E248D-B2AD-4AB3-A468-1908A4281BE1}</t>
  </si>
  <si>
    <t>小麦粉, 4桁</t>
  </si>
  <si>
    <t>{29976D07-EA60-4F2A-92AC-4100B95D7894}</t>
  </si>
  <si>
    <t>{2953BAF2-6F6A-4119-91A4-822EA4FC5EEC}</t>
  </si>
  <si>
    <t>その他の精穀品、その他の製粉品, 4桁</t>
  </si>
  <si>
    <t>{A04EC209-2537-4B2A-ACC5-FD543601AF21}</t>
  </si>
  <si>
    <t>{423D057B-5D03-4620-8CD5-FAEBA2CEAF8E}</t>
  </si>
  <si>
    <t>その他の精穀品、その他の製粉品(こんにゃく粉を除く)</t>
  </si>
  <si>
    <t>{AEAEB370-DC68-40C4-AAEA-418740702F07}</t>
  </si>
  <si>
    <t>パン, 4桁</t>
  </si>
  <si>
    <t>{E9BE23CC-2996-4F64-B97F-B12DFB698D6E}</t>
  </si>
  <si>
    <t>斤</t>
  </si>
  <si>
    <t>{74794116-B8B9-496B-880B-89E3213BD831}</t>
  </si>
  <si>
    <t>{3A26F91D-A92B-4E62-87A1-68BFB338A381}</t>
  </si>
  <si>
    <t>生菓子, 4桁</t>
  </si>
  <si>
    <t>{E0E18D31-2643-4175-BC02-19464DA8B10B}</t>
  </si>
  <si>
    <t>{C9968064-18F3-4CCA-85A5-71DA0D2A9930}</t>
  </si>
  <si>
    <t>{B568C191-9195-4F07-92FB-39A214D4FF85}</t>
  </si>
  <si>
    <t>ビスケット類、干菓子, 4桁</t>
  </si>
  <si>
    <t>{289A5703-E2F3-430E-A420-8074238DF1A2}</t>
  </si>
  <si>
    <t>{977EE45A-5D2F-4BA8-9A39-CB325199A494}</t>
  </si>
  <si>
    <t>米菓, 4桁</t>
  </si>
  <si>
    <t>{7DDFA3D0-2C8F-4564-A42B-D93A85737E5F}</t>
  </si>
  <si>
    <t>{E451EC98-97EB-4025-88C8-B00DD5B55A49}</t>
  </si>
  <si>
    <t>その他のパン、その他の菓子, 4桁</t>
  </si>
  <si>
    <t>{DB3FD8BF-5C69-41BE-AC51-BECD75103692}</t>
  </si>
  <si>
    <t>{49A8B459-E5BB-4EA6-9E6B-9625F26A1CB1}</t>
  </si>
  <si>
    <t>{784B0F54-6F4B-45BE-8D80-A52621C27645}</t>
  </si>
  <si>
    <t>{EFBE4FDB-2097-40EB-9615-260BB8E57B66}</t>
  </si>
  <si>
    <t>植物油脂, 4桁</t>
  </si>
  <si>
    <t>{9C1EE90F-1AAA-41C0-89DA-9E3291FB45B1}</t>
  </si>
  <si>
    <t>{B73C8B24-E476-4ACE-A6DC-51A25F269C2F}</t>
  </si>
  <si>
    <t>{2F2C1AD9-62C7-46BC-A556-97B69E9D3FA2}</t>
  </si>
  <si>
    <t>{0596F3D3-B80A-4029-9589-8A0DBCB514C0}</t>
  </si>
  <si>
    <t>{81C9D6F2-39BC-4427-AB9C-2B4432EF2AC5}</t>
  </si>
  <si>
    <t>動物油脂, 4桁</t>
  </si>
  <si>
    <t>{0155D1A9-8596-453A-BEF2-BD7551EF1573}</t>
  </si>
  <si>
    <t>{15836798-9887-4A66-A1C4-1BE448E46632}</t>
  </si>
  <si>
    <t>{B21A4AB8-E9D9-448B-8528-C8994C3379E7}</t>
  </si>
  <si>
    <t>{52E88238-6CBC-48B8-94DE-E680AC67F269}</t>
  </si>
  <si>
    <t>食用油脂, 4桁</t>
  </si>
  <si>
    <t>{5484CB90-FABA-4271-A9DC-5939905B1A7B}</t>
  </si>
  <si>
    <t>{3FD0BCC5-AA8E-4B0F-8B94-D10F79DEBB6D}</t>
  </si>
  <si>
    <t>{456E29E0-AB0D-4ABF-873C-8ED9B173224A}</t>
  </si>
  <si>
    <t>{F59A58D4-AE9B-4594-A774-0CE591E53F7B}</t>
  </si>
  <si>
    <t>でんぷん, 4桁</t>
  </si>
  <si>
    <t>{3076E7AB-099B-46AD-9B72-63E5B8308456}</t>
  </si>
  <si>
    <t>{8B2C6186-727F-48D1-AE28-34A69453C9A7}</t>
  </si>
  <si>
    <t>めん類, 4桁</t>
  </si>
  <si>
    <t>{345F8DAF-A2C9-47C9-97A8-3E09454E814F}</t>
  </si>
  <si>
    <t>{EA5664A4-2947-4136-A910-9E77C474D9C6}</t>
  </si>
  <si>
    <t>{F1640A4C-E69D-4400-93A1-4F92314D319F}</t>
  </si>
  <si>
    <t>{CCB719FA-B1FA-4E76-9A0B-69BE309F61C6}</t>
  </si>
  <si>
    <t>{2D622947-A146-4A19-B8D2-6CB7BF3F8D34}</t>
  </si>
  <si>
    <t>豆腐、油揚げ類, 4桁</t>
  </si>
  <si>
    <t>{17E21D44-A2DE-4289-851E-0C23E849F83D}</t>
  </si>
  <si>
    <t>{63C1CED1-7DB4-431C-A893-9EA083EE64A6}</t>
  </si>
  <si>
    <t>あん類, 4桁</t>
  </si>
  <si>
    <t>{FCC307B0-F6F1-48EB-834C-3923D78978AE}</t>
  </si>
  <si>
    <t>{AF02024A-4B17-46E5-A19F-BC5947A4D37F}</t>
  </si>
  <si>
    <t>冷凍調理食品, 4桁</t>
  </si>
  <si>
    <t>{36D097B1-325B-4B92-A3AA-5FCCDADC3EA4}</t>
  </si>
  <si>
    <t>{426391AB-F85D-460C-A976-9277AB94BB84}</t>
  </si>
  <si>
    <t>そう菜</t>
  </si>
  <si>
    <t>{10392138-60B8-491D-B4D0-5E4C62F46E37}</t>
  </si>
  <si>
    <t>清涼飲料, 4桁</t>
  </si>
  <si>
    <t>{35A3EBF3-399B-4D66-A7CB-34CC72679BFF}</t>
  </si>
  <si>
    <t>{AFAF73B6-54D1-484D-8A9D-AF2792B9AE77}</t>
  </si>
  <si>
    <t>{1A757A3B-4D11-4EFE-9C38-50075B097849}</t>
  </si>
  <si>
    <t>{01F07BDB-25A1-485A-9836-87CC8658C9A7}</t>
  </si>
  <si>
    <t>{1AEB0288-DE39-4529-B8E0-18BDF765310A}</t>
  </si>
  <si>
    <t>{D0697BED-7EDE-4F0E-BFFC-43BE5A4F1984}</t>
  </si>
  <si>
    <t>{3F11FD8E-4FD6-4A6D-91B6-5E1BF46E486F}</t>
  </si>
  <si>
    <t>果実酒, 4桁</t>
  </si>
  <si>
    <t>{B4137C12-D849-4067-AE3D-F420BB5D2852}</t>
  </si>
  <si>
    <t>{B1824ED9-1B5A-4BC3-A88E-CA69DF855142}</t>
  </si>
  <si>
    <t>ビール, 4桁</t>
  </si>
  <si>
    <t>{8CF9652B-6B8A-4B55-A9FF-741BFA8AB2BC}</t>
  </si>
  <si>
    <t>{2024F0C4-0792-4D50-8B4B-AD64BEEB2B1B}</t>
  </si>
  <si>
    <t>清酒, 4桁</t>
  </si>
  <si>
    <t>{9F5B12C5-88D9-40FD-9AC5-7CF14D274BC0}</t>
  </si>
  <si>
    <t>{6DFAEDE1-11C3-4F22-BB0B-6D7952EE1577}</t>
  </si>
  <si>
    <t>蒸留酒、混成酒, 4桁</t>
  </si>
  <si>
    <t>{FF6BB27C-F3D4-4F5F-9BFA-0A365CCB99BD}</t>
  </si>
  <si>
    <t>添加用アルコール, 飲料用, 95%換算</t>
  </si>
  <si>
    <t>{21EDBF8C-51FB-45A2-A2B3-E54E3ADE7D04}</t>
  </si>
  <si>
    <t>{16DF49F1-D3D0-417E-B5C5-89635B3D0A9C}</t>
  </si>
  <si>
    <t>{6F99035E-BFE3-47B4-83A9-36237415ADD2}</t>
  </si>
  <si>
    <t>{20479194-ACA2-41FC-9893-1104F0141685}</t>
  </si>
  <si>
    <t>{E06E2A16-C76F-43DA-95B6-21C56120A5D5}</t>
  </si>
  <si>
    <t>{C0D96BB7-3D11-49A9-AFB4-B83C4A5D5255}</t>
  </si>
  <si>
    <t>その他の蒸留酒、その他の混成酒</t>
  </si>
  <si>
    <t>{444183A7-A382-44B1-B0CA-B361B18F00EE}</t>
  </si>
  <si>
    <t>製茶, 4桁</t>
  </si>
  <si>
    <t>{737F5434-F380-4579-94F5-548E36665A9A}</t>
  </si>
  <si>
    <t>{2D1ADDE8-46E9-44CB-A8C6-EA532223975A}</t>
  </si>
  <si>
    <t>緑茶, 仕上茶</t>
  </si>
  <si>
    <t>{9D96E07A-1622-4577-98CE-0A247426B992}</t>
  </si>
  <si>
    <t>紅茶, 仕上茶</t>
  </si>
  <si>
    <t>{377E8029-7E2C-4834-8BD9-B7884A6CBF59}</t>
  </si>
  <si>
    <t>コーヒー, 4桁</t>
  </si>
  <si>
    <t>{C880DF84-FF04-4C81-A654-AAA6A98A18BF}</t>
  </si>
  <si>
    <t>{EDDFEF78-454F-463A-BF83-0FAC579DC027}</t>
  </si>
  <si>
    <t>人造氷, 4桁</t>
  </si>
  <si>
    <t>{45B1B302-67FE-4E2A-ABC8-2BEFB6926C52}</t>
  </si>
  <si>
    <t>{34062AD1-725F-4A4C-BF68-B0D8684B7E4C}</t>
  </si>
  <si>
    <t>たばこ(葉たばこ処理を除く), 4桁</t>
  </si>
  <si>
    <t>{3FEBD680-BD19-4F14-BA70-E25F52FCC334}</t>
  </si>
  <si>
    <t>たばこ(葉たばこ処理を除く)</t>
  </si>
  <si>
    <t>{8B08721A-69E7-4355-8D65-FECEAAE6A932}</t>
  </si>
  <si>
    <t>葉たばこ(処理したものに限る), 4桁</t>
  </si>
  <si>
    <t>{F7FCEF6C-FAE3-4B18-851D-A8E4FAC4C125}</t>
  </si>
  <si>
    <t>葉たばこ(処理したものに限る)</t>
  </si>
  <si>
    <t>{EF74DF6F-086B-4BA9-865A-9F99D0554603}</t>
  </si>
  <si>
    <t>配合飼料, 4桁</t>
  </si>
  <si>
    <t>{E4475D32-E2E1-4ECE-89D6-B9A41E5A955D}</t>
  </si>
  <si>
    <t>配合飼料(ペット用飼料を除く)</t>
  </si>
  <si>
    <t>{5E7FCC88-1E4A-486F-B54B-6A1FDADCF5F1}</t>
  </si>
  <si>
    <t>{C01BEC50-D599-40E8-80D4-D17D242B4022}</t>
  </si>
  <si>
    <t>単体飼料, 4桁</t>
  </si>
  <si>
    <t>{9411CDF6-89FD-43BC-97E1-21DE13D46307}</t>
  </si>
  <si>
    <t>{C547B431-93CB-4CD9-800D-537B68DDBB29}</t>
  </si>
  <si>
    <t>有機質肥料, 4桁</t>
  </si>
  <si>
    <t>{60F82C8E-193E-4828-A5ED-B679B67175F0}</t>
  </si>
  <si>
    <t>{71C42B93-7133-4CED-8D7D-07EA0109837D}</t>
  </si>
  <si>
    <t>天然繊維の燃焼エネルギー</t>
  </si>
  <si>
    <t>{85A63BEA-FD33-4C9B-88D5-0BC4AF41FB59}</t>
  </si>
  <si>
    <t>生糸, 4桁</t>
  </si>
  <si>
    <t>{B075D31C-425F-4F71-97F2-FACBAD839643}</t>
  </si>
  <si>
    <t>{2892593F-2291-49EA-A978-714BEB7A05D7}</t>
  </si>
  <si>
    <t>{2D990467-4EBC-493B-B806-CB022F3F68EF}</t>
  </si>
  <si>
    <t>綿紡績糸, 4桁</t>
  </si>
  <si>
    <t>{DF65705F-0CDD-4442-945D-9EC68087E90B}</t>
  </si>
  <si>
    <t>{B5FD5AAA-02D7-4374-A45F-106483156C82}</t>
  </si>
  <si>
    <t>化学繊維紡績糸, 4桁</t>
  </si>
  <si>
    <t>{FFEEA10E-15A1-44AE-9EA7-2D3A398968CE}</t>
  </si>
  <si>
    <t>{2F69788A-23A1-4C17-88E3-81FF8078059D}</t>
  </si>
  <si>
    <t>毛紡績糸, 4桁</t>
  </si>
  <si>
    <t>{78DA21D3-4A7D-4297-9731-DD26AD196116}</t>
  </si>
  <si>
    <t>{BFAA4CE4-429B-4D5E-B02F-B300858804F6}</t>
  </si>
  <si>
    <t>その他の紡績糸, 4桁</t>
  </si>
  <si>
    <t>{77A0EA1B-A7A2-4A6F-B62D-5D1FD132425E}</t>
  </si>
  <si>
    <t>{F93C6107-3027-4DB1-995D-8C873B661E1B}</t>
  </si>
  <si>
    <t>綿・スフ織物(合成繊維紡績糸織物を含む), 幅13cm以上, 4桁</t>
  </si>
  <si>
    <t>{93AD9ADE-8AE0-43DB-9AF3-555A99590911}</t>
  </si>
  <si>
    <t>綿・スフ織物(合成繊維紡績糸織物を含む), 幅13cm以上</t>
  </si>
  <si>
    <t>{433E96CF-A045-48D2-B46D-D702D04CAA59}</t>
  </si>
  <si>
    <t>綿織物, 反物, 染色品</t>
  </si>
  <si>
    <t>{9FA71308-AFA5-4B76-8A80-1FF0D594F038}</t>
  </si>
  <si>
    <t>絹・人絹織物(合成繊維長繊維織物を含む), 幅13cm以上, 4桁</t>
  </si>
  <si>
    <t>{D863B3A4-6550-4F0E-8609-129D47CAD6B5}</t>
  </si>
  <si>
    <t>絹・人絹織物(合成繊維長繊維織物を含む), 幅13cm以上</t>
  </si>
  <si>
    <t>{AB9BA308-8391-4452-9FDC-AC71C8318040}</t>
  </si>
  <si>
    <t>ポリエステル織物, 反物, 染色品</t>
  </si>
  <si>
    <t>{5CB695BF-E95F-4DC3-A208-46E60C9D7616}</t>
  </si>
  <si>
    <t>ポリエステル･綿織物, 反物, 染色品</t>
  </si>
  <si>
    <t>{4B1101FC-8BD8-4FFC-9939-E45E9F9D9448}</t>
  </si>
  <si>
    <t>毛織物, 幅13cm以上, 4桁</t>
  </si>
  <si>
    <t>{D6C6F9E1-C95A-4C6C-9B5D-51A159F88E0B}</t>
  </si>
  <si>
    <t>毛織物, 幅13cm以上</t>
  </si>
  <si>
    <t>{A52B0445-1F86-4201-88D3-5E1B31552B16}</t>
  </si>
  <si>
    <t>麻織物, 幅13cm以上, 4桁</t>
  </si>
  <si>
    <t>{7A206328-109F-4DC7-A48D-DD7679497CBF}</t>
  </si>
  <si>
    <t>麻織物, 幅13cm以上</t>
  </si>
  <si>
    <t>{DAF34D43-F87B-48C0-BA15-FD2F08750DBD}</t>
  </si>
  <si>
    <t>その他の織物, 幅13cm以上, 4桁</t>
  </si>
  <si>
    <t>{6A28AA35-E1BF-411F-BF50-D1607493CF9C}</t>
  </si>
  <si>
    <t>その他の織物, 幅13cm以上</t>
  </si>
  <si>
    <t>{A198AA9D-CA64-451F-AED4-E20A8DA3319E}</t>
  </si>
  <si>
    <t>丸編ニット生地, 4桁</t>
  </si>
  <si>
    <t>{CE2A0997-79BE-40CE-BCFF-5B18A3A58288}</t>
  </si>
  <si>
    <t>{CF5ECCB4-55F9-4BDE-87C7-7641B66D94F1}</t>
  </si>
  <si>
    <t>たて編ニット生地, 4桁</t>
  </si>
  <si>
    <t>{75E0320F-FEC0-4670-9BDD-A55C1ADC710B}</t>
  </si>
  <si>
    <t>{00605E11-A634-48EF-9351-844BC2648C33}</t>
  </si>
  <si>
    <t>横編ニット生地, 4桁</t>
  </si>
  <si>
    <t>{4B0DEC56-D059-486E-86D2-9A131AD36924}</t>
  </si>
  <si>
    <t>{B231338B-FDA5-46DE-9B9F-30A0EFC0B5FA}</t>
  </si>
  <si>
    <t>染色整理加工プロセス</t>
  </si>
  <si>
    <t>{53CD0ABB-5C3D-4779-B987-94849DEDD992}</t>
  </si>
  <si>
    <t>染色整理加工プロセス, 織物</t>
  </si>
  <si>
    <t>{0D09B4C8-46AE-4B17-B7E4-389CEAD6EEF3}</t>
  </si>
  <si>
    <t>染色整理加工プロセス, ニット生地</t>
  </si>
  <si>
    <t>{73EEB569-93A3-4658-98B8-1DD4FDD038DA}</t>
  </si>
  <si>
    <t>綱, 4桁</t>
  </si>
  <si>
    <t>{9ACBB35C-12D3-4676-8C30-539ADA28B7DB}</t>
  </si>
  <si>
    <t>{364199D8-1045-4B8E-BFC7-59A0DECF0962}</t>
  </si>
  <si>
    <t>漁網, 4桁</t>
  </si>
  <si>
    <t>{6C70549D-8C40-451D-BDFB-49D6834404D6}</t>
  </si>
  <si>
    <t>{43A90F1E-7C04-46EC-A791-7815CC50BB46}</t>
  </si>
  <si>
    <t>刺しゅうレース生地, 4桁</t>
  </si>
  <si>
    <t>{73CAFB52-0FD1-427C-B96B-FCD9271430E5}</t>
  </si>
  <si>
    <t>{E0F620A8-E2F0-472A-B92D-714455CE8963}</t>
  </si>
  <si>
    <t>編レース生地, 4桁</t>
  </si>
  <si>
    <t>{9C2439A6-1E35-41A8-9290-46AEB6A65734}</t>
  </si>
  <si>
    <t>{363C60A9-8F0E-41AF-8051-753796E073DF}</t>
  </si>
  <si>
    <t>ボビンレース生地, 4桁</t>
  </si>
  <si>
    <t>{556A2A8F-2D2E-403A-B5FC-AC2A43F61CDE}</t>
  </si>
  <si>
    <t>{F8466211-07B8-4C83-80E8-8EDAC1FE0444}</t>
  </si>
  <si>
    <t>組ひも, 4桁</t>
  </si>
  <si>
    <t>{4B465EA7-FBD7-4802-B382-53E1FBE00635}</t>
  </si>
  <si>
    <t>{0A90B3A3-5CD2-4927-8982-504596621481}</t>
  </si>
  <si>
    <t>細幅織物, 4桁</t>
  </si>
  <si>
    <t>{005CF5A9-70E9-4FA7-860C-487ADAA0DA54}</t>
  </si>
  <si>
    <t>{7DA28131-B3F4-44B4-9751-2B178D837BC6}</t>
  </si>
  <si>
    <t>整毛品, 4桁</t>
  </si>
  <si>
    <t>{56A685AF-BDDB-4A3A-9434-6A37EE316CCF}</t>
  </si>
  <si>
    <t>整毛品</t>
  </si>
  <si>
    <t>{82866699-5BD3-47DB-9563-427E13D079B2}</t>
  </si>
  <si>
    <t>製綿品, 4桁</t>
  </si>
  <si>
    <t>{0C2C33E5-EF60-4273-A690-BAD0B2C34584}</t>
  </si>
  <si>
    <t>製綿品</t>
  </si>
  <si>
    <t>{0E0AC164-EF4D-4134-A41E-66409FEA1959}</t>
  </si>
  <si>
    <t>フェルト・不織布, 4桁</t>
  </si>
  <si>
    <t>{F086508A-A2F9-4ED2-93AB-785A78FF36A1}</t>
  </si>
  <si>
    <t>{DB50380A-2526-4C5E-8DB7-32A5FB85F468}</t>
  </si>
  <si>
    <t>じゅうたん・その他の繊維製床敷物, 4桁</t>
  </si>
  <si>
    <t>{80C847F5-2204-4C63-8394-710CA5B4EE64}</t>
  </si>
  <si>
    <t>{E2BE2CF9-073C-41B6-A325-87189A865F24}</t>
  </si>
  <si>
    <t>成人男子・少年服, 4桁</t>
  </si>
  <si>
    <t>{DE452A23-3851-4D55-95CF-1E5E2595BC42}</t>
  </si>
  <si>
    <t>{815BD549-0608-4BE3-B222-82CA6A3810CF}</t>
  </si>
  <si>
    <t>成人女子・少女服, 4桁</t>
  </si>
  <si>
    <t>{14058A8E-B0F4-421A-BC5E-88F092A71BBA}</t>
  </si>
  <si>
    <t>{FF3A9499-8BB4-4007-9CAD-E07E7046300B}</t>
  </si>
  <si>
    <t>乳幼児服, 4桁</t>
  </si>
  <si>
    <t>{881279EB-A0D9-41D4-A55E-928421598D94}</t>
  </si>
  <si>
    <t>{19C31C2A-FD14-4565-BB8C-7A3AC95362A3}</t>
  </si>
  <si>
    <t>シャツ(下着を除く), 4桁</t>
  </si>
  <si>
    <t>{970428AD-A250-483F-B28B-C9E8FE109D87}</t>
  </si>
  <si>
    <t>{3C29C5C1-57F9-4C4A-B6F9-4FE92B1A9139}</t>
  </si>
  <si>
    <t>学校服, 4桁</t>
  </si>
  <si>
    <t>{4FBBD7FE-9DCA-4B10-9344-0A53256ED7BD}</t>
  </si>
  <si>
    <t>{37B6DC4D-F069-4ABF-943E-985E3C1C0A41}</t>
  </si>
  <si>
    <t>ニット製外衣(アウターシャツ類、セーター類などを除く), 4桁</t>
  </si>
  <si>
    <t>{37BA5D94-B00F-4723-BDA0-7EF422866FE7}</t>
  </si>
  <si>
    <t>ニット製外衣(アウターシャツ類、セーター類などを除く)</t>
  </si>
  <si>
    <t>{8D929667-B174-42FA-B2AB-6F606F91EA8B}</t>
  </si>
  <si>
    <t>ニット製アウターシャツ類, 4桁</t>
  </si>
  <si>
    <t>{F1375B80-C441-4CE8-B467-ED5FACE143A5}</t>
  </si>
  <si>
    <t>{DFBCB888-A131-49B5-8C9B-8FE03096FB99}</t>
  </si>
  <si>
    <t>セーター類, 4桁</t>
  </si>
  <si>
    <t>{E297E9FA-63BD-49E8-A26F-8A7B2DF48572}</t>
  </si>
  <si>
    <t>{7B284332-CCC6-48BC-8362-C4E00A2D114B}</t>
  </si>
  <si>
    <t>その他のニット製外衣・シャツ, 4桁</t>
  </si>
  <si>
    <t>{6A0BED49-FDE9-4919-92DC-88A1F7E5EE22}</t>
  </si>
  <si>
    <t>{065609EE-6F68-4B07-91B1-89F8BEB8F1F7}</t>
  </si>
  <si>
    <t>織物製下着, 4桁</t>
  </si>
  <si>
    <t>{367A55BA-6A8B-4AFC-AE14-2F8C798218D4}</t>
  </si>
  <si>
    <t>{C81ED9FB-81A9-48FE-BA9F-EEA53D93C4FC}</t>
  </si>
  <si>
    <t>ニット製下着, 4桁</t>
  </si>
  <si>
    <t>{8DA23F0E-08DA-4972-AD06-7F3868D5AFB6}</t>
  </si>
  <si>
    <t>{59811C78-F389-4A86-9342-6C7342042BE3}</t>
  </si>
  <si>
    <t>ネクタイ, 4桁</t>
  </si>
  <si>
    <t>{051C0184-74E5-4845-8ED9-0241E1399007}</t>
  </si>
  <si>
    <t>{E9195DEB-531F-4F3E-8847-ADC44C5E4214}</t>
  </si>
  <si>
    <t>スカーフ・マフラー類, 4桁</t>
  </si>
  <si>
    <t>{7E973C4B-8828-4433-A98D-845F8AFF211C}</t>
  </si>
  <si>
    <t>スカーフ・ネッカチーフ・マフラー</t>
  </si>
  <si>
    <t>{CB64AD26-16C3-4030-B69E-B09FCD21B801}</t>
  </si>
  <si>
    <t>ハンカチーフ, 4桁</t>
  </si>
  <si>
    <t>{8478AC2A-0733-4920-B2ED-D6F67420A450}</t>
  </si>
  <si>
    <t>{F60086E8-0FB9-4DED-BF2E-B8F7A895FCAD}</t>
  </si>
  <si>
    <t>靴下, 4桁</t>
  </si>
  <si>
    <t>{98A22F24-A40F-4013-B90F-4FCF9AB2E5DD}</t>
  </si>
  <si>
    <t>{2034FF2C-2491-4697-95AD-E0BAD0148F5B}</t>
  </si>
  <si>
    <t>ニット手袋, 4桁</t>
  </si>
  <si>
    <t>{AF6047A0-C9BF-4C24-9F05-B09377B071FF}</t>
  </si>
  <si>
    <t>{3A42E278-DFB7-4541-8D26-9DD0B6DE722E}</t>
  </si>
  <si>
    <t>寝具(毛布を除く), 4桁</t>
  </si>
  <si>
    <t>{C3645119-BD70-407C-8EE8-35EDEC1F9BCE}</t>
  </si>
  <si>
    <t>毛布, 4桁</t>
  </si>
  <si>
    <t>{332A253D-51BA-4FC9-BFB2-46B661F1380C}</t>
  </si>
  <si>
    <t>廃木材の燃焼エネルギー</t>
  </si>
  <si>
    <t>{FC469623-AD18-466F-9369-44FCC382EEAE}</t>
  </si>
  <si>
    <t>一般製材品, 4桁</t>
  </si>
  <si>
    <t>{58FCD1FD-E629-4783-8837-82529631EFD0}</t>
  </si>
  <si>
    <t>{2186FB1B-B1B2-4C5F-8778-73A13D32957C}</t>
  </si>
  <si>
    <t>{E853C7CE-56C4-475E-9801-CC7B5F2372B4}</t>
  </si>
  <si>
    <t>{3234FCE5-D216-4629-AB9D-1DA6D484C89E}</t>
  </si>
  <si>
    <t>箱材・荷造用仕組材</t>
  </si>
  <si>
    <t>{C49012A1-C682-42F1-A4BA-41544FEB2ADD}</t>
  </si>
  <si>
    <t>{40D2EF66-EDB0-441C-9235-0629ECE4E318}</t>
  </si>
  <si>
    <t>床板, 4桁</t>
  </si>
  <si>
    <t>{6971B4BB-F0CD-4005-A7EB-665E64AEDE16}</t>
  </si>
  <si>
    <t>{8E8DC28B-E551-42CA-B2BB-F269B0815C65}</t>
  </si>
  <si>
    <t>木材チップ, 4桁</t>
  </si>
  <si>
    <t>{8DC94F37-95FA-4680-8CEE-73DD3F9B1652}</t>
  </si>
  <si>
    <t>{BB0708BE-196A-4265-A1EA-D3654679E211}</t>
  </si>
  <si>
    <t>合板, 4桁</t>
  </si>
  <si>
    <t>{2A49136F-26DC-42DC-8A87-EAAE52C19954}</t>
  </si>
  <si>
    <t>{8552B821-3E02-48CA-B61E-C1F7410441C2}</t>
  </si>
  <si>
    <t>{D30062D4-2B1E-4D65-8562-690D408191A7}</t>
  </si>
  <si>
    <t>集成材, 4桁</t>
  </si>
  <si>
    <t>{F702AF86-9078-4CBE-9F67-119D755DFF04}</t>
  </si>
  <si>
    <t>{2164E2FE-FD31-495A-AEBA-D0AFC1C549B5}</t>
  </si>
  <si>
    <t>建築用木製組立材料, 4桁</t>
  </si>
  <si>
    <t>{9F392515-82BD-488E-BEB0-0397565938AB}</t>
  </si>
  <si>
    <t>{DE0EB6AC-7CE4-4E2C-97C9-AA109DE5D98D}</t>
  </si>
  <si>
    <t>パーティクルボード, 4桁</t>
  </si>
  <si>
    <t>{238EE8BB-A1E4-4A13-B9A3-93A61B9D8B48}</t>
  </si>
  <si>
    <t>{2DA1DFB5-315A-4335-81A2-45B0B73F97BA}</t>
  </si>
  <si>
    <t>薬品処理木材, 4桁</t>
  </si>
  <si>
    <t>{C3CDFD09-FA2A-4CD7-8DFB-6CECA79174BC}</t>
  </si>
  <si>
    <t>{79A1715B-898A-416A-B0AC-F88F64F069E3}</t>
  </si>
  <si>
    <t>コルク製品, 4桁</t>
  </si>
  <si>
    <t>{3A17ECF5-E2C5-46A0-8418-31A3936B5671}</t>
  </si>
  <si>
    <t>{07AFF30C-61AD-4152-AA3A-9C472B63FC71}</t>
  </si>
  <si>
    <t>木製家具(漆塗りを除く), 4桁</t>
  </si>
  <si>
    <t>{2075114A-6837-4947-BBEF-C0FD65A63E96}</t>
  </si>
  <si>
    <t>{C370C1AD-F3DF-4F72-9F90-35844D6C50EA}</t>
  </si>
  <si>
    <t>{3F2AAD54-E967-4273-99C9-F005C9F07557}</t>
  </si>
  <si>
    <t>{129E7F9A-C3E0-40E6-93E8-E055204C1095}</t>
  </si>
  <si>
    <t>{4ECB2AAC-D05D-4416-8F52-BA931B726178}</t>
  </si>
  <si>
    <t>金属製家具, 4桁</t>
  </si>
  <si>
    <t>{6A10755F-FED2-44A4-AE3D-F0B895540531}</t>
  </si>
  <si>
    <t>{4EFF54C7-8A70-4852-9C92-2DD76ED632AE}</t>
  </si>
  <si>
    <t>{5C204F78-B412-452B-9C8B-67DF6EDC002E}</t>
  </si>
  <si>
    <t>{B9AB86F2-45F1-4BFF-8E81-D63FA8B45CEC}</t>
  </si>
  <si>
    <t>金属製流し台・調理台・ガス台(キャビネットが金属製のもの)</t>
  </si>
  <si>
    <t>{C5A57C2D-5E69-4C64-BD14-61F2857F6132}</t>
  </si>
  <si>
    <t>{5E034688-18D4-4EA9-AF82-42FAE2A5D6BB}</t>
  </si>
  <si>
    <t>パルプ廃液(黒液)の燃焼エネルギー</t>
  </si>
  <si>
    <t>{2464A10B-6377-4F00-B2C6-7DC041870D42}</t>
  </si>
  <si>
    <t>紙の燃焼エネルギー</t>
  </si>
  <si>
    <t>{EE6127BD-E808-4662-904A-B76165AC6319}</t>
  </si>
  <si>
    <t>廃材(製紙・パルプ用)の燃焼エネルギー</t>
  </si>
  <si>
    <t>{69761332-FFE3-44F2-AD4E-2CD95974DAA0}</t>
  </si>
  <si>
    <t>ペーパースラッジの燃焼エネルギー</t>
  </si>
  <si>
    <t>{DD627B69-A602-4FFE-8BBB-4A5AC7AC9C95}</t>
  </si>
  <si>
    <t>パルプ, 4桁</t>
  </si>
  <si>
    <t>{31F08E60-B61B-4A3F-86FA-E75BAFD7EF8A}</t>
  </si>
  <si>
    <t>{CAB7E1AA-F6D5-4E71-B6CB-82B424F00DF6}</t>
  </si>
  <si>
    <t>{626AC2D5-FB3D-4943-B650-8DD9B2580295}</t>
  </si>
  <si>
    <t>{752A4067-FAF4-44DF-9446-44D78507F7F1}</t>
  </si>
  <si>
    <t>洋紙・機械すき和紙, 4桁</t>
  </si>
  <si>
    <t>{E1282C92-F95C-4A3B-999A-C19D8569BE80}</t>
  </si>
  <si>
    <t>{43D69AE1-9C8C-4645-B51F-639FF7C2F002}</t>
  </si>
  <si>
    <t>{0148EF50-4496-4B7B-AFD5-0A4ED896C4B1}</t>
  </si>
  <si>
    <t>{404324C7-F57A-43C5-B4DE-6D8FABE4295D}</t>
  </si>
  <si>
    <t>{674A8FC4-7A07-4AE1-B481-E23BD4DCD866}</t>
  </si>
  <si>
    <t>{D8141D2A-A086-4317-9168-2C2F00D5685F}</t>
  </si>
  <si>
    <t>{6326E025-42B4-4E6F-985C-15F61133BE2F}</t>
  </si>
  <si>
    <t>{D1499FFB-15AD-4193-99B1-6B0CE679BB9F}</t>
  </si>
  <si>
    <t>{6B2AAF24-D3E0-47DF-B0D0-E05F42501BAA}</t>
  </si>
  <si>
    <t>{69F04053-75ED-464B-A75D-61DA642F7E5D}</t>
  </si>
  <si>
    <t>{0F36653E-3B1E-42F9-8658-F09ACDE2B5CC}</t>
  </si>
  <si>
    <t>{70E99F7F-486E-4C42-ABF2-CEC5F8F9C862}</t>
  </si>
  <si>
    <t>板紙, 4桁</t>
  </si>
  <si>
    <t>{59890EB7-F420-4959-8796-F2B2DB0DF4A9}</t>
  </si>
  <si>
    <t>外装用ライナ, 段ボール原紙</t>
  </si>
  <si>
    <t>{AACD99D9-C73A-4147-97CC-990AB15122AC}</t>
  </si>
  <si>
    <t>内装用ライナ, 段ボール原紙</t>
  </si>
  <si>
    <t>{590F7624-C825-4B18-883F-453E51D8CA04}</t>
  </si>
  <si>
    <t>中しん原紙, 段ボール原紙</t>
  </si>
  <si>
    <t>{07ACD896-774D-4788-A2EC-C736A553420C}</t>
  </si>
  <si>
    <t>{8782581C-3896-4048-B7AE-D251E54E9412}</t>
  </si>
  <si>
    <t>{39586235-63F2-4C43-B250-C864DA0B3BC3}</t>
  </si>
  <si>
    <t>黄板紙・チップボール</t>
  </si>
  <si>
    <t>{17EF15E1-4041-41AD-A5BA-8A1EA4CBA256}</t>
  </si>
  <si>
    <t>{8688CD44-21D1-4BA4-8971-1A9E144B1D38}</t>
  </si>
  <si>
    <t>{E89A0D3B-FCB3-46C2-9296-9CC8B228EADA}</t>
  </si>
  <si>
    <t>{D7D26A9B-1CF4-4EFE-B9CB-BCD699B2050F}</t>
  </si>
  <si>
    <t>段ボールシート, 4桁</t>
  </si>
  <si>
    <t>{317B6B0C-DEA6-489C-A6C1-A12BC6376686}</t>
  </si>
  <si>
    <t>{64ECEA44-32F6-4749-8D50-104DB0EE6D70}</t>
  </si>
  <si>
    <t>{3644C7C2-2CB1-4822-BB25-B5A4FAA57F00}</t>
  </si>
  <si>
    <t>重包装紙袋, 4桁</t>
  </si>
  <si>
    <t>{9E711D83-3453-4853-A91D-833902AB1B21}</t>
  </si>
  <si>
    <t>{76CAB8F8-EE87-4381-B4A1-5FF7823C3B15}</t>
  </si>
  <si>
    <t>段ボール箱, 4桁</t>
  </si>
  <si>
    <t>{94F7C27C-677D-4782-9FCD-1FC12D49F632}</t>
  </si>
  <si>
    <t>{F9C162A1-E85A-4E1D-892E-63A1AA72D30D}</t>
  </si>
  <si>
    <t>紙器, 4桁</t>
  </si>
  <si>
    <t>{329FA38A-BBAB-485F-9880-533F0540A88B}</t>
  </si>
  <si>
    <t>セロファン, 4桁</t>
  </si>
  <si>
    <t>{87827D8F-A2EB-4078-9B21-EC9F8EE5477D}</t>
  </si>
  <si>
    <t>{3F848AD5-69EA-4B6F-8C59-575125932369}</t>
  </si>
  <si>
    <t>繊維板, 4桁</t>
  </si>
  <si>
    <t>{D6493929-C520-43A3-896D-9214C8073C55}</t>
  </si>
  <si>
    <t>{0A9166C8-CB15-435B-8B94-55637DC2E4F9}</t>
  </si>
  <si>
    <t>{32DC9A4E-9D77-49EE-ADF9-3910724CE41B}</t>
  </si>
  <si>
    <t>{3479E440-A32E-4A6F-8234-9E76493FE1E7}</t>
  </si>
  <si>
    <t>{A46BE351-78BE-4030-AFBB-66BC850DDAF2}</t>
  </si>
  <si>
    <t>他に分類されないパルプ・紙・紙加工品, 4桁</t>
  </si>
  <si>
    <t>{D3C4095A-CAD8-4DEE-927D-0AA7E66CBAD2}</t>
  </si>
  <si>
    <t>{DF374836-FBA5-4DB6-B459-D5475A443E25}</t>
  </si>
  <si>
    <t>{1E07E41E-85F3-4F20-B6DD-FCBA4B40D3B7}</t>
  </si>
  <si>
    <t>窒素質・りん酸質肥料, 4桁</t>
  </si>
  <si>
    <t>{868A5EF4-6B1B-4F4D-BA33-C01955ECF67F}</t>
  </si>
  <si>
    <t>肥料（窒素質分）</t>
  </si>
  <si>
    <t>{BB3A37E4-620F-4C04-B932-639EDB585311}</t>
  </si>
  <si>
    <t>肥料（りん酸質分）</t>
  </si>
  <si>
    <t>{8C81BB78-DAC9-42CF-9363-351726E4AC44}</t>
  </si>
  <si>
    <t>硫酸アンモニウム</t>
  </si>
  <si>
    <t>{C954DAC3-0A3A-45D5-A265-980B04773CE7}</t>
  </si>
  <si>
    <t>硫酸アンモニウム, MMA副生</t>
  </si>
  <si>
    <t>{7A771887-DEC0-41DB-9C5C-32C04CC1B375}</t>
  </si>
  <si>
    <t>硫酸アンモニウム, カプロラクタム副生回収</t>
  </si>
  <si>
    <t>{0280DBAE-6040-4339-94D7-CFBFF8D8BC0E}</t>
  </si>
  <si>
    <t>アンモニア, ＮＨ3 100%換算</t>
  </si>
  <si>
    <t>{720A8887-CAFB-4685-9991-C02769DB2E56}</t>
  </si>
  <si>
    <t>硝酸, 98%</t>
  </si>
  <si>
    <t>{10264A7C-BA8A-4D6A-9351-34079AD8E821}</t>
  </si>
  <si>
    <t>{BCFF1BBB-4C90-433F-B068-E7E151CEEFA3}</t>
  </si>
  <si>
    <t>{BC204F60-38A2-4ABE-85DC-33E965F49486}</t>
  </si>
  <si>
    <t>{6B9E262F-B3EA-4791-8DB5-A3E191A89C6B}</t>
  </si>
  <si>
    <t>{1E41E45F-4AD6-4F5C-814A-511955D577DD}</t>
  </si>
  <si>
    <t>{D83932A7-733A-470F-A508-5CC8A2C530E1}</t>
  </si>
  <si>
    <t>{2DC4ACBC-8E89-4163-BF9B-66D61C9AB93F}</t>
  </si>
  <si>
    <t>{C612B448-FB8A-4E06-808E-1A6AD0F6CE60}</t>
  </si>
  <si>
    <t>{7B87F206-4744-4C8F-8213-8A5A1B87DB1E}</t>
  </si>
  <si>
    <t>複合肥料, 4桁</t>
  </si>
  <si>
    <t>{AA5AA7C7-E8E9-41CF-AAC6-B85D25E999BC}</t>
  </si>
  <si>
    <t>{C8432B6D-57CA-49E3-ADE6-9B126A32F748}</t>
  </si>
  <si>
    <t>{7A15FEF4-0F92-4D90-A14B-95DDE2B785AB}</t>
  </si>
  <si>
    <t>その他の化学肥料, 4桁</t>
  </si>
  <si>
    <t>{30AA2C98-EFCE-4787-A46A-DE311F470842}</t>
  </si>
  <si>
    <t>{F089945A-869B-4D91-B8F1-565E588D296C}</t>
  </si>
  <si>
    <t>肥料（カリ質分）</t>
  </si>
  <si>
    <t>{6A3F8A40-5AAA-401F-82D2-1FDE11B4A242}</t>
  </si>
  <si>
    <t>ソーダ工業製品, 4桁</t>
  </si>
  <si>
    <t>{B9A39DA3-C2F0-44A6-9698-F388E4355205}</t>
  </si>
  <si>
    <t>水酸化ナトリウム, 97%</t>
  </si>
  <si>
    <t>{142454C8-8497-477A-B3FF-B0E9393D0075}</t>
  </si>
  <si>
    <t>{A0F67465-8B58-4F8C-9DF6-D5C650CE5562}</t>
  </si>
  <si>
    <t>{6B4E6AC5-4CBA-44BE-AA43-C000D4E37699}</t>
  </si>
  <si>
    <t>{B0285CF6-9743-4D64-99CD-7FB09B4374A6}</t>
  </si>
  <si>
    <t>塩酸, 35%</t>
  </si>
  <si>
    <t>{056B468B-A47B-4EA4-9824-3776ECAF4F7E}</t>
  </si>
  <si>
    <t>塩酸, 合成, 35%</t>
  </si>
  <si>
    <t>{94D9656A-1082-424D-AE35-80EAC0ECEFA2}</t>
  </si>
  <si>
    <t>塩酸, MDI副生</t>
  </si>
  <si>
    <t>{78DD1630-A9BF-41F5-9A03-892A4CC25B1E}</t>
  </si>
  <si>
    <t>塩酸, TDI副生, 31.5%HCl</t>
  </si>
  <si>
    <t>{A6688A63-EBCE-4C7E-B610-E1C25BCACAA0}</t>
  </si>
  <si>
    <t>塩酸, テトラフルオロエチレン副生</t>
  </si>
  <si>
    <t>{AC177271-CBF1-42FA-9B7C-5A6C7B18B5A5}</t>
  </si>
  <si>
    <t>塩酸, トリクロロエチレン副生</t>
  </si>
  <si>
    <t>{A5601CAA-74DC-43DC-9CAE-628EF9DCABB2}</t>
  </si>
  <si>
    <t>塩酸, 塩化ビニリデン副生</t>
  </si>
  <si>
    <t>{8068F295-D5F3-4C33-A8C8-3E47AF1CC91E}</t>
  </si>
  <si>
    <t>塩酸, テトラクロロエチレン副生, 100%HCl</t>
  </si>
  <si>
    <t>{5D4EBC41-312E-4DA0-8F44-BC5501B9829C}</t>
  </si>
  <si>
    <t>{07D76DBC-2FD9-4625-BA42-EB8F6C4D3A86}</t>
  </si>
  <si>
    <t>次亜塩素酸ナトリウム, 12% 水溶液</t>
  </si>
  <si>
    <t>{E4F70785-14ED-4D3B-A169-82FC1A88FD05}</t>
  </si>
  <si>
    <t>{C6414AE8-DCE5-479B-86E0-2560A66C8907}</t>
  </si>
  <si>
    <t>{01B806F8-76DD-478C-A202-8F4D2FC63A85}</t>
  </si>
  <si>
    <t>無機顔料, 4桁</t>
  </si>
  <si>
    <t>{C510E1EE-4227-4AB3-A730-7DA30DB22E85}</t>
  </si>
  <si>
    <t>{1D41DBD7-3086-4FDE-A961-CEDA092FA2BA}</t>
  </si>
  <si>
    <t>{0F1FF2E3-D43A-493E-9431-70590B726A9B}</t>
  </si>
  <si>
    <t>酸化第二鉄(べんがら)</t>
  </si>
  <si>
    <t>{EAB3A801-CE72-4FC7-9417-AE653E4BA5C6}</t>
  </si>
  <si>
    <t>酸化第二鉄, 酸洗廃液, 乾式法</t>
  </si>
  <si>
    <t>{2BFA364A-EAE7-47BF-9534-58BF22D761A5}</t>
  </si>
  <si>
    <t>酸化第二鉄, １水塩, 酸洗廃液, 湿式法</t>
  </si>
  <si>
    <t>{95EC27A2-EB0C-4402-9040-0D4E6542997F}</t>
  </si>
  <si>
    <t>{9FB29FB9-5E9E-4D10-BCC2-EEA89A1172AF}</t>
  </si>
  <si>
    <t>{4516164E-DE62-4DBD-B603-90C842C6D86C}</t>
  </si>
  <si>
    <t>{015EFAE5-3C0D-41A2-AA53-55A66BA8DB7C}</t>
  </si>
  <si>
    <t>圧縮ガス・液化ガス, 4桁</t>
  </si>
  <si>
    <t>{19BEA0B2-C3B5-4DCF-8EAC-893D0ADD0CCB}</t>
  </si>
  <si>
    <t>酸素ガス(液化酸素を含む)</t>
  </si>
  <si>
    <t>{6ED75F55-9140-4BA5-BEBD-334038F09020}</t>
  </si>
  <si>
    <t>{B768F0E5-5984-4DD3-AD80-97234020433C}</t>
  </si>
  <si>
    <t>水素リッチガス, ナフサ分解</t>
  </si>
  <si>
    <t>{E04CC378-956D-4E2D-A0E7-24D8A2048012}</t>
  </si>
  <si>
    <t>水素, 塩素副生</t>
  </si>
  <si>
    <t>{811B7CC4-F5DC-4137-A67E-F903A93A8A84}</t>
  </si>
  <si>
    <t>水素, メタノール分解</t>
  </si>
  <si>
    <t>{F3305604-9BDD-4125-B557-9AEBCA0FCFC3}</t>
  </si>
  <si>
    <t>水素, 天然ガス</t>
  </si>
  <si>
    <t>{6B7D73EE-7B29-41A2-B4B4-D5CDDFEC3CF9}</t>
  </si>
  <si>
    <t>{35638A8B-937F-490E-96B2-9823BD845BED}</t>
  </si>
  <si>
    <t>炭酸ガス, アンモニア副生</t>
  </si>
  <si>
    <t>{42352D94-208D-42D2-A2F6-2A59E19C4B46}</t>
  </si>
  <si>
    <t>{9C57BFDD-D028-41B0-94A1-8A291B442D53}</t>
  </si>
  <si>
    <t>{386756AC-F576-4419-B29E-0CF2F8FF87B4}</t>
  </si>
  <si>
    <t>{B00B1093-E1AD-4F39-948C-DB0EEFDA5DD4}</t>
  </si>
  <si>
    <t>液体ヘリウム, 液化工程</t>
  </si>
  <si>
    <t>{0F9001BB-84E3-43EB-B9A1-90CEFE6EFD8B}</t>
  </si>
  <si>
    <t>圧縮空気, 15m3/hクラス</t>
  </si>
  <si>
    <t>{3208D20F-C25F-4A09-B900-86BA5046C7C0}</t>
  </si>
  <si>
    <t>ヘリウム</t>
  </si>
  <si>
    <t>{45C7ECAF-D123-45C9-81F4-B6CAEB403B96}</t>
  </si>
  <si>
    <t>塩, 4桁</t>
  </si>
  <si>
    <t>{A533C615-4C81-4682-8F5A-F164B05A2E59}</t>
  </si>
  <si>
    <t>{E8175E9E-AAF1-44F6-8024-85F6193CC080}</t>
  </si>
  <si>
    <t>{912AEA7D-4C58-44FC-9DCA-B3FA0541958C}</t>
  </si>
  <si>
    <t>{4027C9BF-39B2-4AFE-B743-3067C8FC1073}</t>
  </si>
  <si>
    <t>他に分類されない無機化学工業製品, 4桁</t>
  </si>
  <si>
    <t>{4AB08B04-9B11-4E72-8800-AB5FD20E8E5C}</t>
  </si>
  <si>
    <t>{8D37D468-8081-4333-B0D4-23537AE6FBC1}</t>
  </si>
  <si>
    <t>りん酸, 85%</t>
  </si>
  <si>
    <t>{FAF596D8-4DA1-499B-A0FB-C6B0CE1205AA}</t>
  </si>
  <si>
    <t>りん酸, 湿式</t>
  </si>
  <si>
    <t>{E05037CA-03B8-4D0E-A7BB-69E811FFF2EF}</t>
  </si>
  <si>
    <t>りん酸, 乾式</t>
  </si>
  <si>
    <t>{DE6A9BAD-B560-439A-AFE3-A8DBDA94D236}</t>
  </si>
  <si>
    <t>硫酸, 98%</t>
  </si>
  <si>
    <t>{4EB62C8D-AB2A-4536-9249-3ECB86CECCFC}</t>
  </si>
  <si>
    <t>硫酸, 合成</t>
  </si>
  <si>
    <t>{1B6E8A33-FAB0-4AEB-8FB5-F90F4A3A720C}</t>
  </si>
  <si>
    <t>硫酸, 銅副生</t>
  </si>
  <si>
    <t>{33510FD1-A234-49B8-B123-6455207CBA44}</t>
  </si>
  <si>
    <t>硫酸アルミニウム, Al2O3 14％水溶液</t>
  </si>
  <si>
    <t>{20816026-BB81-4F33-96A6-751F967D990F}</t>
  </si>
  <si>
    <t>{4FEA1987-5F7E-43C0-B667-1DE5E27DAD00}</t>
  </si>
  <si>
    <t>{9E5A51B3-CCA6-4E76-982A-7ABE6500C020}</t>
  </si>
  <si>
    <t>{FB77306A-58BA-40F2-AC71-2101A8336083}</t>
  </si>
  <si>
    <t>{A9799CA7-87C2-494D-AF5D-3305E1E9AD31}</t>
  </si>
  <si>
    <t>{6871DDB9-3191-4D35-A0D3-D95B8CFCCD72}</t>
  </si>
  <si>
    <t>{95822541-9F8E-4724-AE13-A41E5C6A592B}</t>
  </si>
  <si>
    <t>{592E91EB-C054-4062-ADE8-833E96AD10C9}</t>
  </si>
  <si>
    <t>{F049D6F4-E44B-4E74-8E43-3DD4925BC275}</t>
  </si>
  <si>
    <t>けい酸ナトリウム, 湿式法</t>
  </si>
  <si>
    <t>{1AE9F8B7-1C80-4B1C-AEB5-0956CB47E9C2}</t>
  </si>
  <si>
    <t>けい酸ナトリウム, 乾式法</t>
  </si>
  <si>
    <t>{8AA78BE1-4993-4522-A24D-C251A4B4C2C7}</t>
  </si>
  <si>
    <t>{06D69265-0C9B-46AB-8A22-8C40285A3C9A}</t>
  </si>
  <si>
    <t>{2D69D092-715F-48FA-9C11-740785E4CA7E}</t>
  </si>
  <si>
    <t>{6A69F8C4-C3ED-42AA-ABBB-5C4BDFEA832A}</t>
  </si>
  <si>
    <t>{B69B84BA-323F-4640-AFF7-D7C5319E300B}</t>
  </si>
  <si>
    <t>硫酸バリウム,  沈降</t>
  </si>
  <si>
    <t>{E9EB8C8D-0629-4817-B8E3-BF2F900F26EF}</t>
  </si>
  <si>
    <t>塩化バリウム, 2水塩</t>
  </si>
  <si>
    <t>{CD7EAD49-531E-4645-A815-35A51DF8C24A}</t>
  </si>
  <si>
    <t>{0BD3186E-B2C5-4CEB-81E5-9B5E4A6C273E}</t>
  </si>
  <si>
    <t>塩化第二鉄, 38% 水溶液</t>
  </si>
  <si>
    <t>{4C30CBDA-FB9D-439F-B0EF-ECC0A610319E}</t>
  </si>
  <si>
    <t>ふっ化水素酸, 50% 水溶液</t>
  </si>
  <si>
    <t>{E73A5CFD-6A9A-452C-B8A0-D3FA7048B8E6}</t>
  </si>
  <si>
    <t>{8C3278BE-51BB-4279-9C95-0E2186C5E3F1}</t>
  </si>
  <si>
    <t>ポリ塩化アルミニウム, Al2O3 10%</t>
  </si>
  <si>
    <t>{18842401-0772-464A-9301-32B4E3FE2731}</t>
  </si>
  <si>
    <t>硫酸ナトリウム, 人絹ぼう硝, 10水塩</t>
  </si>
  <si>
    <t>{0570F186-51F6-474C-A623-E88106BBB820}</t>
  </si>
  <si>
    <t>{92EDE67C-AA16-4CF8-AA69-FF3BB56B8C39}</t>
  </si>
  <si>
    <t>石油化学系基礎製品(一貫して生産される誘導品を含む), 4桁</t>
  </si>
  <si>
    <t>{DA4167FE-7557-49AA-9DEC-2DD6E83D12CD}</t>
  </si>
  <si>
    <t>エチレン, ナフサ分解</t>
  </si>
  <si>
    <t>{07CC462D-29E2-4B97-B35A-DCD0F24FD0BD}</t>
  </si>
  <si>
    <t>プロピレン, ナフサ分解</t>
  </si>
  <si>
    <t>{BF258A06-7967-4884-A43C-3A2D0E2052B3}</t>
  </si>
  <si>
    <t>{96210FB3-6706-471C-99D5-1BD0D2042B13}</t>
  </si>
  <si>
    <t>純ベンゼン, 石油系</t>
  </si>
  <si>
    <t>{91B2F3C1-AC59-4B8F-8462-1083FE81E741}</t>
  </si>
  <si>
    <t>ベンゼン, 石油化学系BTX分離副生</t>
  </si>
  <si>
    <t>{B6E9F4B6-5945-4101-85DC-A4C6537F70B9}</t>
  </si>
  <si>
    <t>ベンゼン, 石油精製系BTX分離副生</t>
  </si>
  <si>
    <t>{62F37163-CD5D-423D-9FEE-F9D3C83ACCDC}</t>
  </si>
  <si>
    <t>純トルエン, 石油系</t>
  </si>
  <si>
    <t>{6A1E09B4-06D7-4CF9-8EF3-B2F961D56CF7}</t>
  </si>
  <si>
    <t>トルエン, 石油化学系BTX分離副生</t>
  </si>
  <si>
    <t>{478057F5-DF68-4934-A590-FAB90BCEDF65}</t>
  </si>
  <si>
    <t>トルエン, 石油精製系BTX分離副生</t>
  </si>
  <si>
    <t>{7E13CCBA-FC0B-42CA-89C9-1F394B47028B}</t>
  </si>
  <si>
    <t>純キシレン, 石油系</t>
  </si>
  <si>
    <t>{EE9B6409-264A-4C35-BC00-07DD930D6B01}</t>
  </si>
  <si>
    <t>混合キシレン, 石油化学系BTX分離副生</t>
  </si>
  <si>
    <t>{D61D321B-FE2D-4817-A368-87EE9D03B73D}</t>
  </si>
  <si>
    <t>混合キシレン, 石油精製系BTX分離副生</t>
  </si>
  <si>
    <t>{858C46D6-1D57-4912-86C3-CABFA2929683}</t>
  </si>
  <si>
    <t>{5F46A098-54AF-4562-A4E2-975BB53C8E72}</t>
  </si>
  <si>
    <t>分解ガソリン, ナフサ分解</t>
  </si>
  <si>
    <t>{75F3BEC8-CC27-4285-9C8D-D41AAD56D08F}</t>
  </si>
  <si>
    <t>C4留分, ナフサ分解</t>
  </si>
  <si>
    <t>{F7C34944-C254-49F1-AFA9-B6489B20510F}</t>
  </si>
  <si>
    <t>脂肪族系中間物(脂肪族系溶剤を含む), 4桁</t>
  </si>
  <si>
    <t>{E5C8E665-0731-4755-9F88-5FA00AFF94B4}</t>
  </si>
  <si>
    <t>{E8E6B15E-3C85-42B7-A52A-3214FBD7AA32}</t>
  </si>
  <si>
    <t>イソブタノール, n-ブタノール副生</t>
  </si>
  <si>
    <t>{6BDA578B-FD14-4B44-B29A-56763A4710A5}</t>
  </si>
  <si>
    <t>{04A51961-11D6-4C74-ACBF-14A8E72107AC}</t>
  </si>
  <si>
    <t>{D7EB6238-7138-434B-A61B-E48C875ACA6E}</t>
  </si>
  <si>
    <t>{E74275F2-B401-4DC3-B32E-4066E242D5AD}</t>
  </si>
  <si>
    <t>アセトン, キュメン</t>
  </si>
  <si>
    <t>{52F10681-B3EA-45F2-A2CC-F31FE567998D}</t>
  </si>
  <si>
    <t>アセトン, p-クレゾール副生</t>
  </si>
  <si>
    <t>{DD4CF350-9A69-4B8B-B9BA-20869077CC95}</t>
  </si>
  <si>
    <t>アセトン, 液相空気酸化ハイドロキノン副生</t>
  </si>
  <si>
    <t>{A89107C6-F7C3-4481-A082-6DB2FB5E9687}</t>
  </si>
  <si>
    <t>アセトン, 過酸化物分解ハイドロキノン副生</t>
  </si>
  <si>
    <t>{7A2B6760-7630-456D-B551-800B201B315C}</t>
  </si>
  <si>
    <t>酢酸(合成酢酸を含む)</t>
  </si>
  <si>
    <t>{C791D3F9-A3B9-4464-881E-5D605499B5DB}</t>
  </si>
  <si>
    <t>{0339048E-3122-42D2-8FEB-78DB4C116EED}</t>
  </si>
  <si>
    <t>{43E05D95-2C17-474F-A32B-760CCBB5868A}</t>
  </si>
  <si>
    <t>{8FDE1497-C4DB-41C1-9E64-476EB495D4BE}</t>
  </si>
  <si>
    <t>{8DEE2803-08EF-4E2E-8596-7B5C424906F3}</t>
  </si>
  <si>
    <t>{2F56A770-6B9A-4502-8A2C-483B79F10298}</t>
  </si>
  <si>
    <t>{CC42986A-DC2B-4418-AA2D-6FA9352C0541}</t>
  </si>
  <si>
    <t>{FEDA2A10-EB20-45ED-ABBE-D592FB4FFA4E}</t>
  </si>
  <si>
    <t>{BA0210E4-C410-42FE-AB3A-6343D6D8C537}</t>
  </si>
  <si>
    <t>{453EE933-4887-426D-99F1-C25A10956297}</t>
  </si>
  <si>
    <t>{2826B687-DD21-4A55-8CD0-5B6AE2DBBA91}</t>
  </si>
  <si>
    <t>{1A4CDA90-6FB7-4BEA-B8D4-FF6B7383EF1D}</t>
  </si>
  <si>
    <t>{4D82B049-8A47-45DC-BC66-96B4797C3D51}</t>
  </si>
  <si>
    <t>{63BE9DBB-D7AC-4748-8AD0-1CB3C7A7BA01}</t>
  </si>
  <si>
    <t>{00844F70-9EF3-436E-889B-D04E9B6E60B2}</t>
  </si>
  <si>
    <t>{A2B5ADC8-DB67-4A86-B9F7-EAE970220A54}</t>
  </si>
  <si>
    <t>{662CFDB6-14E5-4C38-8FE0-80EE74B5F06F}</t>
  </si>
  <si>
    <t>{DD9EAA40-060F-467C-8BAB-6CB3745F8A3C}</t>
  </si>
  <si>
    <t>{061205BA-F8A5-4150-A729-0BB3AA96EEE1}</t>
  </si>
  <si>
    <t>メタクリル酸メチル(MMA)</t>
  </si>
  <si>
    <t>{34CCDFDC-525A-401B-8277-8DDA70FA38C3}</t>
  </si>
  <si>
    <t>{26615122-F573-4330-92D7-AF03C9B70543}</t>
  </si>
  <si>
    <t>{6970FFB7-261F-4AF8-BFE3-D29D6CC92865}</t>
  </si>
  <si>
    <t>高級アルコール, 合成</t>
  </si>
  <si>
    <t>{A68780E4-B3A7-45CD-8DD4-60469B8E4899}</t>
  </si>
  <si>
    <t>{62C574F9-5CF5-4B9F-92E3-EEBE57AB2991}</t>
  </si>
  <si>
    <t>{3EEB0857-6BEE-4FCF-9322-00C0CCBF22B7}</t>
  </si>
  <si>
    <t>グリセリン, 合成</t>
  </si>
  <si>
    <t>{6B9579F2-6604-487F-9BC2-262E122615F1}</t>
  </si>
  <si>
    <t>1,4-ブタンジオール, アセチレン</t>
  </si>
  <si>
    <t>{FDF7D811-4202-4DAE-8719-938D635693EE}</t>
  </si>
  <si>
    <t>1,4-ブタンジオール, ブタジエン</t>
  </si>
  <si>
    <t>{F687773F-9372-46DD-A8C5-C29F58D46D7E}</t>
  </si>
  <si>
    <t>発酵法による有機化学工業製品, 4桁</t>
  </si>
  <si>
    <t>{5038D5F7-CBD6-4A60-8A04-06A988C73919}</t>
  </si>
  <si>
    <t>エチルアルコール, 95%換算</t>
  </si>
  <si>
    <t>{DCA5F299-09CD-4FD4-9DBA-BCCDAFFD83E3}</t>
  </si>
  <si>
    <t>環式中間物・合成染料・有機顔料, 4桁</t>
  </si>
  <si>
    <t>{F768C537-D1AE-43B3-ACB5-6AFF6BE510F3}</t>
  </si>
  <si>
    <t>テレフタル酸とジメチルテレフタレート</t>
  </si>
  <si>
    <t>{DD453560-29AD-4EC0-80A8-9A3F113EF695}</t>
  </si>
  <si>
    <t>{97902F45-6443-48B1-8556-E04C68A829BB}</t>
  </si>
  <si>
    <t>{3B6A5A70-9629-4A70-B692-BB36C1EA2019}</t>
  </si>
  <si>
    <t>{8E2EBA5D-C508-45DA-8129-D35B33A087FD}</t>
  </si>
  <si>
    <t>{CCD09D72-D1B5-4538-861B-9577C7C9B9E5}</t>
  </si>
  <si>
    <t>{1F50F58B-D96B-40E0-96D0-8C838B63939F}</t>
  </si>
  <si>
    <t>{D52286C2-C0EE-4BF1-BA9A-124797802D33}</t>
  </si>
  <si>
    <t>合成フェノール</t>
  </si>
  <si>
    <t>{DA286C34-4DAC-4FDF-8EC0-3EC2A44838AB}</t>
  </si>
  <si>
    <t>{86B512D3-0096-4CEF-A7A9-9762AF3C8EAF}</t>
  </si>
  <si>
    <t>{E3C69FA3-A27E-4492-ADC9-8A8D031B7442}</t>
  </si>
  <si>
    <t>無水フタル酸, o-キシレン</t>
  </si>
  <si>
    <t>{0A3ABB3E-46B4-4302-8FB0-A145A9A882A3}</t>
  </si>
  <si>
    <t>無水フタル酸, ナフタリン</t>
  </si>
  <si>
    <t>{4FA84605-43C9-4FEF-8E3D-A2BC376657E0}</t>
  </si>
  <si>
    <t>{4CF529CD-DFE2-41DC-AE97-843D4BD079B1}</t>
  </si>
  <si>
    <t>{DFCC7814-CF3F-4BA4-A960-89FDCB8C9440}</t>
  </si>
  <si>
    <t>{DECEEEAB-BD72-4BA5-A30E-A308659969A6}</t>
  </si>
  <si>
    <t>{F5687942-DEAA-4212-87A6-CDF44952059F}</t>
  </si>
  <si>
    <t>クメン</t>
  </si>
  <si>
    <t>{DC016E8C-4A69-4C06-9892-C942CB14E033}</t>
  </si>
  <si>
    <t>{5BB8E4A0-B393-42CE-B93D-8754BB8E7CBC}</t>
  </si>
  <si>
    <t>{292CA549-B835-4C38-95B8-1FCA0092CA9C}</t>
  </si>
  <si>
    <t>{8B21CC03-FB91-4ED8-B5EE-DC7F04A821D5}</t>
  </si>
  <si>
    <t>{F48A31C7-EBB0-4885-9658-8BCEF0707C71}</t>
  </si>
  <si>
    <t>{2B557ACB-EBA3-469D-856B-84B12CB5E31F}</t>
  </si>
  <si>
    <t>{1BA1A208-9E79-4DEB-9760-1E11CACC8870}</t>
  </si>
  <si>
    <t>プラスチック, 4桁</t>
  </si>
  <si>
    <t>{C1046106-4824-4B99-B3BB-84C813EBEE44}</t>
  </si>
  <si>
    <t>{8F705D9A-ADC2-484F-9947-150B73D30170}</t>
  </si>
  <si>
    <t>ユリア樹脂</t>
  </si>
  <si>
    <t>{9CDCAB06-9CCA-4C45-9E02-0C1743EE9051}</t>
  </si>
  <si>
    <t>メラミン樹脂</t>
  </si>
  <si>
    <t>{353A48B1-97AA-4277-A3E2-317222B8ABF7}</t>
  </si>
  <si>
    <t>{C35932E3-F3C0-4D90-8B92-EDF3F630B30A}</t>
  </si>
  <si>
    <t>{A52B0403-2D5B-4E4D-8DAB-3F54EA3BF7DE}</t>
  </si>
  <si>
    <t>{8E174554-A243-4D5A-BA76-1306B756B985}</t>
  </si>
  <si>
    <t>{8CC0F560-44A1-403C-9670-2699658EF4AF}</t>
  </si>
  <si>
    <t>{2B9C3C6E-A5DA-4EC0-A948-64CBBE2F3A15}</t>
  </si>
  <si>
    <t>{E7EA8084-5885-4C8E-A089-17B2EF0C0E32}</t>
  </si>
  <si>
    <t>{B9A54ECB-DC36-45F7-A297-19F13BAD9753}</t>
  </si>
  <si>
    <t>ポリスチレン, 一般用</t>
  </si>
  <si>
    <t>{29AE1767-99F8-4D18-9A17-F2D0B012488D}</t>
  </si>
  <si>
    <t>ポリスチレン, 耐衝撃性</t>
  </si>
  <si>
    <t>{7C774FF0-4E32-405D-81CF-430DA4C7E610}</t>
  </si>
  <si>
    <t>ポリスチレン, 難燃性</t>
  </si>
  <si>
    <t>{29ACBFCA-DE3F-4EEF-89E9-159B4B17386F}</t>
  </si>
  <si>
    <t>発泡ポリスチレン（EPS）</t>
  </si>
  <si>
    <t>{C1A36CD1-E8BB-46C4-A60C-10012C9E8533}</t>
  </si>
  <si>
    <t>{8355BFF4-CA03-4785-ABCE-A1D49CAEFB26}</t>
  </si>
  <si>
    <t>{9BE8092E-1998-48D4-8C5D-1F5BA96054BB}</t>
  </si>
  <si>
    <t>塩化ビニル樹脂</t>
  </si>
  <si>
    <t>{27F87543-466D-4F89-AE5E-0CEEC6C68022}</t>
  </si>
  <si>
    <t>{35570E9B-CAB0-4B3D-9856-292806E8DF97}</t>
  </si>
  <si>
    <t>{7AE70FE3-536A-4368-B4BB-149FD560E876}</t>
  </si>
  <si>
    <t>{54C773EA-0BB7-446D-A78E-B62F3B78E6C4}</t>
  </si>
  <si>
    <t>{4EE80FDC-9998-4D53-A152-46D5142B7D8C}</t>
  </si>
  <si>
    <t>{BAC70574-2C34-4F5B-A4D3-6C6546089B93}</t>
  </si>
  <si>
    <t>{E7D6CD56-648C-410E-8E90-39CA3C26FC23}</t>
  </si>
  <si>
    <t>{6A28BDAA-73FE-4955-907D-F4F0F0268C72}</t>
  </si>
  <si>
    <t>{F87DFED6-6422-45F2-80DC-BB4D8E973506}</t>
  </si>
  <si>
    <t>{AC0CF6D8-62AE-4410-B3C8-5E8772254F38}</t>
  </si>
  <si>
    <t>ポリカーボネート, 界面重合法</t>
  </si>
  <si>
    <t>{55D9C3AF-EF2D-44A3-94A4-F030282B5987}</t>
  </si>
  <si>
    <t>ポリカーボネート, エステル交換法</t>
  </si>
  <si>
    <t>{FA95CA97-9652-48EC-9D54-D2375D6BDC02}</t>
  </si>
  <si>
    <t>{21BEDE41-573D-4824-9EBD-8BC4BFFBD5B7}</t>
  </si>
  <si>
    <t>{F18E8D60-16D8-4E4E-944B-E356C54CC849}</t>
  </si>
  <si>
    <t>合成ゴム(合成ラテックスを含む), 4桁</t>
  </si>
  <si>
    <t>{160AED87-0EDB-4A15-B371-C7DF32B5748A}</t>
  </si>
  <si>
    <t>合成ゴム(合成ラテックスを含む)</t>
  </si>
  <si>
    <t>{7B271884-532A-4CF5-ACB6-3B2F323239CE}</t>
  </si>
  <si>
    <t>{1DA5E5F5-C98C-44BF-B2C0-623DADF92B57}</t>
  </si>
  <si>
    <t>クロロプレンゴム, ブタジエン</t>
  </si>
  <si>
    <t>{A7B1F962-31BD-4E36-A307-BCE23189DB09}</t>
  </si>
  <si>
    <t>クロロプレンゴム, アセチレン</t>
  </si>
  <si>
    <t>{1DE802D5-F2C9-43C1-8698-DB92568BDE6C}</t>
  </si>
  <si>
    <t>他に分類されない有機化学工業製品, 4桁</t>
  </si>
  <si>
    <t>{962D1D9A-200F-44C6-A669-250ED0D80B92}</t>
  </si>
  <si>
    <t>{D2C8F629-7E43-4238-8FF4-C67E2DBDA8C1}</t>
  </si>
  <si>
    <t>クロルフルオルメタン、クロルフルオルエタン(フロン)</t>
  </si>
  <si>
    <t>{DDCAA637-A9EA-4740-8349-F78F780C4466}</t>
  </si>
  <si>
    <t>1,1,1,2-テトラフルオロエタン</t>
  </si>
  <si>
    <t>{848D9A37-5C0D-4780-B052-4C38C8623810}</t>
  </si>
  <si>
    <t>1,1-ジクロロ-1-フルオロエタン</t>
  </si>
  <si>
    <t>{62FADE7B-F036-4DA2-9951-69C86C270CF2}</t>
  </si>
  <si>
    <t>{FFFA7DB9-D8B6-4691-8D97-2CE09E15F952}</t>
  </si>
  <si>
    <t>{90815EA8-01E4-42FD-BCE0-E62CDD2AC23E}</t>
  </si>
  <si>
    <t>{91D63D9D-9B43-48E2-92E1-8F6CD0362606}</t>
  </si>
  <si>
    <t>メタン, シクロヘキサン副生</t>
  </si>
  <si>
    <t>{242308AD-BC79-4187-B2ED-2258A35BB339}</t>
  </si>
  <si>
    <t>{3C6644AF-86EE-4F8C-9F1E-E8EBB190BB97}</t>
  </si>
  <si>
    <t>メタノールの燃焼エネルギー</t>
  </si>
  <si>
    <t>{FEDA42FC-51F2-4F8B-BFAA-D06B65249E42}</t>
  </si>
  <si>
    <t>ジメチルエーテルの燃焼エネルギー</t>
  </si>
  <si>
    <t>{87E8E8E2-D0C5-408A-A5ED-D5D065B3187A}</t>
  </si>
  <si>
    <t>メタンの燃焼エネルギー</t>
  </si>
  <si>
    <t>{4F33880A-4224-40E1-AB5D-4DC6555E0F19}</t>
  </si>
  <si>
    <t>{E127B50B-D383-4150-A5C5-7F0A4E175A38}</t>
  </si>
  <si>
    <t>{ABF1EBC7-96B7-46C0-A36A-60B856739C2F}</t>
  </si>
  <si>
    <t>{A2C5927F-0A3A-4AA3-907E-6AEA483C7BAF}</t>
  </si>
  <si>
    <t>{653B3571-8065-4946-85CB-6B6F5A9C50FD}</t>
  </si>
  <si>
    <t>{A8368C2A-D345-4112-AA2C-876050E66743}</t>
  </si>
  <si>
    <t>{CAC9D550-9328-422A-A933-887B82DFA507}</t>
  </si>
  <si>
    <t>{205EFF2F-8920-4B91-B622-64423189D117}</t>
  </si>
  <si>
    <t>くえん酸(発酵法以外のもの)</t>
  </si>
  <si>
    <t>{EC05DD75-2E9E-4B6B-A1DD-42C4F51704EE}</t>
  </si>
  <si>
    <t>{2C9095B9-9BDE-434D-A173-0793D49828BE}</t>
  </si>
  <si>
    <t>{725B2588-7AF1-45E5-A987-B6DFEFC8C1F1}</t>
  </si>
  <si>
    <t>エチルターシャリーブチルエーテル(ETBE)の燃焼エネルギー</t>
  </si>
  <si>
    <t>{EA21F830-372F-4F1A-A6F6-FE8ACA40B3F8}</t>
  </si>
  <si>
    <t>レーヨン・アセテート, 4桁</t>
  </si>
  <si>
    <t>{90E169FD-0222-4A92-B2B5-D4FBB44A90A0}</t>
  </si>
  <si>
    <t>{9850ADDC-562D-40B9-8FC5-943596D602D2}</t>
  </si>
  <si>
    <t>{44CDC7FD-F118-48FA-A9C0-361881AE304E}</t>
  </si>
  <si>
    <t>キュプラ長繊維糸・短繊維・アセテート長繊維糸・短繊維</t>
  </si>
  <si>
    <t>{5BA4BB4A-9B56-44EA-A7C5-400451E6426E}</t>
  </si>
  <si>
    <t>合成繊維, 4桁</t>
  </si>
  <si>
    <t>{DFD78964-10DC-4818-9382-2856C1C60675}</t>
  </si>
  <si>
    <t>{A1BA7BB1-2813-44C7-9F88-98091256CC5A}</t>
  </si>
  <si>
    <t>{4FDF3C9C-7FF2-4158-AC16-71CB37C20B6A}</t>
  </si>
  <si>
    <t>{18E4648F-C68F-4226-AB67-698A6779C37B}</t>
  </si>
  <si>
    <t>{EFED5948-6D21-478A-B026-9788136ABC3A}</t>
  </si>
  <si>
    <t>{65C90848-ED8E-4F3D-887C-97D0CC24F588}</t>
  </si>
  <si>
    <t>{F6A8F1CB-CBF5-4345-BCD3-8030A70BDAD4}</t>
  </si>
  <si>
    <t>{848499B9-CAA2-4B91-A210-110145226FCF}</t>
  </si>
  <si>
    <t>脂肪酸・硬化油・グリセリン, 4桁</t>
  </si>
  <si>
    <t>{EC2025AB-8300-43B2-85F4-732F20017B16}</t>
  </si>
  <si>
    <t>脂肪酸, 直分・硬分</t>
  </si>
  <si>
    <t>{D131C774-99AF-4318-83CA-A0C8FCA711C4}</t>
  </si>
  <si>
    <t>{2E53438F-DA9D-4792-AAC6-2137666E681B}</t>
  </si>
  <si>
    <t>硬化油, 工業用・食料用</t>
  </si>
  <si>
    <t>{F180F954-648F-4A9C-A5B5-812CCDFE48E2}</t>
  </si>
  <si>
    <t>精製グリセリン</t>
  </si>
  <si>
    <t>{437F45EC-1782-48CA-973D-2B6B59D58632}</t>
  </si>
  <si>
    <t>高級アルコール, 還元・蒸留</t>
  </si>
  <si>
    <t>{FA544615-FF7E-4B8C-9596-2D61090869D5}</t>
  </si>
  <si>
    <t>{ACEBD62B-DEC5-4176-ADA3-315706B29209}</t>
  </si>
  <si>
    <t>石けん・合成洗剤, 4桁</t>
  </si>
  <si>
    <t>{E8858BB7-5D76-42D8-8DCC-A91FBD5ACA0D}</t>
  </si>
  <si>
    <t>浴用石けん(薬用・液状を含む)</t>
  </si>
  <si>
    <t>{EA1F60A7-338C-4786-AC29-556D3C96D04D}</t>
  </si>
  <si>
    <t>洗濯石けん(固型・粉末)</t>
  </si>
  <si>
    <t>{14B66A49-CC48-4475-AD6D-94EA82B24617}</t>
  </si>
  <si>
    <t>{9F88D545-2019-4630-BA4D-2D510DA69EEB}</t>
  </si>
  <si>
    <t>{A03A7616-2A71-4308-AD31-49EDF9DC23AB}</t>
  </si>
  <si>
    <t>{B6BC33C7-D6C2-4F0D-86F1-E6F6B18D5B5A}</t>
  </si>
  <si>
    <t>{EFFF7C78-3D66-4D78-9B25-7BC790D61A56}</t>
  </si>
  <si>
    <t>液状身体洗浄剤(液状石けんを除く)</t>
  </si>
  <si>
    <t>{029B9220-C1A3-4132-84CE-D45AF5D7646E}</t>
  </si>
  <si>
    <t>{21F40EA6-5685-435A-AA23-4B1C1239CCFC}</t>
  </si>
  <si>
    <t>界面活性剤(石けん・合成洗剤を除く), 4桁</t>
  </si>
  <si>
    <t>{A3680668-E773-499B-B3E4-2AD3A406B645}</t>
  </si>
  <si>
    <t>{4EF8FD18-C9BD-4016-BA6E-8C93CEF8304F}</t>
  </si>
  <si>
    <t>{8F9A3AB5-A225-481B-89E0-3AE5924099BA}</t>
  </si>
  <si>
    <t>{A9E108D8-E097-4013-9A33-B18CC3D0E281}</t>
  </si>
  <si>
    <t>{29A5D983-CC57-40BA-8461-600DA7F66124}</t>
  </si>
  <si>
    <t>塗料, 4桁</t>
  </si>
  <si>
    <t>{DDC73A0F-6036-4A52-9CFB-2BBCB4D828D7}</t>
  </si>
  <si>
    <t>{A2E1A38A-FC7A-4291-AA36-F046280E607D}</t>
  </si>
  <si>
    <t>{BA8B6D47-4F81-4D10-9244-E0075E54ED7A}</t>
  </si>
  <si>
    <t>{C2A2AD25-C0AE-409D-8BE9-C9819D1D9155}</t>
  </si>
  <si>
    <t>{76787EFE-256C-4E23-A8DD-CBE254397708}</t>
  </si>
  <si>
    <t>{DCEFCAC3-EF48-4E6C-944F-41B1A352F0BC}</t>
  </si>
  <si>
    <t>{A515D285-DB8A-4C97-9A38-EC544D7E0559}</t>
  </si>
  <si>
    <t>{23F865C0-6EC3-4B58-AEF1-9A78B4AB3B3C}</t>
  </si>
  <si>
    <t>その他の塗料・同関連製品</t>
  </si>
  <si>
    <t>{0304D333-EFDA-407B-AD17-4130B4591F70}</t>
  </si>
  <si>
    <t>印刷インキ, 4桁</t>
  </si>
  <si>
    <t>{1CA8816A-34B6-48A5-8977-E5BFDDB25938}</t>
  </si>
  <si>
    <t>{A66F517D-5737-4FDD-B9EB-DC1A91572536}</t>
  </si>
  <si>
    <t>{45627E76-7E23-4327-8E14-FD63C20785DD}</t>
  </si>
  <si>
    <t>{BDD6CB5A-30CC-40D3-866F-C3C059880148}</t>
  </si>
  <si>
    <t>洗浄剤・磨用剤, 4桁</t>
  </si>
  <si>
    <t>{F73098F7-A205-41D4-B1A2-0504BE311534}</t>
  </si>
  <si>
    <t>{4E4DA626-2872-4D40-94ED-EFCE7631E156}</t>
  </si>
  <si>
    <t>{9A00E7D7-AB69-47EA-99F7-B19501F87169}</t>
  </si>
  <si>
    <t>{A53EDB01-D286-4D1F-A405-32E0DF052BD5}</t>
  </si>
  <si>
    <t>ろうそく, 4桁</t>
  </si>
  <si>
    <t>{FEC86022-02CB-4DD9-9EEE-B8BDBA11D0F4}</t>
  </si>
  <si>
    <t>{986DAAEF-E6A9-4139-85EC-DE8580EB0C55}</t>
  </si>
  <si>
    <t>医薬品製剤(医薬部外品製剤を含む), 4桁</t>
  </si>
  <si>
    <t>{21F3246C-DC0F-4AE8-ACAE-7B5E9B5A3392}</t>
  </si>
  <si>
    <t>医薬品製剤(医薬部外品製剤を含む)</t>
  </si>
  <si>
    <t>{132FE240-503F-4D5F-B215-9265F9F5192F}</t>
  </si>
  <si>
    <t>仕上用・皮膚用化粧品(香水・オーデコロンを含む), 4桁</t>
  </si>
  <si>
    <t>{3556E2C0-2610-42DB-BE1A-618C3C12461A}</t>
  </si>
  <si>
    <t>香水・オーデコロン</t>
  </si>
  <si>
    <t>{2E132E93-ADBC-40A3-B802-E2E8D3F84A01}</t>
  </si>
  <si>
    <t>{7F53482F-FF4D-459A-85E4-5E3C71B0594C}</t>
  </si>
  <si>
    <t>{2C51BEF2-8AB6-455D-978C-55AB1913CD17}</t>
  </si>
  <si>
    <t>口紅・ほお紅・アイシャドー</t>
  </si>
  <si>
    <t>{E5D58972-3401-4A1C-9610-5E4A4097C05A}</t>
  </si>
  <si>
    <t>{1CD4CB7F-F18E-4744-9483-15B47A2A8FD1}</t>
  </si>
  <si>
    <t>{93F30DCE-0AF8-42A7-8235-1DD36903BF12}</t>
  </si>
  <si>
    <t>{F1FE0E0E-32FF-471B-862D-40319B2295F1}</t>
  </si>
  <si>
    <t>{1B3584F2-CDA0-4602-9988-88F51A4BAE18}</t>
  </si>
  <si>
    <t>頭髪用化粧品, 4桁</t>
  </si>
  <si>
    <t>{C937BE21-C2BE-46BF-BAF4-AE5C224572BA}</t>
  </si>
  <si>
    <t>シャンプー・ヘアリンス</t>
  </si>
  <si>
    <t>{8669988F-7E0C-48CD-AA2C-FE4D772DCD77}</t>
  </si>
  <si>
    <t>{47A5AD8D-EA9C-40B7-9DC4-0AB03C323902}</t>
  </si>
  <si>
    <t>{A17D58A4-C14E-47F3-8D56-54E25B556A28}</t>
  </si>
  <si>
    <t>{E26878C1-64ED-45C4-902B-7CCB347F12AE}</t>
  </si>
  <si>
    <t>火薬類, 4桁</t>
  </si>
  <si>
    <t>{0D2E9D00-0A46-489A-AA1C-15235047C5DA}</t>
  </si>
  <si>
    <t>{BC71C55B-71E3-4CBA-B19B-CFA80987A0E2}</t>
  </si>
  <si>
    <t>{17B519C8-7509-482A-81BF-CC38CD589192}</t>
  </si>
  <si>
    <t>農薬, 4桁</t>
  </si>
  <si>
    <t>{ACE11328-605C-4192-8D89-DE59299A0780}</t>
  </si>
  <si>
    <t>{620D961F-B068-4D87-9745-F311A100D366}</t>
  </si>
  <si>
    <t>{39972928-CC04-41B8-95BA-C4B9A4CB6F09}</t>
  </si>
  <si>
    <t>{8FA06C62-14F1-4EB0-8E2F-3911CA8493A3}</t>
  </si>
  <si>
    <t>香料, 4桁</t>
  </si>
  <si>
    <t>{41C1EDB5-67E0-452D-BA06-F7A5B0ABFCF5}</t>
  </si>
  <si>
    <t>{11AEAD99-D61C-4D9A-9EBE-474D24AC7DA9}</t>
  </si>
  <si>
    <t>{D93682C2-8F5A-4BA9-BFF4-137B0D19FF28}</t>
  </si>
  <si>
    <t>{CDF8360C-59C3-4B76-9A9F-433DDD8AA7D6}</t>
  </si>
  <si>
    <t>ゼラチン・接着剤, 4桁</t>
  </si>
  <si>
    <t>{0F60E367-099C-439E-9E05-0FEAC2835C66}</t>
  </si>
  <si>
    <t>ゼラチン・にかわ</t>
  </si>
  <si>
    <t>{54A0D469-E381-4539-B765-63B233474BC8}</t>
  </si>
  <si>
    <t>セルロース系接着剤・プラスチック系接着剤</t>
  </si>
  <si>
    <t>{1946DD12-FE3C-4CB7-880F-48637E444959}</t>
  </si>
  <si>
    <t>{FB38E057-1817-4EDD-A9F8-86ECC14EBD39}</t>
  </si>
  <si>
    <t>写真感光材料, 4桁</t>
  </si>
  <si>
    <t>{19D5398C-C3FE-46DF-94DA-7BF743B2198D}</t>
  </si>
  <si>
    <t>写真フィルム(乾板を含む)</t>
  </si>
  <si>
    <t>{FE5D0BDF-D047-4808-BF8F-C91EFE5B3ED2}</t>
  </si>
  <si>
    <t>{E65A70E8-2AEF-4D01-B8E7-3971BBA88B17}</t>
  </si>
  <si>
    <t>{F1EC7CFD-CD26-4E5F-ABF2-0E311A354246}</t>
  </si>
  <si>
    <t>感光紙(青写真感光紙・複写感光紙)</t>
  </si>
  <si>
    <t>{B09B6517-9336-4366-A1E9-5199D25C30EA}</t>
  </si>
  <si>
    <t>天然樹脂製品(天然染料を含む)</t>
  </si>
  <si>
    <t>{2503FB89-C1C9-45AA-8C61-97CAFC444429}</t>
  </si>
  <si>
    <t>{404169DD-5C58-4C8F-9FEF-6473DE55FCD9}</t>
  </si>
  <si>
    <t>他に分類されない化学工業製品, 4桁</t>
  </si>
  <si>
    <t>{68A36EFF-A200-42DC-BFAF-6F822ECCCF23}</t>
  </si>
  <si>
    <t>デキストリン(可溶性でんぷんを含む)</t>
  </si>
  <si>
    <t>{C00A67AB-B3E0-498D-A9DD-6006BBB171B6}</t>
  </si>
  <si>
    <t>{16409F78-CB01-4D85-9F4A-3BCBF9A1A83D}</t>
  </si>
  <si>
    <t>{4A8766CC-B0F6-416F-A02B-7EA427E809CF}</t>
  </si>
  <si>
    <t>純水, 蒸留・イオン交換膜法</t>
  </si>
  <si>
    <t>{E1E9D01B-B542-49C8-9718-213D072D1772}</t>
  </si>
  <si>
    <t>純水, イオン交換膜法</t>
  </si>
  <si>
    <t>{6AF0FB59-E1E7-4355-9C16-F90868C19C51}</t>
  </si>
  <si>
    <t>石油精製製品, 4桁</t>
  </si>
  <si>
    <t>{02B1B767-3D96-4E6C-9970-2055BA3825C8}</t>
  </si>
  <si>
    <t>{BC436DEE-8D07-4EFF-953C-CBF7AC683D02}</t>
  </si>
  <si>
    <t>ガソリンの燃焼エネルギー</t>
  </si>
  <si>
    <t>{F153E24C-0841-4E0C-8A01-E6CCAF4EEDB7}</t>
  </si>
  <si>
    <t>{A5C79AEF-A3A1-4F13-BC2D-1E7404B52994}</t>
  </si>
  <si>
    <t>ナフサの燃焼エネルギー</t>
  </si>
  <si>
    <t>{F50F4AF6-25FD-4F1D-9910-33A1BEEDB247}</t>
  </si>
  <si>
    <t>{33E0DD79-0D5A-4669-A103-2DA355D7A820}</t>
  </si>
  <si>
    <t>ジェット燃料油の燃焼エネルギー</t>
  </si>
  <si>
    <t>{071E2C84-1409-4746-9B13-9AE76BA25AA1}</t>
  </si>
  <si>
    <t>{9A09851B-2A7F-47AE-9DA0-7924E934EDE4}</t>
  </si>
  <si>
    <t>灯油の燃焼エネルギー</t>
  </si>
  <si>
    <t>{6B09A039-C210-4D06-BE35-2AFA1FEBA08C}</t>
  </si>
  <si>
    <t>灯油の燃焼エネルギー, 内燃機関, ガスタービン（輸送用を除く）</t>
  </si>
  <si>
    <t>{3490E798-A58C-4122-B82F-6B27D2A0971D}</t>
  </si>
  <si>
    <t>{44B18081-DB41-450B-8FC8-037FF3DB4E62}</t>
  </si>
  <si>
    <t>軽油の燃焼エネルギー</t>
  </si>
  <si>
    <t>{80F19BB9-88E4-4541-AF2B-04D9D5C99C60}</t>
  </si>
  <si>
    <t>軽油の燃焼エネルギー, 内燃機関, ガスタービン（輸送用を除く）</t>
  </si>
  <si>
    <t>{4190C687-930F-480D-BCA0-DFDFE58AB33D}</t>
  </si>
  <si>
    <t>軽油の燃焼エネルギー, 内燃機関, ディーゼル機関（輸送用を除く）</t>
  </si>
  <si>
    <t>{F4742035-54A0-46A2-9DFF-2641206E777F}</t>
  </si>
  <si>
    <t>{D60AA7C5-4693-4142-9C21-B82C5936299F}</t>
  </si>
  <si>
    <t>A重油の燃焼エネルギー</t>
  </si>
  <si>
    <t>{27A9D7D6-90D2-4F23-A361-5F5833558310}</t>
  </si>
  <si>
    <t>{C9ACF3E2-FA4C-46B4-8306-31D9A5C545A6}</t>
  </si>
  <si>
    <t>B重油の燃焼エネルギー</t>
  </si>
  <si>
    <t>{D7E01F28-4000-4B14-B18D-2E5E07AB75A7}</t>
  </si>
  <si>
    <t>{F0ADE4C0-0E7D-4693-9F0A-D9AF039F6DB9}</t>
  </si>
  <si>
    <t>C重油の燃焼エネルギー</t>
  </si>
  <si>
    <t>{3E3DC6F7-2636-4DF8-8EB7-29EF812D008C}</t>
  </si>
  <si>
    <t>潤滑油(グリースを含む)</t>
  </si>
  <si>
    <t>{9E521482-131B-430C-9872-0878A98B0DB4}</t>
  </si>
  <si>
    <t>{AC93CE2D-BDA3-4623-B1A9-523500A37714}</t>
  </si>
  <si>
    <t>{EB28002B-A1F2-435D-A65E-BD0BEA5B90CC}</t>
  </si>
  <si>
    <t>{47BCCDBB-6A3D-4B5D-8AFA-01BE1796E624}</t>
  </si>
  <si>
    <t>液化石油ガス（LPG）の燃焼エネルギー</t>
  </si>
  <si>
    <t>{C12371A6-2285-45C6-9ABB-4D64F75F4ACE}</t>
  </si>
  <si>
    <t>液化石油ガス（LPG）の燃焼エネルギー, 内燃機関, ガスタービン（輸送用を除く）</t>
  </si>
  <si>
    <t>{B00F8E0F-A04C-43EA-82F2-D8DB0134C985}</t>
  </si>
  <si>
    <t>炭化水素油</t>
  </si>
  <si>
    <t>{984937EA-AA1C-480F-89CD-F73ECAFD82D4}</t>
  </si>
  <si>
    <t>炭化水素油の燃焼エネルギー</t>
  </si>
  <si>
    <t>{A010459D-CC73-401C-BE03-BFB6E142DF4F}</t>
  </si>
  <si>
    <t>{98DBAE83-C3F2-4DE6-97DC-3403E2554062}</t>
  </si>
  <si>
    <t>製油所ガスの燃焼エネルギー</t>
  </si>
  <si>
    <t>{0A45982F-19B5-4F9F-9489-0078FDCD85A0}</t>
  </si>
  <si>
    <t>石油系炭化水素ガスの燃焼エネルギー</t>
  </si>
  <si>
    <t>{B5FEE788-EE70-4F83-A581-4E5F533A078A}</t>
  </si>
  <si>
    <t>潤滑油(石油精製によらないもの), 4桁</t>
  </si>
  <si>
    <t>{C8333D3B-3E30-4332-9905-7D8130CD1010}</t>
  </si>
  <si>
    <t>潤滑油(石油精製によらないもの)</t>
  </si>
  <si>
    <t>{80C6BE5E-C077-4CA0-882C-965540C417EA}</t>
  </si>
  <si>
    <t>グリース(石油精製によらないもの), 4桁</t>
  </si>
  <si>
    <t>{464C0E63-00A1-4D86-90CD-785033F95DB3}</t>
  </si>
  <si>
    <t>グリース(石油精製によらないもの)</t>
  </si>
  <si>
    <t>{430612D7-1A87-4D9E-B8E1-05CD148011DC}</t>
  </si>
  <si>
    <t>コークス･同副生品, 4桁</t>
  </si>
  <si>
    <t>{36B9E640-D4BF-4B11-965D-00FB071040D0}</t>
  </si>
  <si>
    <t>{5540FAA3-E2D4-4F59-85F2-39671E8FFF34}</t>
  </si>
  <si>
    <t>コークス, 鉄鋼用</t>
  </si>
  <si>
    <t>{212898AC-3E9F-415C-8D7C-1E734404BA9A}</t>
  </si>
  <si>
    <t>コークスの燃焼エネルギー</t>
  </si>
  <si>
    <t>{F0E374F3-C7E5-44AF-8E28-2A8889ADEBD0}</t>
  </si>
  <si>
    <t>コークスの燃焼エネルギー, 鉄鋼用</t>
  </si>
  <si>
    <t>{B766AE27-C657-47B7-910F-D837FA8C6FD3}</t>
  </si>
  <si>
    <t>燃料ガス(高炉ガス・コークス炉ガスを含む)</t>
  </si>
  <si>
    <t>{10252DAD-53D3-42C9-83F3-0211D12B29BA}</t>
  </si>
  <si>
    <t>コークス炉ガス(COG)の燃焼エネルギー</t>
  </si>
  <si>
    <t>{8C53AB23-B020-4654-BF7A-195A5E98D8E1}</t>
  </si>
  <si>
    <t>高炉ガス(BFG)の燃焼エネルギー</t>
  </si>
  <si>
    <t>{16CC8DAF-256C-4B2D-812F-D1B1101ECE6D}</t>
  </si>
  <si>
    <t>転炉ガス(LDG)の燃焼エネルギー</t>
  </si>
  <si>
    <t>{6EA43363-95FB-4F9D-A20E-D6F1017DCABF}</t>
  </si>
  <si>
    <t>電気炉ガス(EFG)の燃焼エネルギー</t>
  </si>
  <si>
    <t>{95B974C9-8D4E-400B-93A0-142FBA879EEC}</t>
  </si>
  <si>
    <t>{E27CAD1B-DDDD-4C0B-8B54-5EEA0BFCF5A7}</t>
  </si>
  <si>
    <t>タールの燃焼エネルギー</t>
  </si>
  <si>
    <t>{70DDD853-D8AC-4582-94D2-BA50E4DE96EC}</t>
  </si>
  <si>
    <t>{F7EF7A7D-26AC-4517-8159-AECE03F2DA59}</t>
  </si>
  <si>
    <t>練炭・豆炭, 4桁</t>
  </si>
  <si>
    <t>{5959846D-4E8C-455C-A8A8-C21779EB83EF}</t>
  </si>
  <si>
    <t>{314409B7-5E37-4EE6-A957-84DDF964C3A9}</t>
  </si>
  <si>
    <t>練炭・豆炭の燃焼エネルギー</t>
  </si>
  <si>
    <t>{9145ABFA-8847-4799-B49E-564CC14A5EEC}</t>
  </si>
  <si>
    <t>その他の石油製品・石炭製品, 4桁</t>
  </si>
  <si>
    <t>{885B7843-F7AA-4A58-88A2-9A23F03905BF}</t>
  </si>
  <si>
    <t>{1E17E75A-6EA1-42A5-B404-0355235F5874}</t>
  </si>
  <si>
    <t>他に分類されない石油製品・石炭製品(回収いおうを除く)</t>
  </si>
  <si>
    <t>{9F28D64D-BD19-40A4-8FF0-F10E2661C63A}</t>
  </si>
  <si>
    <t>ディレードコークス</t>
  </si>
  <si>
    <t>{D126C423-99F5-4B86-98CF-944F0255AF1E}</t>
  </si>
  <si>
    <t>オイルコークスの燃焼エネルギー</t>
  </si>
  <si>
    <t>{E8458B7E-E1B4-406E-9534-3417A18822C2}</t>
  </si>
  <si>
    <t>プラスチック板・棒, 4桁</t>
  </si>
  <si>
    <t>{9A075F24-5179-4F36-8757-8ECCFFFE1CCB}</t>
  </si>
  <si>
    <t>プラスチック平板, 厚さ0.5mm以上で硬質のもの</t>
  </si>
  <si>
    <t>{39CB929D-2AEE-42AF-9CAC-30389A2B42D4}</t>
  </si>
  <si>
    <t>プラスチック波板, 厚さ0.5mm以上で硬質のもの</t>
  </si>
  <si>
    <t>{FE882100-FE50-4F75-BA34-3A3BB81518F8}</t>
  </si>
  <si>
    <t>{47F9D2F6-605A-4B9E-B0C5-FC9571F15C6E}</t>
  </si>
  <si>
    <t>{F1633330-9D5F-4846-8AFF-365A65374CDA}</t>
  </si>
  <si>
    <t>{D6D5E39D-FFEE-42DE-976A-C9DA28B6D508}</t>
  </si>
  <si>
    <t>プラスチック管, 4桁</t>
  </si>
  <si>
    <t>{497A93CC-F685-4E23-BBFD-EFF4C41911A7}</t>
  </si>
  <si>
    <t>{F3BDD8DC-D913-4BA9-AE8B-B451C546D3A0}</t>
  </si>
  <si>
    <t>{0EEA7E06-2431-4245-80A5-3127FAF1144C}</t>
  </si>
  <si>
    <t>プラスチック継手(バルブ・コックを含む), 4桁</t>
  </si>
  <si>
    <t>{ABE5A588-0CE0-4141-B669-5EC3EDDEEA50}</t>
  </si>
  <si>
    <t>プラスチック継手(バルブ・コックを含む)</t>
  </si>
  <si>
    <t>{C30A63EE-3CA0-4C8A-AE1C-9A9C6D5C8E53}</t>
  </si>
  <si>
    <t>プラスチック異形押出製品, 4桁</t>
  </si>
  <si>
    <t>{A8C17C8E-4399-4945-A966-1266739B9EA8}</t>
  </si>
  <si>
    <t>{D9A50985-D21B-403C-AB79-6307DCC103AF}</t>
  </si>
  <si>
    <t>{2DD3D78C-88C9-4203-9C26-1C1D95BB1FD5}</t>
  </si>
  <si>
    <t>プラスチックフィルム, 4桁</t>
  </si>
  <si>
    <t>{3CDB25CB-6F05-4F97-AE7C-7BF509C1FC0A}</t>
  </si>
  <si>
    <t>包装用軟質プラスチックフィルム, 厚さ0.2mm未満で軟質のもの</t>
  </si>
  <si>
    <t>{43A7889E-1916-473E-995F-32782056B13E}</t>
  </si>
  <si>
    <t>その他の軟質プラスチックフィルム, 厚さ0.2mm未満で軟質のもの</t>
  </si>
  <si>
    <t>{6EE94629-F7AE-4BC5-95B0-879912595E02}</t>
  </si>
  <si>
    <t>{682FE2B7-609D-4A50-9AB0-8E9F19856C31}</t>
  </si>
  <si>
    <t>硬質プラスチックフィルム, 厚さ0.5mm未満で硬質のもの</t>
  </si>
  <si>
    <t>{95AFCC1A-F437-4C57-BCA6-8572DEB87E77}</t>
  </si>
  <si>
    <t>プラスチックシート, 厚さ0.2mm以上で軟質のもの, 4桁</t>
  </si>
  <si>
    <t>{08ECDA88-9E7C-43A9-9C15-B976F22B3F0B}</t>
  </si>
  <si>
    <t>プラスチックシート, 厚さ0.2mm以上で軟質のもの</t>
  </si>
  <si>
    <t>{57010010-101D-42D9-AE9F-1BC997793F01}</t>
  </si>
  <si>
    <t>プラスチック床材, 4桁</t>
  </si>
  <si>
    <t>{E0DDCC98-2735-4BBA-8E0F-288AE81237CF}</t>
  </si>
  <si>
    <t>{5BB7203F-7FFE-4867-8783-C1E441D19225}</t>
  </si>
  <si>
    <t>{3BE9371D-2530-450B-BBA2-4B7395B907C0}</t>
  </si>
  <si>
    <t>合成皮革, 4桁</t>
  </si>
  <si>
    <t>{34BADF60-FA4E-43DD-A759-D754B4909C56}</t>
  </si>
  <si>
    <t>{39904907-CA35-453F-8C3F-8CF2A340898E}</t>
  </si>
  <si>
    <t>梱包資材, HDPE袋</t>
  </si>
  <si>
    <t>{9CA6CF49-861F-41AF-A86C-0429E5B9841F}</t>
  </si>
  <si>
    <t>梱包資材, LDPE</t>
  </si>
  <si>
    <t>{EE7B7BFA-395D-4B4C-9550-E73848E0A0EF}</t>
  </si>
  <si>
    <t>工業用プラスチック製品(加工品を除く), 4桁</t>
  </si>
  <si>
    <t>{2CEC15C7-2E03-4985-817B-C0DD0CF8E3CA}</t>
  </si>
  <si>
    <t>{011AD240-1F81-4F9B-B48F-5D0ED09A6834}</t>
  </si>
  <si>
    <t>輸送機械用プラスチック製品(自動車用を除く)</t>
  </si>
  <si>
    <t>{C8BE6089-1B26-4C20-BC19-CF0B793CDED4}</t>
  </si>
  <si>
    <t>{1046BD13-9610-4E0B-8ED7-74C0A1E9C832}</t>
  </si>
  <si>
    <t>{71DD1680-BB97-49D0-9D19-BFD5DC7C7A6E}</t>
  </si>
  <si>
    <t>軟質プラスチック発泡製品(半硬質性を含む), 4桁</t>
  </si>
  <si>
    <t>{0C8914D4-4176-490C-B473-A683F4D028FB}</t>
  </si>
  <si>
    <t>軟質プラスチック発泡製品(半硬質性を含む)</t>
  </si>
  <si>
    <t>{E7473A2B-7318-426D-AF49-C7C589703487}</t>
  </si>
  <si>
    <t>硬質プラスチック発泡製品, 4桁</t>
  </si>
  <si>
    <t>{3E3762FC-358C-4ECE-846A-779E054E1246}</t>
  </si>
  <si>
    <t>硬質プラスチック発泡製品, 厚板, 厚さ3mm以上</t>
  </si>
  <si>
    <t>{EBBC719F-7755-49A8-B5CA-B0D7872D651C}</t>
  </si>
  <si>
    <t>硬質プラスチック発泡製品, 薄板, 厚さ3mm未満のもの</t>
  </si>
  <si>
    <t>{78CE097E-F585-405A-92CE-F47B041A8B20}</t>
  </si>
  <si>
    <t>{F062A67A-AE34-42C2-8F25-16C38F3D498E}</t>
  </si>
  <si>
    <t>強化プラスチック製板・棒・管・継手, 4桁</t>
  </si>
  <si>
    <t>{42646E67-122C-47B7-A431-9B57DF51AA12}</t>
  </si>
  <si>
    <t>{C6496D4E-46DB-4297-B0D4-80C97632C334}</t>
  </si>
  <si>
    <t>強化プラスチック製品, 4桁</t>
  </si>
  <si>
    <t>{0532DBAB-9A65-445D-A0B8-F0B5CDB6C4C8}</t>
  </si>
  <si>
    <t>{5FAAE46B-5D24-44B5-917B-62EE00400F03}</t>
  </si>
  <si>
    <t>{9212FC86-878C-4E96-A708-88DFFC957F50}</t>
  </si>
  <si>
    <t>{4530CF14-255D-42A3-B493-7F7BB79AC286}</t>
  </si>
  <si>
    <t>{9F22F836-ADEC-4055-9D30-4DA7AC7831D4}</t>
  </si>
  <si>
    <t>廃プラスチック製品, 4桁</t>
  </si>
  <si>
    <t>{FE4B3E6C-497D-42A1-AFF8-2B080D066DC5}</t>
  </si>
  <si>
    <t>{2426BB0E-CC6D-48A6-BC8A-D1ECBCB400F2}</t>
  </si>
  <si>
    <t>プラスチック製日用雑貨・食卓用品, 4桁</t>
  </si>
  <si>
    <t>{880FFE07-5978-4318-97AD-C289404F7761}</t>
  </si>
  <si>
    <t>{1EDC0358-99AB-49E9-B95B-C76A383001B0}</t>
  </si>
  <si>
    <t>プラスチック製容器, 4桁</t>
  </si>
  <si>
    <t>{D9A2D1CD-0B16-4588-BAB8-E3B15E3AEF2C}</t>
  </si>
  <si>
    <t>{88D4AAFF-7023-4411-8E19-1424FCEAFA1B}</t>
  </si>
  <si>
    <t>{AF32ADCC-07B2-4F72-99DE-706D8BDA2846}</t>
  </si>
  <si>
    <t>{D93C2B43-4ABE-4915-B87C-F76FC6C1873A}</t>
  </si>
  <si>
    <t>他に分類されないプラスチック製品, 4桁</t>
  </si>
  <si>
    <t>{6CF1358B-2AA3-4B10-9C16-5C19836D5C64}</t>
  </si>
  <si>
    <t>{8FEFCE27-CD40-402F-8A8E-02108028B113}</t>
  </si>
  <si>
    <t>自動車用タイヤ・チューブ, 4桁</t>
  </si>
  <si>
    <t>{B5E7C658-AC04-420B-AB91-B7768AE8123D}</t>
  </si>
  <si>
    <t>{46E91FFD-18AB-42B6-860E-DAC00D2D1489}</t>
  </si>
  <si>
    <t>{204009F5-2AEF-4AF6-919F-67F900108357}</t>
  </si>
  <si>
    <t>{7644E1AF-0D51-4EDE-883A-4B2FF59EC0B9}</t>
  </si>
  <si>
    <t>{48EC546E-EA5F-4D90-9357-FDF84B34F600}</t>
  </si>
  <si>
    <t>{A1F77D19-D43A-464D-9551-12617C3116FD}</t>
  </si>
  <si>
    <t>{F88E0E8E-C93B-4519-81CD-D0AA0CF03A4C}</t>
  </si>
  <si>
    <t>自転車用等タイヤ・チューブ, 4桁</t>
  </si>
  <si>
    <t>{68011A15-4EC8-48DE-AEAF-9B36F8049D31}</t>
  </si>
  <si>
    <t>{41D66E41-5C02-44A9-905A-1AF1D1A9AF57}</t>
  </si>
  <si>
    <t>{A7C19851-FD03-4446-AFB7-0D485298B43E}</t>
  </si>
  <si>
    <t>ゴム製履物・同附属品, 4桁</t>
  </si>
  <si>
    <t>{C3BC0A11-6993-4547-A5A7-4DBC3B3EE717}</t>
  </si>
  <si>
    <t>{E0C9B35A-ABCF-431B-83C0-3281AF2EEDD3}</t>
  </si>
  <si>
    <t>{B0E0883D-615D-4578-824E-64EAE5516089}</t>
  </si>
  <si>
    <t>{802A88D6-4F08-400F-9239-F6DCCDE94625}</t>
  </si>
  <si>
    <t>ゴム草履・スリッパ(スポンジ製のものを含む)</t>
  </si>
  <si>
    <t>{4D01D811-B921-4C6C-95FB-B05233DB04D5}</t>
  </si>
  <si>
    <t>{22C4DA16-0FDA-4A94-84D7-7E2006325C4D}</t>
  </si>
  <si>
    <t>プラスチック製履物・同附属品, 4桁</t>
  </si>
  <si>
    <t>{822DDDF5-A1A2-4210-8297-32494F3733BA}</t>
  </si>
  <si>
    <t>{BB022C59-5462-466A-991E-8E8BD1D7B82F}</t>
  </si>
  <si>
    <t>{821BB990-C777-4BBA-A3E1-4B0F3AF3682B}</t>
  </si>
  <si>
    <t>{76EB6D0C-D53E-4D80-8A95-9280AD1BB677}</t>
  </si>
  <si>
    <t>ゴムベルト, 4桁</t>
  </si>
  <si>
    <t>{9B64464C-E97E-43FE-A848-077DDDA37062}</t>
  </si>
  <si>
    <t>{94FD69F8-7361-476F-A571-229199D2FCCC}</t>
  </si>
  <si>
    <t>{3CCE73EB-94E8-41E1-B1F4-57B0997E42BA}</t>
  </si>
  <si>
    <t>Ｖベルト(ファンベルトを含む)</t>
  </si>
  <si>
    <t>{34220E20-764B-4109-8A62-70D5946586FF}</t>
  </si>
  <si>
    <t>{0833CD4B-1170-43ED-AABF-19A52C594F15}</t>
  </si>
  <si>
    <t>ゴムホース, 4桁</t>
  </si>
  <si>
    <t>{0BB349FF-3920-412B-AFAE-6EEE63F131CC}</t>
  </si>
  <si>
    <t>{6D33290C-1539-4A28-8165-2F6720871DA7}</t>
  </si>
  <si>
    <t>工業用ゴム製品, 4桁</t>
  </si>
  <si>
    <t>{D2A8AA33-1C0E-4CD8-9721-34D3B9927CF7}</t>
  </si>
  <si>
    <t>{7007123B-1007-49AF-86E9-617ED8AD79CD}</t>
  </si>
  <si>
    <t>{4F504ACD-39E9-457D-9029-B57976898328}</t>
  </si>
  <si>
    <t>{A3A00C5F-6FCC-473C-89F2-02920D09FC28}</t>
  </si>
  <si>
    <t>{CD4CC7B0-53C3-4D60-9085-7C2A07F5D3F5}</t>
  </si>
  <si>
    <t>{4F817A1A-CB8D-470A-A6D6-76B13440F842}</t>
  </si>
  <si>
    <t>{380B65EA-09DD-4DA3-AB33-969FFA6A5FBF}</t>
  </si>
  <si>
    <t>{180E86CA-22EE-4386-8333-CCDE07443079}</t>
  </si>
  <si>
    <t>{0AA6663E-5555-4A6D-9FE1-FF1514707778}</t>
  </si>
  <si>
    <t>{1B213FCC-9D74-47C7-8772-77AEDB4007DF}</t>
  </si>
  <si>
    <t>ゴム引布・同製品, 4桁</t>
  </si>
  <si>
    <t>{14BAE788-46BB-4B27-987C-67A35C909376}</t>
  </si>
  <si>
    <t>{51138E8B-D7FD-47F3-AE49-809B567586EE}</t>
  </si>
  <si>
    <t>{7DD989EA-3981-4B89-842B-1E2C4C8DB32D}</t>
  </si>
  <si>
    <t>医療・衛生用ゴム製品, 4桁</t>
  </si>
  <si>
    <t>{BF8378D3-8ECE-47C3-9771-8983A6FD1E95}</t>
  </si>
  <si>
    <t>{87A6F4C2-CB71-4969-B051-516F364599BD}</t>
  </si>
  <si>
    <t>ゴム練生地, 4桁</t>
  </si>
  <si>
    <t>{AE049827-7D00-4C62-B162-32ADF3B7BC44}</t>
  </si>
  <si>
    <t>{58A8AF35-40FF-4D34-845F-CDC37F4BBE4B}</t>
  </si>
  <si>
    <t>更生タイヤ, 4桁</t>
  </si>
  <si>
    <t>{139B557C-DBA1-4E49-B3D9-DD33DDC463B6}</t>
  </si>
  <si>
    <t>{382529F0-458E-47CA-A5EB-2FEC2B362C4A}</t>
  </si>
  <si>
    <t>再生ゴム, 4桁</t>
  </si>
  <si>
    <t>{58F13AF0-177B-40EC-99AF-CC64D01FE391}</t>
  </si>
  <si>
    <t>{832CFDD5-768D-4E66-BB8D-9DE01B629027}</t>
  </si>
  <si>
    <t>他に分類されないゴム製品, 4桁</t>
  </si>
  <si>
    <t>{F5A8A991-42E0-490C-B645-433C523110EB}</t>
  </si>
  <si>
    <t>{EAE0E0FC-8647-49F2-9D64-29BD19DF2598}</t>
  </si>
  <si>
    <t>{B8C4F9C4-9661-43AE-91FB-966D365115E0}</t>
  </si>
  <si>
    <t>なめし革, 4桁</t>
  </si>
  <si>
    <t>{2CA478F2-BD39-4DF6-9712-BAFBE79B7354}</t>
  </si>
  <si>
    <t>{837D7224-CEB9-47F4-BEF5-6B7B276E82B0}</t>
  </si>
  <si>
    <t>{4FA3B34A-C944-4FF8-A2C8-9785984AC975}</t>
  </si>
  <si>
    <t>牛底革(クローム底革を含む)</t>
  </si>
  <si>
    <t>{5CF20E15-83A2-4955-BB9B-7048EF7B6B5F}</t>
  </si>
  <si>
    <t>牛ぬめ革(茶利革を含む)</t>
  </si>
  <si>
    <t>{E49600BA-66B2-49B3-8C79-09D17691B161}</t>
  </si>
  <si>
    <t>{06E006DA-C651-4523-BACC-B52EF900555C}</t>
  </si>
  <si>
    <t>{1F85AD96-C9FC-4971-9F87-7506799A974B}</t>
  </si>
  <si>
    <t>{BCC2C811-F1AA-47F5-BD8F-7467B98EE840}</t>
  </si>
  <si>
    <t>{06EFB037-908D-4756-A575-39B1734B071A}</t>
  </si>
  <si>
    <t>革製履物, 4桁</t>
  </si>
  <si>
    <t>{D221E5E2-56F5-4257-9D2E-FD31B1A6062C}</t>
  </si>
  <si>
    <t>紳士用革靴, 23cm以上</t>
  </si>
  <si>
    <t>{4BC3C0B0-2530-4311-8BA0-AE6A7B2F9989}</t>
  </si>
  <si>
    <t>{0AD0FA4F-1206-4354-8DFB-7AB0AF9BB79C}</t>
  </si>
  <si>
    <t>{33248617-085E-4F65-80BF-2745365D9668}</t>
  </si>
  <si>
    <t>{544C93C1-7939-4116-9178-4330CCCF3145}</t>
  </si>
  <si>
    <t>{3028FB9D-1551-4051-BF53-C46FF48432F7}</t>
  </si>
  <si>
    <t>革製手袋(合成皮革製を含む), 4桁</t>
  </si>
  <si>
    <t>{2EBC6776-E7C2-4604-A19B-8D5B15B5559D}</t>
  </si>
  <si>
    <t>衣服用革手袋(合成皮革製を含む)</t>
  </si>
  <si>
    <t>{0AA0F107-A700-4676-911C-0BCB086140FB}</t>
  </si>
  <si>
    <t>作業用革手袋(合成皮革製を含む)</t>
  </si>
  <si>
    <t>{9048D2BE-96F6-43A0-8A3D-6C44F905E7E0}</t>
  </si>
  <si>
    <t>{CA820E51-419F-442C-8890-7121C494C333}</t>
  </si>
  <si>
    <t>{50D26C7D-B977-4C58-8714-11FC81332E40}</t>
  </si>
  <si>
    <t>ハンドバッグ, 4桁</t>
  </si>
  <si>
    <t>{D9B8C640-5464-42F3-8BBF-C98CB931FE75}</t>
  </si>
  <si>
    <t>{9AE1D158-54F3-4308-900D-34C2B828A095}</t>
  </si>
  <si>
    <t>{82CFC427-FC77-4683-A625-E4657163B718}</t>
  </si>
  <si>
    <t>板ガラス, 4桁</t>
  </si>
  <si>
    <t>{B757514F-301D-4A3B-8D58-5392E5CFEB08}</t>
  </si>
  <si>
    <t>{B516FFF7-DC12-4D67-A113-A7FE6C0ACB9A}</t>
  </si>
  <si>
    <t>{5CF23F0F-999F-4EED-9BE7-A1FF21F57301}</t>
  </si>
  <si>
    <t>{7C3D4BEF-A2E2-4C0E-8060-A7572E29C93B}</t>
  </si>
  <si>
    <t>板ガラス加工品, 4桁</t>
  </si>
  <si>
    <t>{A4540DE9-30D3-477C-95E3-85EEFEE41FA9}</t>
  </si>
  <si>
    <t>{F5D82136-098F-4965-9CC2-CF5A6827A551}</t>
  </si>
  <si>
    <t>{0206380D-D750-470F-A752-75C9F3450040}</t>
  </si>
  <si>
    <t>{FC552C28-A595-468F-AAD1-B0B4363EE739}</t>
  </si>
  <si>
    <t>{EB0CB113-F392-4B42-B8B0-F29070A25ECA}</t>
  </si>
  <si>
    <t>ガラス製加工素材, 4桁</t>
  </si>
  <si>
    <t>{374CF59E-2385-4C05-881A-F4E502B0C0D4}</t>
  </si>
  <si>
    <t>{41C47E1C-B8D2-404C-A2FB-602D87237844}</t>
  </si>
  <si>
    <t>{3885BB6B-2B38-4EA7-BBA4-B9E3CF8DB2F3}</t>
  </si>
  <si>
    <t>{EE018C15-66D6-4774-978E-956C5C60AE99}</t>
  </si>
  <si>
    <t>{963A0F5B-52C7-4D0E-AC1C-FFFAE3241B3F}</t>
  </si>
  <si>
    <t>ガラス容器, 4桁</t>
  </si>
  <si>
    <t>{2D0952A4-DE85-4F01-8A62-0C24D00D5231}</t>
  </si>
  <si>
    <t>{704DD9E3-13ED-4BDD-BF21-0638FCE17A20}</t>
  </si>
  <si>
    <t>{9DAE0658-3B80-49D9-AEB9-F1F24DB817D9}</t>
  </si>
  <si>
    <t>{89C8CC18-5A51-48DE-8395-CD153F17B34D}</t>
  </si>
  <si>
    <t>理化学用・医療用ガラス器具, 4桁</t>
  </si>
  <si>
    <t>{AE0B04C1-3FE8-4B94-8E92-A0A395469D91}</t>
  </si>
  <si>
    <t>{C99899C0-DBDA-481B-A6C7-3558135CD7C7}</t>
  </si>
  <si>
    <t>{0B1539A1-5DE9-45E6-A772-82F658BFE922}</t>
  </si>
  <si>
    <t>{030D9DAC-F918-4AAF-9A27-565758C8208F}</t>
  </si>
  <si>
    <t>卓上用・ちゅう房用ガラス器具, 4桁</t>
  </si>
  <si>
    <t>{3E945AEB-4A35-4F39-905F-85B075C29766}</t>
  </si>
  <si>
    <t>{659DFD8D-CAB8-4F77-9A0C-999367B16FDF}</t>
  </si>
  <si>
    <t>{83E53EE8-80BD-49EC-9DFE-C2DBD4CB8776}</t>
  </si>
  <si>
    <t>ガラス繊維・同製品, 4桁</t>
  </si>
  <si>
    <t>{94EE6046-0D9C-46FC-8F5C-06FDD08436EB}</t>
  </si>
  <si>
    <t>ガラス短繊維・同製品</t>
  </si>
  <si>
    <t>{DE7AB5A1-4D61-49EF-9437-5441F83F4232}</t>
  </si>
  <si>
    <t>ガラス長繊維・同製品</t>
  </si>
  <si>
    <t>{2FE1D994-0E5E-436B-B236-7FCE95A2300D}</t>
  </si>
  <si>
    <t>{0D806BCE-E70B-4F3F-92E4-FF5790BD8EDE}</t>
  </si>
  <si>
    <t>他に分類されないガラス・同製品, 4桁</t>
  </si>
  <si>
    <t>{24B9ADCB-6746-4226-B3ED-3D4DDF3AEAEE}</t>
  </si>
  <si>
    <t>{45CFE3EC-1C99-4630-A337-D3D2C524C92F}</t>
  </si>
  <si>
    <t>{0DD9C957-385B-4077-8D65-31EF4B2C00E2}</t>
  </si>
  <si>
    <t>セメント, 4桁</t>
  </si>
  <si>
    <t>{C7455F34-2B3A-483E-B4A2-25B7441C5649}</t>
  </si>
  <si>
    <t>{A25F3F8C-A854-4B6F-BB19-108AC7E9932E}</t>
  </si>
  <si>
    <t>{4DF84E60-C1E0-41F9-8F89-EC18F6CDC406}</t>
  </si>
  <si>
    <t>{A1B12A85-7423-423F-BA4C-7D5044A5A661}</t>
  </si>
  <si>
    <t>生コンクリート, 4桁</t>
  </si>
  <si>
    <t>{7CE40E0D-92CD-463D-A941-97BB1347A23E}</t>
  </si>
  <si>
    <t>{07D21004-93CB-4D85-96E7-5BD7A1B80130}</t>
  </si>
  <si>
    <t>コンクリート製品, 4桁</t>
  </si>
  <si>
    <t>{3E11BF3F-52CC-467E-9279-C84170775BB1}</t>
  </si>
  <si>
    <t>{07415F8C-A0F8-488C-8348-D2ACFB43317C}</t>
  </si>
  <si>
    <t>{15B2EE9A-B1D2-414E-A4EC-0364AC6E12BA}</t>
  </si>
  <si>
    <t>{62125F67-1A96-47B9-9CE4-AC1A07B01FAB}</t>
  </si>
  <si>
    <t>{97AE2168-B048-46D3-8088-F30466D6819C}</t>
  </si>
  <si>
    <t>{2073E6BB-F1DA-47E7-A252-2DBDB68A68D7}</t>
  </si>
  <si>
    <t>{57E86944-6FC8-4E2A-9AD6-3F1664EC654E}</t>
  </si>
  <si>
    <t>{32C7A823-AB69-40F6-8C60-F900AAB459EF}</t>
  </si>
  <si>
    <t>{F474A1AE-6586-4D12-9E3C-BBB9A6063848}</t>
  </si>
  <si>
    <t>{97A98AC1-F3F9-4872-91DC-AD4AEFC1B272}</t>
  </si>
  <si>
    <t>{081AAF26-DD96-4E06-A683-0A95CE7DFE70}</t>
  </si>
  <si>
    <t>{AEA6D079-6DEC-42A9-A4E8-A5EBA2C8E2ED}</t>
  </si>
  <si>
    <t>{C52E5DFA-EC6C-4BC2-9B2B-60B19187D09C}</t>
  </si>
  <si>
    <t>{AA903A05-E300-413E-8CA6-A8BC17090680}</t>
  </si>
  <si>
    <t>{9420F73E-50D5-4EFA-98F0-ED36D6253E46}</t>
  </si>
  <si>
    <t>木材セメント製品(パルプセメント板、木片セメント板を含む)</t>
  </si>
  <si>
    <t>{E43E58BF-E9F4-4CF6-8A16-3ED6C4CD08F0}</t>
  </si>
  <si>
    <t>{070F4144-B1ED-4EBD-BCEA-7AD4239A2CF2}</t>
  </si>
  <si>
    <t>{D54F1256-0B95-4258-A758-D255AFA714EE}</t>
  </si>
  <si>
    <t>{87FCD277-BCCF-4C5F-A0F6-672A611432CA}</t>
  </si>
  <si>
    <t>粘土かわら, 4桁</t>
  </si>
  <si>
    <t>{DF7D4309-F8F7-4DC9-9E4A-A7DE827EF58D}</t>
  </si>
  <si>
    <t>{325FC555-46F4-49D9-9E60-733BD8075FDD}</t>
  </si>
  <si>
    <t>{A09DAF49-6AB4-43C1-A1F3-D12CFB5E3F2A}</t>
  </si>
  <si>
    <t>普通れんが, 4桁</t>
  </si>
  <si>
    <t>{CC4D854F-70F9-434E-8039-35273534D2CE}</t>
  </si>
  <si>
    <t>{04246438-A106-4AC2-80FF-E36F97FCC5E0}</t>
  </si>
  <si>
    <t>陶管(土管を含む), 4桁</t>
  </si>
  <si>
    <t>{CC21F3A1-8816-44DF-BFCC-2C52647801D5}</t>
  </si>
  <si>
    <t>陶管(土管を含む)</t>
  </si>
  <si>
    <t>{574C2DB6-C83B-4171-8294-EE58BDA920FA}</t>
  </si>
  <si>
    <t>食卓用・ちゅう房用陶磁器, 4桁</t>
  </si>
  <si>
    <t>{03139793-80DF-42DC-880C-7FEDFD22CCD4}</t>
  </si>
  <si>
    <t>{62FC9171-8B0C-4B80-A1E6-61AC0972ABB7}</t>
  </si>
  <si>
    <t>{1F5558C3-12B8-4536-AF79-B3982A28E802}</t>
  </si>
  <si>
    <t>{99D285B6-05AB-4935-878F-4AB951FB5B19}</t>
  </si>
  <si>
    <t>陶磁器製置物, 4桁</t>
  </si>
  <si>
    <t>{8E5291BF-62DD-45E5-98D8-EB3D0F7A4A01}</t>
  </si>
  <si>
    <t>{832BDA00-FF9B-4B1E-B0C7-D3DD1DBFC0D9}</t>
  </si>
  <si>
    <t>電気用陶磁器, 4桁</t>
  </si>
  <si>
    <t>{AD3B669E-34EC-49A4-9888-701A02B3047D}</t>
  </si>
  <si>
    <t>{51161B40-6882-4AB0-B67C-E3E9D70EAD04}</t>
  </si>
  <si>
    <t>{FF2BCF35-894B-4B33-8F99-2F9A9CB4AAAF}</t>
  </si>
  <si>
    <t>ファインセラミック製ＩＣ基板、ファインセラミック製ＩＣパッケージ(焼結し放しのもの)</t>
  </si>
  <si>
    <t>{E6C4ACF6-2954-4C5E-A240-AFC8AAE5C9E5}</t>
  </si>
  <si>
    <t>{926AC47D-374B-40D4-9C84-3B3E5F4280E4}</t>
  </si>
  <si>
    <t>陶磁器製タイル, 4桁</t>
  </si>
  <si>
    <t>{1C14441F-4A69-4C28-A027-511EB9D8DEFE}</t>
  </si>
  <si>
    <t>{9233D5B0-0480-402C-8694-287B4BA49CBE}</t>
  </si>
  <si>
    <t>{643A0270-FD87-47AF-B6BD-99321E522222}</t>
  </si>
  <si>
    <t>{6DE6FD12-D9D4-4A05-ABF4-9B74A348EC61}</t>
  </si>
  <si>
    <t>陶磁器用はい(坏)土, 4桁</t>
  </si>
  <si>
    <t>{F5DB3412-0EBC-48EB-85CA-D55A29ED4B1A}</t>
  </si>
  <si>
    <t>陶磁器用はい(坏)土</t>
  </si>
  <si>
    <t>{2BFF658D-C938-40F2-93CD-7BDB71BAEBBD}</t>
  </si>
  <si>
    <t>耐火れんが, 4桁</t>
  </si>
  <si>
    <t>{54ABC143-913A-41B3-8B32-A1D75DDD6DD6}</t>
  </si>
  <si>
    <t>{D9CFFC36-1E2D-4468-9E36-AB44E9D7F983}</t>
  </si>
  <si>
    <t>{5E000E82-3D91-4365-8447-96A874FD0190}</t>
  </si>
  <si>
    <t>不定形耐火物, 4桁</t>
  </si>
  <si>
    <t>{7CE1E1FA-81F9-4578-AEC2-E00EE1F0171C}</t>
  </si>
  <si>
    <t>{68613DF0-8F5F-42D9-9CEB-729996381783}</t>
  </si>
  <si>
    <t>{54646F55-3BB6-44AE-817C-86C56B70CFB5}</t>
  </si>
  <si>
    <t>{65F8AFE3-28E6-4EC0-97CB-1FAF28629E89}</t>
  </si>
  <si>
    <t>その他の耐火物, 4桁</t>
  </si>
  <si>
    <t>{699E2EF9-33A4-45CE-9A5D-C2634E809C01}</t>
  </si>
  <si>
    <t>{DF02D2E2-FA59-4907-AFA0-0638F2DE5CD8}</t>
  </si>
  <si>
    <t>マグネシアクリンカ, 海水原料</t>
  </si>
  <si>
    <t>{62F00837-A9AB-439D-8F2F-229134BD673E}</t>
  </si>
  <si>
    <t>{FDD38A44-6CB6-45B9-847B-28E4C321B867}</t>
  </si>
  <si>
    <t>炭素質電極, 4桁</t>
  </si>
  <si>
    <t>{08FFAFD3-AF27-490F-AA48-08D29D2B3D42}</t>
  </si>
  <si>
    <t>{4EA5F508-E5DA-4365-817B-CBA3C350A52E}</t>
  </si>
  <si>
    <t>{3CD1D0EA-BF31-49DC-B160-3B83F08C77E3}</t>
  </si>
  <si>
    <t>炭素繊維, 4桁</t>
  </si>
  <si>
    <t>{C20826C0-6D4E-4DA1-835F-24B7916B6859}</t>
  </si>
  <si>
    <t>{FE0A393F-B6ED-4C5A-9323-0425E4B30021}</t>
  </si>
  <si>
    <t>他に分類されない炭素・黒鉛製品, 4桁</t>
  </si>
  <si>
    <t>{B8D977C3-40EE-43A3-8575-322982900BAA}</t>
  </si>
  <si>
    <t>{5F58338A-AA5E-4128-A827-5657EE66BD96}</t>
  </si>
  <si>
    <t>{6A9CF8DF-EBC4-4093-97EC-364D0C74A179}</t>
  </si>
  <si>
    <t>{A1024CAA-38B8-40C7-A525-E0B0271FC601}</t>
  </si>
  <si>
    <t>{8673304C-9CFA-4A66-98CF-02533B94FE68}</t>
  </si>
  <si>
    <t>{F836A8DC-4841-41DA-ADD7-96FB43750EDE}</t>
  </si>
  <si>
    <t>研削と石, 4桁</t>
  </si>
  <si>
    <t>{C7485371-8014-492C-AB64-9809D8686E60}</t>
  </si>
  <si>
    <t>ビトリファイド研削と石(シリケート研削と石を含む)</t>
  </si>
  <si>
    <t>{D6B91DC8-279B-431A-9587-2499F2C3D6DF}</t>
  </si>
  <si>
    <t>{0383856F-4003-4809-B09B-465501A88CF2}</t>
  </si>
  <si>
    <t>{44FA28CB-3A0C-4304-8468-ABED22C24593}</t>
  </si>
  <si>
    <t>研磨布紙, 4桁</t>
  </si>
  <si>
    <t>{094E30FE-FC03-4573-9832-D6801E5D1242}</t>
  </si>
  <si>
    <t>{4F9CD968-FB3F-45FE-8A7F-7D62285E2A7A}</t>
  </si>
  <si>
    <t>砕石, 4桁</t>
  </si>
  <si>
    <t>{C54ED446-5C32-4A89-9910-C2D5E0D5D4D2}</t>
  </si>
  <si>
    <t>{5641D260-63F0-4620-8D0C-5E94F407F92F}</t>
  </si>
  <si>
    <t>人工骨材, 4桁</t>
  </si>
  <si>
    <t>{66F6E1DD-DAC1-4FDD-A30E-210A2DFF00FC}</t>
  </si>
  <si>
    <t>{5EF2B726-A34D-4826-8816-34DF3C3B1599}</t>
  </si>
  <si>
    <t>けいそう土・同製品, 4桁</t>
  </si>
  <si>
    <t>{01A0E880-60D7-48B7-ADCD-3EE9B7EDF99D}</t>
  </si>
  <si>
    <t>けいそう土・同製品</t>
  </si>
  <si>
    <t>{4D22648B-5A17-45E5-A4EA-5A0C318BD220}</t>
  </si>
  <si>
    <t>{AFE280E3-0B23-4E79-ADEC-3DF1651694EC}</t>
  </si>
  <si>
    <t>ほうろう鉄器, 4桁</t>
  </si>
  <si>
    <t>{838AD39F-962C-44FD-9387-E971B1058E5C}</t>
  </si>
  <si>
    <t>{FEADA672-C128-4356-9602-8F6FAA56DC41}</t>
  </si>
  <si>
    <t>ロックウール・同製品, 4桁</t>
  </si>
  <si>
    <t>{98E40064-349A-467A-862D-95E2BDD6086E}</t>
  </si>
  <si>
    <t>ロックウール・同製品</t>
  </si>
  <si>
    <t>{38F136B0-702D-49ED-ABDE-40DE77296536}</t>
  </si>
  <si>
    <t>石綿製品, 4桁</t>
  </si>
  <si>
    <t>{CCDCEC87-196E-4A48-ACF2-7CBC6BFD1BE2}</t>
  </si>
  <si>
    <t>{ABB83F3F-5B92-4643-AAD1-55382652A828}</t>
  </si>
  <si>
    <t>石こう(膏)製品, 4桁</t>
  </si>
  <si>
    <t>{31C74B9A-4EC3-43EA-88AF-113276E66879}</t>
  </si>
  <si>
    <t>{470A59D0-88A2-4E52-AF23-31769940509F}</t>
  </si>
  <si>
    <t>石こうボード・同製品</t>
  </si>
  <si>
    <t>{DE4D4DE2-5BFF-4569-9BDF-3E28DE616E09}</t>
  </si>
  <si>
    <t>{45FD4634-B15A-481E-B619-A8A80625ADDE}</t>
  </si>
  <si>
    <t>{D4DF4C1B-5ADF-4320-8AC9-D51748F07BE4}</t>
  </si>
  <si>
    <t>石灰, 4桁</t>
  </si>
  <si>
    <t>{0970585F-3C8C-4A9E-B537-DDB044784B63}</t>
  </si>
  <si>
    <t>{7F3D9196-084B-4A4B-8F12-DAD53D5EB8A1}</t>
  </si>
  <si>
    <t>{D121B5A2-21A0-4D11-9110-8D61D2754B13}</t>
  </si>
  <si>
    <t>{FCCA063D-AF22-445C-816E-817783EB964E}</t>
  </si>
  <si>
    <t>{4072E17B-ED52-4CE7-B157-F8D2985AA1A0}</t>
  </si>
  <si>
    <t>{99AEF7D0-7729-409B-AEE5-200284FFDDB2}</t>
  </si>
  <si>
    <t>{6CA16C00-911A-45CD-8F39-09211E9AF379}</t>
  </si>
  <si>
    <t>{80452420-CCCF-4EF6-A609-D1B59E8E64F0}</t>
  </si>
  <si>
    <t>{D1ADCD31-D788-4CB1-9074-885C871250F5}</t>
  </si>
  <si>
    <t>鋳物用銑（高炉）</t>
  </si>
  <si>
    <t>{F1B31197-5D9D-451B-80FC-8682E5C0C96D}</t>
  </si>
  <si>
    <t>粗鋼（転炉法）</t>
  </si>
  <si>
    <t>{23EB3F6F-4A69-468B-8527-D502BF16146B}</t>
  </si>
  <si>
    <t>粗鋼（電炉法）</t>
  </si>
  <si>
    <t>{96ACF46E-42B9-437D-AD9B-B3229FA00E81}</t>
  </si>
  <si>
    <t>フェロアロイ, 4桁</t>
  </si>
  <si>
    <t>{837DF1F2-72EE-4B93-ADA6-21E731D37377}</t>
  </si>
  <si>
    <t>{3EA4668A-32A9-40A6-97BF-83338DFF93AB}</t>
  </si>
  <si>
    <t>{0A358B10-64EC-4B3F-830E-F8C21313BE57}</t>
  </si>
  <si>
    <t>{5CA88D67-F94C-415A-93A5-5041E8400134}</t>
  </si>
  <si>
    <t>{45196208-FD31-46F5-85DB-1DBEB97B38C7}</t>
  </si>
  <si>
    <t>{178E5964-F5CD-41E8-B245-4EA51619A0B5}</t>
  </si>
  <si>
    <t>{272FC763-D00F-4636-B1CB-3F0EE2509B12}</t>
  </si>
  <si>
    <t>{52EDA417-BE2A-4F3F-A24A-D2A18D79C7C2}</t>
  </si>
  <si>
    <t>{B3247487-6990-4652-9558-0F679230B73A}</t>
  </si>
  <si>
    <t>{DE7DBA73-4A19-42E3-A96D-F65573C06AB5}</t>
  </si>
  <si>
    <t>普通鋼(最終鋼材), 4桁</t>
  </si>
  <si>
    <t>{DC6B7B5A-E2BC-4E90-8B5A-5378C5E7E38B}</t>
  </si>
  <si>
    <t>{4830BEAE-8746-4B47-925B-C50D38028C24}</t>
  </si>
  <si>
    <t>{0318E68F-9A3F-4933-81D0-E49D2A43CB61}</t>
  </si>
  <si>
    <t>{E5E2FBE8-97E8-499B-87C8-F2C7C9003E11}</t>
  </si>
  <si>
    <t>{25DA2D03-3DC4-4B10-AA34-D1B3C8BE165E}</t>
  </si>
  <si>
    <t>{903FA647-FEDD-4C51-A095-F0BD561F5FED}</t>
  </si>
  <si>
    <t>{7FE0A6D6-66D2-4820-9CBC-FAE24F4FA8D6}</t>
  </si>
  <si>
    <t>冷延電気鋼板</t>
  </si>
  <si>
    <t>{AD23758B-5497-4BAD-A227-D34AF9F06A7C}</t>
  </si>
  <si>
    <t>{35085239-38EE-4245-A7D2-5EBB5D175B12}</t>
  </si>
  <si>
    <t>{A712161C-0857-4C8B-ACC1-5B9785DCCAC1}</t>
  </si>
  <si>
    <t>{0F40C973-4302-4B5E-9269-B3347A54A59D}</t>
  </si>
  <si>
    <t>{74DD4E18-A54D-465C-A409-412EB823C9A7}</t>
  </si>
  <si>
    <t>{EE263009-F419-44D0-A2A6-4CB55BD8C71C}</t>
  </si>
  <si>
    <t>{41B49730-8816-4BBB-AB8E-C9227284D208}</t>
  </si>
  <si>
    <t>特殊鋼(最終鋼材), 4桁</t>
  </si>
  <si>
    <t>{A88A0FF7-E040-4080-9B4D-0F12F1199479}</t>
  </si>
  <si>
    <t>{78AAF207-82E0-4112-8A65-89F326687111}</t>
  </si>
  <si>
    <t>{68E53F8C-C7A3-4D77-AE88-8E541C3723BE}</t>
  </si>
  <si>
    <t>{AE89A752-E7C3-42FC-A467-5E4F4732621C}</t>
  </si>
  <si>
    <t>{40ABC25F-AAD8-4893-A3B9-691AF4CFCAEC}</t>
  </si>
  <si>
    <t>{2CB6B097-FE52-4FD2-931E-3675747008FB}</t>
  </si>
  <si>
    <t>{AA99A5F3-BEE1-48F8-8BB7-54060BB7F14E}</t>
  </si>
  <si>
    <t>{4EDE5FCE-7D6E-4E97-A893-6A33AFAF41B8}</t>
  </si>
  <si>
    <t>{1FB82482-9FFD-4BB5-9EB7-B451747F3C3E}</t>
  </si>
  <si>
    <t>{07163A51-1057-47AB-BCCB-C4B77CC572D1}</t>
  </si>
  <si>
    <t>{34763722-598A-4123-8CF5-F93DD890E1A6}</t>
  </si>
  <si>
    <t>ばね鋼、軸受鋼</t>
  </si>
  <si>
    <t>{681E5AF5-D7FB-45A0-A64A-88AC9FA83F63}</t>
  </si>
  <si>
    <t>{67B8EED4-D7AE-45C3-9787-B8523E94C156}</t>
  </si>
  <si>
    <t>{985E3A64-4315-4AB5-AD3A-9C470A6E645B}</t>
  </si>
  <si>
    <t>{4F299248-37C1-4DC9-8DD3-0890C6FDE8BF}</t>
  </si>
  <si>
    <t>ステンレス鋼材(耐熱鋼を含む), 4桁</t>
  </si>
  <si>
    <t>{FF22266E-5070-4B72-B1E1-CA48B8EE08A3}</t>
  </si>
  <si>
    <t>{D3E5DC30-16A7-4983-A326-9D89767C42B5}</t>
  </si>
  <si>
    <t>{CC6B0D8C-E98E-4C0C-BCC9-5DC4452B90FC}</t>
  </si>
  <si>
    <t>{41616F16-15A5-4C67-99C6-5D4E3A0BCB7A}</t>
  </si>
  <si>
    <t>{A2540AB9-F924-4758-9764-2D5B54CB3E42}</t>
  </si>
  <si>
    <t>{926ACAD1-E300-42C6-A876-5CF2DC7CE963}</t>
  </si>
  <si>
    <t>{8C471838-AD34-4270-991A-1554DD6CC662}</t>
  </si>
  <si>
    <t>{102279F3-46E3-4368-AEA3-440BC71DFA5F}</t>
  </si>
  <si>
    <t>銑鉄鋳物(鋳鉄管、可鍛鋳鉄を除く), 4桁</t>
  </si>
  <si>
    <t>{D6EF8AAE-CCDC-49E0-A917-37BB38458573}</t>
  </si>
  <si>
    <t>{C08C4A44-8E39-40DB-AD39-3094B28A6173}</t>
  </si>
  <si>
    <t>{E0AA0FBD-E57F-45C0-AD61-04FB816E8009}</t>
  </si>
  <si>
    <t>可鍛鋳鉄, 4桁</t>
  </si>
  <si>
    <t>{6FEC0ED9-BF87-4BF6-8044-C52FD969E9C7}</t>
  </si>
  <si>
    <t>{79CE82F5-66F9-4661-84C2-E0343F3540D5}</t>
  </si>
  <si>
    <t>可鍛鋳鉄製鉄管継手(フランジ形を含む)</t>
  </si>
  <si>
    <t>{4034585F-6415-4FE5-B1D3-33D8F75CC31D}</t>
  </si>
  <si>
    <t>{B69906D6-B2E0-48EC-BECF-F57C97CF668B}</t>
  </si>
  <si>
    <t>鋳鋼, 4桁</t>
  </si>
  <si>
    <t>{18F08E9F-217C-49C4-8661-BE89D7AE328C}</t>
  </si>
  <si>
    <t>普通鋼鋳鋼(鋳放しのもの, 鋳鋼管を含む)</t>
  </si>
  <si>
    <t>{DFB33C98-0A28-4662-A9B5-2FF891204B95}</t>
  </si>
  <si>
    <t>特殊鋼鋳鋼(鋳放しのもの, 鋳鋼管を含む)</t>
  </si>
  <si>
    <t>{7F0472EF-481B-46CC-BF2C-63A280918DBF}</t>
  </si>
  <si>
    <t>鍛工品（鉄鋼）, 4桁</t>
  </si>
  <si>
    <t>{B99C783C-C552-45B7-9B3D-C69EDC1CF07E}</t>
  </si>
  <si>
    <t>鍛工品（鉄鋼）</t>
  </si>
  <si>
    <t>{C25EB34A-C180-47E4-8E00-85054B524EB5}</t>
  </si>
  <si>
    <t>鍛鋼, 4桁</t>
  </si>
  <si>
    <t>{D26D1EBE-21E5-4B35-BFD6-0F52DD7C5C81}</t>
  </si>
  <si>
    <t>普通鋼鍛鋼(打ち放しのもの)</t>
  </si>
  <si>
    <t>{74107C09-7B65-4B38-9EC4-3A07ECB76D81}</t>
  </si>
  <si>
    <t>特殊鋼鍛鋼(打ち放しのもの)</t>
  </si>
  <si>
    <t>{CDBBB942-CE34-447A-B659-55F648BB19CC}</t>
  </si>
  <si>
    <t>{3F4BE862-0C66-4DC0-8456-0158B18A9793}</t>
  </si>
  <si>
    <t>鋳鉄管, 4桁</t>
  </si>
  <si>
    <t>{C07E5414-4359-45FD-85EF-7731F5F3D7FD}</t>
  </si>
  <si>
    <t>{61005B2E-DEBF-4B14-A8C8-F1AD247B3C1C}</t>
  </si>
  <si>
    <t>鉄粉</t>
  </si>
  <si>
    <t>{A64D89C1-E701-4E69-B026-5B300F8DABCA}</t>
  </si>
  <si>
    <t>{80AC0B36-E7ED-4805-8478-2878AB19B167}</t>
  </si>
  <si>
    <t>銅一次製錬・精製品, 4桁</t>
  </si>
  <si>
    <t>{F9844526-5E36-49C5-B6ED-BD49981D92DA}</t>
  </si>
  <si>
    <t>{F067237B-6368-4E86-B49A-8280051F3022}</t>
  </si>
  <si>
    <t>電気銅,電解(純分質量基準)</t>
  </si>
  <si>
    <t>{02120E7E-4F47-4EA9-893C-3BB4152FC23F}</t>
  </si>
  <si>
    <t>脱Cuスライム(電気銅副生)(純分質量基準)</t>
  </si>
  <si>
    <t>{FCDC519D-1048-4B4B-90AB-006625BB35B9}</t>
  </si>
  <si>
    <t>亜鉛一次製錬・精製品, 4桁</t>
  </si>
  <si>
    <t>{2AC7B382-3AAC-447B-99F7-B1890889D806}</t>
  </si>
  <si>
    <t>亜鉛地金(市場価格基準)</t>
  </si>
  <si>
    <t>{80E3B6F6-0AAD-4ACE-B290-F0CA11478121}</t>
  </si>
  <si>
    <t>亜鉛電解スライム（Au含有量）(市場価格基準)</t>
  </si>
  <si>
    <t>{D85D2861-CBBF-4B0C-955D-15A53FC46F7D}</t>
  </si>
  <si>
    <t>亜鉛電解スライム（Aｇ含有量）(市場価格基準)</t>
  </si>
  <si>
    <t>{CC7E4F0E-C854-4E78-92F6-26ADD091A5F1}</t>
  </si>
  <si>
    <t>アルミニウム第１次製錬・精製品, 4桁</t>
  </si>
  <si>
    <t>{4BEF1A32-4174-4284-A9CA-DA6FD5D78DF9}</t>
  </si>
  <si>
    <t>{850C9DC0-95C0-454C-B6BE-9756D5D613EE}</t>
  </si>
  <si>
    <t>{2D0E336F-8864-44D4-9546-67219BCF1ECD}</t>
  </si>
  <si>
    <t>{EA9608D1-D063-465B-9EBB-C4129576524D}</t>
  </si>
  <si>
    <t>{F4E1E9D4-1842-4D64-93BC-E9D93A6CB59C}</t>
  </si>
  <si>
    <t>その他の非鉄金属第１次製錬・精製品, 4桁</t>
  </si>
  <si>
    <t>{2FBF8C77-10AE-4B18-8824-50EB76A788B2}</t>
  </si>
  <si>
    <t>鉛地金(市場価格基準)</t>
  </si>
  <si>
    <t>{50FF763B-549F-4E1E-B751-783545C79C89}</t>
  </si>
  <si>
    <t>{E395C150-FEE4-42C9-8BF6-93825DC26301}</t>
  </si>
  <si>
    <t>電気鉛,銅製錬副生(市場価格基準)</t>
  </si>
  <si>
    <t>{452C5253-7189-4B4C-8238-CA65F794233E}</t>
  </si>
  <si>
    <t>鉛スライム,銅製錬副生(純分質量基準)</t>
  </si>
  <si>
    <t>{1171134B-7644-4077-9ADC-A9DDE827F3B3}</t>
  </si>
  <si>
    <t>鉛電解スライム中金（Au)含有量(市場価格基準)</t>
  </si>
  <si>
    <t>{9244480C-C312-4D32-9218-BA94CF2DFD29}</t>
  </si>
  <si>
    <t>鉛電解スライム中銀（Ag)含有量(市場価格基準)</t>
  </si>
  <si>
    <t>{BE0974A4-10F9-4FCA-8C35-E5781EE6D548}</t>
  </si>
  <si>
    <t>金地金（金鉱石原料）</t>
  </si>
  <si>
    <t>{4356AE7D-5883-4E0D-B451-62C28816EE8A}</t>
  </si>
  <si>
    <t>金(Cuスライム処理)（純分質量基準配分）</t>
  </si>
  <si>
    <t>{1450CE05-C673-42D2-B5C8-D51AEA10DEE5}</t>
  </si>
  <si>
    <t>パーチング後スライム(銀電解副生)(純分質量基準)</t>
  </si>
  <si>
    <t>{7C605BD6-64BB-41BE-BF73-676A7AB28B56}</t>
  </si>
  <si>
    <t>{2E0C902E-8823-4B98-83E5-29770A598623}</t>
  </si>
  <si>
    <t>{FA4015B6-8E0A-4834-AE23-890ECDEE87F3}</t>
  </si>
  <si>
    <t>銀アノード(銅スライム処理)（純分質量基準配分）</t>
  </si>
  <si>
    <t>{0ECBEEEC-7499-4417-A27E-D7F71FEBA2A4}</t>
  </si>
  <si>
    <t>銀,電解(純分質量基準)</t>
  </si>
  <si>
    <t>{B2AE5B6B-0B86-4E51-BBC2-B1A5CB12CF79}</t>
  </si>
  <si>
    <t>{798CFB81-586E-4C6E-9AC8-510123369834}</t>
  </si>
  <si>
    <t>{376632FD-4DFD-4C3C-B991-98E3D010921F}</t>
  </si>
  <si>
    <t>{A095B2F9-851E-47C3-8D09-F167E5A96319}</t>
  </si>
  <si>
    <t>{57F4B40B-2588-4074-A86D-3A167580C0B6}</t>
  </si>
  <si>
    <t>{59E9EAC7-2585-4949-9BF2-38468EEA60CB}</t>
  </si>
  <si>
    <t>{BC6A8FC0-3DFB-42EE-9B0C-3AD4F0EB428F}</t>
  </si>
  <si>
    <t>{2F4B9595-86D4-4B63-8FED-FDA3B3F00682}</t>
  </si>
  <si>
    <t>粗セレン(銅スライム処理)（純分質量基準配分）</t>
  </si>
  <si>
    <t>{A0EE2D90-C3F1-4E4C-9A4A-21C4FE89CA4E}</t>
  </si>
  <si>
    <t>粗テルル(銅スライム処理)（純分質量基準配分）</t>
  </si>
  <si>
    <t>{56894854-399C-4A12-B070-31A5AC9EB8DD}</t>
  </si>
  <si>
    <t>粗白金(銅スライム処理)（純分質量基準配分）</t>
  </si>
  <si>
    <t>{B8FE13C4-3DA1-4B70-8873-10FD905CF89C}</t>
  </si>
  <si>
    <t>(NH4)2PtCl6(銀電解副生)(純分質量基準)</t>
  </si>
  <si>
    <t>{DF5E5B38-6EDD-4C27-9DC9-B6F34565227A}</t>
  </si>
  <si>
    <t>鉛二次製錬・精製品(鉛合金を含む), 4桁</t>
  </si>
  <si>
    <t>{5B0C9916-3638-49B4-B07D-4E8042A9F669}</t>
  </si>
  <si>
    <t>鉛再生地金(活字合金を含む)</t>
  </si>
  <si>
    <t>{D179A421-0912-49C5-9C4E-2EA953000516}</t>
  </si>
  <si>
    <t>{8D816D76-13F3-43E0-97AA-A21C975994BA}</t>
  </si>
  <si>
    <t>亜鉛二次製錬・精製品(亜鉛合金を含む), 4桁</t>
  </si>
  <si>
    <t>{0B620DC6-F009-4294-9678-BED20ADF2559}</t>
  </si>
  <si>
    <t>{0B88DD3E-45D2-4051-8E0B-520F07B17B04}</t>
  </si>
  <si>
    <t>アルミニウム二次製錬・精製品(アルミニウム合金を含む), 4桁</t>
  </si>
  <si>
    <t>{EC0A9819-DFBD-450F-843C-BEE877BF920E}</t>
  </si>
  <si>
    <t>{BED80AF8-0CB8-4F4A-9A23-AAF6F558178B}</t>
  </si>
  <si>
    <t>その他の非鉄金属二次製錬・精製品(非鉄金属合金を含む), 4桁</t>
  </si>
  <si>
    <t>{F4D58B94-7FB7-422F-A511-39EE55BB5D5F}</t>
  </si>
  <si>
    <t>{295424F6-1DF1-45FC-80B2-2D7CBBCC4BA2}</t>
  </si>
  <si>
    <t>{DF3FBE37-1E09-40DC-988B-F4C075ECD1CF}</t>
  </si>
  <si>
    <t>{43653DD9-6A7E-45B1-A86F-1AAA0BD9CF43}</t>
  </si>
  <si>
    <t>伸銅品, 4桁</t>
  </si>
  <si>
    <t>{E9D19E6D-696C-4F22-B566-46616EAC48A7}</t>
  </si>
  <si>
    <t>{0C7F4C28-0BF4-4DB0-9058-BF8F3D9543F9}</t>
  </si>
  <si>
    <t>{A7716FF8-F159-4B47-B748-F06D54ABD2A4}</t>
  </si>
  <si>
    <t>{EEA93E37-79A4-4C85-A8EE-F403D1AD869E}</t>
  </si>
  <si>
    <t>その他の伸銅品(洋白伸銅品を含む)</t>
  </si>
  <si>
    <t>{A6407A0C-D67A-4E55-8F9B-494EB119106D}</t>
  </si>
  <si>
    <t>アルミニウム・同合金圧延品(抽伸、押出し品を含む), 4桁</t>
  </si>
  <si>
    <t>{00374485-B919-4870-9385-B16B67C20282}</t>
  </si>
  <si>
    <t>{26DA2D3C-0183-4065-AE9E-83CA2E20A7B4}</t>
  </si>
  <si>
    <t>アルミニウム押出品(抽伸品を含む)</t>
  </si>
  <si>
    <t>{F724A18D-3B8B-47EB-98A2-EAC0EFA60E6A}</t>
  </si>
  <si>
    <t>{03AA7CBA-5DC4-4CFC-9AA0-E3FEAB4B72E8}</t>
  </si>
  <si>
    <t>その他の非鉄金属・同合金圧延品(抽伸、押出し品を含む), 4桁</t>
  </si>
  <si>
    <t>{6E050AD5-9D44-44F9-A82A-3D541F9FE933}</t>
  </si>
  <si>
    <t>{C6EBDACC-8A90-4F92-BE40-42F670C60422}</t>
  </si>
  <si>
    <t>亜鉛・同合金展伸材(亜鉛板、亜鉛合金板を含む)</t>
  </si>
  <si>
    <t>{6B8ED353-417C-4EEC-96A2-AAA32F80C727}</t>
  </si>
  <si>
    <t>{CEDC0241-B0D6-47EA-BE6E-9B7B1D9C75B1}</t>
  </si>
  <si>
    <t>{1B4DEC33-395D-4C89-869C-5EC1555432C7}</t>
  </si>
  <si>
    <t>{5EF534C6-9CF3-4725-B05E-DCA93979FC07}</t>
  </si>
  <si>
    <t>{EE1B18B5-1CCB-40CC-8B2D-C86B75EEA8EA}</t>
  </si>
  <si>
    <t>{3F0E5989-A3CC-48AA-881A-60B64D5578D1}</t>
  </si>
  <si>
    <t>電線・ケーブル(光ファイバケーブルを除く), 4桁</t>
  </si>
  <si>
    <t>{17823C1B-356A-4468-A36A-655308F01465}</t>
  </si>
  <si>
    <t>{A614D7C7-F9A2-49BC-BAD9-89C017E8BD14}</t>
  </si>
  <si>
    <t>{F451F993-D0F7-41E0-A679-B9DB4E5682B1}</t>
  </si>
  <si>
    <t>{761C8A87-C990-4222-BB8E-058178A6478D}</t>
  </si>
  <si>
    <t>{D4064B6F-F16B-4A5B-97BB-8FD3AAB20509}</t>
  </si>
  <si>
    <t>{5131549C-CD5C-4998-8F1D-2DE02E3B92A1}</t>
  </si>
  <si>
    <t>{1FC970A0-86E6-42DB-9D2E-90548E09AF7E}</t>
  </si>
  <si>
    <t>{AF474B93-3395-4D9E-B440-8AFC97E2117A}</t>
  </si>
  <si>
    <t>アルミニウム線(アルミニウム荒引線を除く)</t>
  </si>
  <si>
    <t>{CC394DFA-253C-4B91-9447-40D2551DFF4B}</t>
  </si>
  <si>
    <t>光ファイバケーブル(通信複合ケーブルを含む), 4桁</t>
  </si>
  <si>
    <t>{B4EA7C90-BEE4-4FCE-B8A1-8C67B75142C9}</t>
  </si>
  <si>
    <t>光ファイバコード(心線を含む)</t>
  </si>
  <si>
    <t>{60087286-D4EC-4EBA-94B7-B15D03FFE1AB}</t>
  </si>
  <si>
    <t>光ファイバケーブル(複合ケーブルを含む)</t>
  </si>
  <si>
    <t>{595A644A-CAAF-41D7-87B8-3B9A6C8AE109}</t>
  </si>
  <si>
    <t>銅・同合金鋳物(ダイカストを除く), 4桁</t>
  </si>
  <si>
    <t>{0D8998E4-F9B7-43DF-8BEB-AE1CED6D30AB}</t>
  </si>
  <si>
    <t>銅・同合金鋳物(ダイカストを除く)</t>
  </si>
  <si>
    <t>{755638DD-3D4C-4287-A4CE-BF09026B8BE1}</t>
  </si>
  <si>
    <t>非鉄金属鋳物(銅・同合金鋳物及びダイカストを除く), 4桁</t>
  </si>
  <si>
    <t>{9A6E2830-C4F1-4981-A690-0FD57A9BEA09}</t>
  </si>
  <si>
    <t>アルミニウム・同合金鋳物</t>
  </si>
  <si>
    <t>{AD3B8DC4-A852-4A23-92BF-313E94A87A48}</t>
  </si>
  <si>
    <t>{B77E2E41-7EE7-41B0-9E81-0C9E4E587C9C}</t>
  </si>
  <si>
    <t>アルミニウム・同合金ダイカスト, 4桁</t>
  </si>
  <si>
    <t>{124D2836-CC01-4FF9-BC5B-2C6CC912FE4A}</t>
  </si>
  <si>
    <t>アルミニウム・同合金ダイカスト</t>
  </si>
  <si>
    <t>{83BF425C-4ACF-4136-9C69-39A42C2ED1EC}</t>
  </si>
  <si>
    <t>非鉄金属ダイカスト(アルミニウム・同合金ダイカストを除く), 4桁</t>
  </si>
  <si>
    <t>{2C0F3BCE-7FBA-4AC8-97CB-6A18459B0D46}</t>
  </si>
  <si>
    <t>{85E6FA99-1E4F-4D46-B217-B0ED75771421}</t>
  </si>
  <si>
    <t>{0754862D-C1F8-48DA-98F3-7C97F9B9D431}</t>
  </si>
  <si>
    <t>非鉄金属鍛造品, 4桁</t>
  </si>
  <si>
    <t>{BD7EE45A-5941-4DA2-8937-0DCAD8894B58}</t>
  </si>
  <si>
    <t>{1687FF10-DFFA-4AD6-8CFD-D7D29F6DC90F}</t>
  </si>
  <si>
    <t>核燃料, BWR</t>
  </si>
  <si>
    <t>{8AD57F5E-3DA9-4C67-9348-032E1D1B345E}</t>
  </si>
  <si>
    <t>核燃料, PWR</t>
  </si>
  <si>
    <t>{BB28ED6D-415A-49B1-8CA7-E3F1A838006F}</t>
  </si>
  <si>
    <t>{4051FF8D-59D6-459F-8C17-A6848582E6F5}</t>
  </si>
  <si>
    <t>アルミニウム・同合金粉</t>
  </si>
  <si>
    <t>{04F96FF6-57AE-4089-BD1C-8E812BFDAC3C}</t>
  </si>
  <si>
    <t>ブリキ缶・その他のめっき板等製品, 4桁</t>
  </si>
  <si>
    <t>{33BB8F09-F6B1-4513-8E2E-72F4FED653FC}</t>
  </si>
  <si>
    <t>缶</t>
  </si>
  <si>
    <t>{8DCBD8AA-8404-4AAC-B7EB-03E7E253F0F7}</t>
  </si>
  <si>
    <t>食缶(缶詰用缶)</t>
  </si>
  <si>
    <t>{6412963A-AA17-4CBD-AE59-671322C896CE}</t>
  </si>
  <si>
    <t>{6606B538-1977-422E-AE09-BEFB13F9A829}</t>
  </si>
  <si>
    <t>機械刃物, 4桁</t>
  </si>
  <si>
    <t>{FB720814-FF4A-4A78-BF1D-181AD9E00601}</t>
  </si>
  <si>
    <t>鋼板せん断用刃物</t>
  </si>
  <si>
    <t>{7CAFDBCE-43BF-4CD0-88EE-854801AA6BEB}</t>
  </si>
  <si>
    <t>{439ACF72-2D84-4C68-B054-9DBD9D184B60}</t>
  </si>
  <si>
    <t>{F1C006E7-F608-4E33-9AA1-7AF318F9AEED}</t>
  </si>
  <si>
    <t>作業工具(やすりを除く), 4桁</t>
  </si>
  <si>
    <t>{66B839E6-ACCB-42CE-8723-B8C4EF25B6F2}</t>
  </si>
  <si>
    <t>作業工具(やすりを除く)</t>
  </si>
  <si>
    <t>{E8788897-723A-4EB3-B80D-985CEC057B6E}</t>
  </si>
  <si>
    <t>やすり, 4桁</t>
  </si>
  <si>
    <t>{639BCA7D-E226-49B6-A53A-873F260E12E9}</t>
  </si>
  <si>
    <t>{F2701435-EE1C-40CB-ADEB-E9582639B48E}</t>
  </si>
  <si>
    <t>{7428DFFB-D453-4656-8E3F-8F03CDB16921}</t>
  </si>
  <si>
    <t>{4255D6A4-6303-4E06-A29E-C9E514BCAA35}</t>
  </si>
  <si>
    <t>{5D3D4014-12D5-4A39-8503-B243F8123A46}</t>
  </si>
  <si>
    <t>ガス機器・石油機器, 4桁</t>
  </si>
  <si>
    <t>{5C90E59A-817E-4855-A781-620BB5237536}</t>
  </si>
  <si>
    <t>{0D2294E6-F090-47B7-8CFB-043B00F297DD}</t>
  </si>
  <si>
    <t>ガス風呂釜(バーナ付の一体のものを含む)</t>
  </si>
  <si>
    <t>{E1CC1F97-5932-4EB7-9A28-C05D552AAF6E}</t>
  </si>
  <si>
    <t>{650DC346-2B4A-470A-A6BF-313F966F2DBA}</t>
  </si>
  <si>
    <t>{A2AC8F90-933A-451C-9BBA-BD21A0CFBA01}</t>
  </si>
  <si>
    <t>その他のガス機器(温風暖房機を除く)</t>
  </si>
  <si>
    <t>{87BF59E4-EE7A-476D-AF45-EB18D1549092}</t>
  </si>
  <si>
    <t>{88494EDE-8255-4854-94C5-F1C756986836}</t>
  </si>
  <si>
    <t>その他の石油機器(温風暖房機を除く)</t>
  </si>
  <si>
    <t>{C5F68845-B177-4A8C-9EF9-141704CA0FED}</t>
  </si>
  <si>
    <t>温風・温水暖房装置, 4桁</t>
  </si>
  <si>
    <t>{F57CD68D-8D79-40CB-9644-EBED84301503}</t>
  </si>
  <si>
    <t>温風暖房機(熱交換式のもの)</t>
  </si>
  <si>
    <t>{5836DAC0-5979-4DB7-BC9F-24D389D17234}</t>
  </si>
  <si>
    <t>{976DEF44-0783-4BE3-8EDB-331F0A069B94}</t>
  </si>
  <si>
    <t>放熱器・ユニットヒータ</t>
  </si>
  <si>
    <t>{00C3E5D1-8DCA-42E0-8677-2605FF141EB1}</t>
  </si>
  <si>
    <t>{03AED070-9BF6-48E6-8EB3-D53A12DE254F}</t>
  </si>
  <si>
    <t>建設用金属製品, 4桁</t>
  </si>
  <si>
    <t>{82F31515-BABA-4CE3-9D27-41EEFCB760A3}</t>
  </si>
  <si>
    <t>{40585467-22CA-4BBC-A1B4-E91D0EAAB06F}</t>
  </si>
  <si>
    <t>{6763049C-C233-4C90-B65F-7A3A3A8AA279}</t>
  </si>
  <si>
    <t>{C7BC164F-A40B-4297-8F93-9AF02C6A6FB5}</t>
  </si>
  <si>
    <t>{4DC144FA-A508-4C8C-8256-2F140EEDA122}</t>
  </si>
  <si>
    <t>{29FF6DDC-6B0B-4269-8D91-3AB92843DDF5}</t>
  </si>
  <si>
    <t>{CADCE3B0-5715-42CA-B5B0-CC1C79C7F7A1}</t>
  </si>
  <si>
    <t>建築用金属製品, 4桁</t>
  </si>
  <si>
    <t>{FEA6E39E-0EAE-4950-9441-9C5A5BF4F414}</t>
  </si>
  <si>
    <t>{E3406217-D0EA-4D30-873A-7CA0FF414612}</t>
  </si>
  <si>
    <t>{D3310406-22F7-452D-94A1-2FE4711C9173}</t>
  </si>
  <si>
    <t>{44ADBBC1-7ADF-4943-A563-F483C3ADA99C}</t>
  </si>
  <si>
    <t>{0A355D63-38BC-4ECF-88BB-8E6AA0513D84}</t>
  </si>
  <si>
    <t>{95018DD5-5461-4EB4-8747-774659698125}</t>
  </si>
  <si>
    <t>{68E47C41-A923-42AC-BA8B-1374E1FCDEA4}</t>
  </si>
  <si>
    <t>{5381371F-F4AD-4B88-9A4D-889C82AD5EEF}</t>
  </si>
  <si>
    <t>{F2D6FEB5-BB95-44E4-A5F3-C34C20F6335F}</t>
  </si>
  <si>
    <t>製缶・板金製品, 4桁</t>
  </si>
  <si>
    <t>{DA650420-BF49-4C54-8F01-AE5D085CB293}</t>
  </si>
  <si>
    <t>{E2F1417F-DB22-4CA0-8B55-75BA57011F9E}</t>
  </si>
  <si>
    <t>高圧容器(ボンベ)</t>
  </si>
  <si>
    <t>{8D7509C8-ED5C-4417-A572-0C8CBFB9B515}</t>
  </si>
  <si>
    <t>{D743C999-B8F2-4489-94B0-A404BF788951}</t>
  </si>
  <si>
    <t>{D36F2DCA-40BD-4761-B36E-3B698EC3D7D2}</t>
  </si>
  <si>
    <t>{0D80EA4D-DDDB-4B9E-9BC1-2B21C73C15A5}</t>
  </si>
  <si>
    <t>粉末や金製品, 4桁</t>
  </si>
  <si>
    <t>{E1BB1A63-9F3F-44BC-B953-32B6A440DE2A}</t>
  </si>
  <si>
    <t>{61DB439E-2215-4825-AF97-7C9A791343B7}</t>
  </si>
  <si>
    <t>くぎ, 4桁</t>
  </si>
  <si>
    <t>{D529E974-D336-402C-991F-73581D6333A3}</t>
  </si>
  <si>
    <t>{FD6B3A97-7990-480B-8B45-92AE96B6B9C8}</t>
  </si>
  <si>
    <t>{DBB76121-3813-4745-A6CD-150785916BC7}</t>
  </si>
  <si>
    <t>その他の金属線製品, 4桁</t>
  </si>
  <si>
    <t>{B22F659B-CC8D-4754-A648-D898EAAF4A9D}</t>
  </si>
  <si>
    <t>鉄製金網(溶接金網、じゃかごを含む)</t>
  </si>
  <si>
    <t>{D92C8A88-8644-4F51-AD5E-495B8FDF7B07}</t>
  </si>
  <si>
    <t>{2BA01151-6303-4417-9D52-9783544FDC24}</t>
  </si>
  <si>
    <t>鋼索(鋼より線を含む)</t>
  </si>
  <si>
    <t>{7C52C467-FF79-4098-9729-0C9D4060FFEE}</t>
  </si>
  <si>
    <t>{BC9DC86A-FBC1-4A6D-B16F-E549F080909E}</t>
  </si>
  <si>
    <t>{90C39367-495B-46E1-A803-277FE3549C5C}</t>
  </si>
  <si>
    <t>ボルト・ナット・リベット・小ねじ・木ねじ等, 4桁</t>
  </si>
  <si>
    <t>{641D5159-1B52-4375-A710-99938B3B7A59}</t>
  </si>
  <si>
    <t>ボルト・ナット</t>
  </si>
  <si>
    <t>{D0C81CDC-778C-4BAA-BEEE-BC35A411926D}</t>
  </si>
  <si>
    <t>{DB4AE3DE-0FB8-4469-845A-37DC8D921DA9}</t>
  </si>
  <si>
    <t>木ねじ・小ねじ・押しねじ</t>
  </si>
  <si>
    <t>{DB96C3F7-74FB-4F51-8930-EE470C12E0A9}</t>
  </si>
  <si>
    <t>金庫, 4桁</t>
  </si>
  <si>
    <t>{DBCAA63C-6AB1-44CC-88A0-52F0181FA2FF}</t>
  </si>
  <si>
    <t>{6C02EF5D-F6CF-4914-B551-C08965CEE215}</t>
  </si>
  <si>
    <t>金属製スプリング, 4桁</t>
  </si>
  <si>
    <t>{CE763A38-E544-4DF7-9626-94268BCC06F3}</t>
  </si>
  <si>
    <t>{77FCE6C2-31AF-46CD-87A7-03F5A170ED37}</t>
  </si>
  <si>
    <t>{DED3B09B-2125-4F68-B7F7-85BB1B73ED96}</t>
  </si>
  <si>
    <t>{E45ADA3D-D5E1-4947-A097-13C9D398AA93}</t>
  </si>
  <si>
    <t>{8BF701FE-0F4A-4B15-A238-CA07D462D1D8}</t>
  </si>
  <si>
    <t>{BFBCD639-7AD0-474E-B878-94786B0BD3F6}</t>
  </si>
  <si>
    <t>ボイラ, 4桁</t>
  </si>
  <si>
    <t>{2DEEFA25-BE0B-4482-B43A-2B1857C74385}</t>
  </si>
  <si>
    <t>{D10D1CEA-D173-46D5-B726-88027A8A0FC5}</t>
  </si>
  <si>
    <t>{ADC09795-AAF9-46F7-BA8C-87BEBB47AE5B}</t>
  </si>
  <si>
    <t>その他のボイラ(温水ボイラを除く)</t>
  </si>
  <si>
    <t>{8E780455-6060-4ECA-A225-6169A142A1AC}</t>
  </si>
  <si>
    <t>蒸気機関・タービン・水力タービン(舶用を除く), 4桁</t>
  </si>
  <si>
    <t>{79032594-A664-4D76-BC0B-2F48929A2CC5}</t>
  </si>
  <si>
    <t>{E33A4733-CEC2-4A29-8650-5B8184C69898}</t>
  </si>
  <si>
    <t>{61AE609E-AAAD-4CD5-B4A0-39E8840B09EC}</t>
  </si>
  <si>
    <t>汎用内燃機関, 4桁</t>
  </si>
  <si>
    <t>{D5C7CA2D-48AE-41B3-A102-F206199AEC97}</t>
  </si>
  <si>
    <t>{CB65697F-C705-49EE-9253-47A71C9720C9}</t>
  </si>
  <si>
    <t>{4E508D0C-B59C-4DFC-BA39-0163B3529715}</t>
  </si>
  <si>
    <t>農業用機械(農業用器具を除く), 4桁</t>
  </si>
  <si>
    <t>{F60F3015-1A6F-4D32-A72E-4076D62A7F59}</t>
  </si>
  <si>
    <t>動力耕うん機・歩行用トラクタ(エンジンなしのもの及びガーデントラクタを含む)</t>
  </si>
  <si>
    <t>{EEF8294C-E255-49D5-8A0D-32A06C96F1A6}</t>
  </si>
  <si>
    <t>{7355506C-77F7-409C-80BF-A57262B37E89}</t>
  </si>
  <si>
    <t>{0A42C6E1-4996-491D-96E1-33ED23074F03}</t>
  </si>
  <si>
    <t>{DF1F31EA-FB63-4C42-9B20-32CA16BB0E94}</t>
  </si>
  <si>
    <t>{E413635C-6574-4ABE-8964-A6314996FF60}</t>
  </si>
  <si>
    <t>{48EFC67B-454C-4B81-8CC2-8FE32A0D5B92}</t>
  </si>
  <si>
    <t>{2C0993F9-4EC6-40E4-A3C5-C83DF6BD4CB6}</t>
  </si>
  <si>
    <t>{19339875-2C5F-4285-9EE1-78C422CED8C1}</t>
  </si>
  <si>
    <t>{AD065DEE-5684-4AC0-9247-52BE4BA18EAC}</t>
  </si>
  <si>
    <t>建設機械・鉱山機械, 4桁</t>
  </si>
  <si>
    <t>{8BC46649-8821-413A-9286-3F1D664FB795}</t>
  </si>
  <si>
    <t>{2B2D84C1-853F-4728-80BA-848942BE26C9}</t>
  </si>
  <si>
    <t>掘さく機(ショベル系を除く)</t>
  </si>
  <si>
    <t>{E8397221-29E2-4033-863C-8F6A92B309CE}</t>
  </si>
  <si>
    <t>{1C9369A0-D24A-44B3-86FE-6F6F1874E092}</t>
  </si>
  <si>
    <t>{10399E8C-734E-4538-9635-4E5142B8AA62}</t>
  </si>
  <si>
    <t>{83DB5E36-F6A6-4BDF-91E1-E011F2F6BDC9}</t>
  </si>
  <si>
    <t>{7882CD28-39B6-44CF-A5D7-3EDC3C918438}</t>
  </si>
  <si>
    <t>{6D38D481-2378-44A7-B23D-AA3D621C0E39}</t>
  </si>
  <si>
    <t>{725563C1-BFA7-4928-BA2B-3436D5C2D921}</t>
  </si>
  <si>
    <t>{9A78A1C5-759C-47D7-AAE4-AA2CAF8BACC9}</t>
  </si>
  <si>
    <t>ショベルトラック</t>
  </si>
  <si>
    <t>{8CCF1E78-F4AF-40C7-B726-EE4B4C2F2E7D}</t>
  </si>
  <si>
    <t>{620C8E56-93FA-4A69-910F-6A1E7EC65E75}</t>
  </si>
  <si>
    <t>{F1531A51-55CB-4094-B316-5324D20F3C94}</t>
  </si>
  <si>
    <t>金属工作機械, 4桁</t>
  </si>
  <si>
    <t>{1DBD0488-6689-4508-998F-ADDBCC5105AE}</t>
  </si>
  <si>
    <t>{9346BF68-904C-4F3C-BEE4-CFE160D7290C}</t>
  </si>
  <si>
    <t>{FFAC02B8-4795-446B-BE47-A3BC793221CF}</t>
  </si>
  <si>
    <t>{8A7F463D-F70C-41E6-85E7-3E0F68E6CAA0}</t>
  </si>
  <si>
    <t>{170ECC99-12DD-4C8C-B944-DE560D8E7979}</t>
  </si>
  <si>
    <t>{088C740A-1CA3-4F57-BEF1-A4A1CF9F0E5B}</t>
  </si>
  <si>
    <t>{840F2452-8DF4-4198-B510-A5C17ABAAB80}</t>
  </si>
  <si>
    <t>{A310D81F-F296-4635-8D47-08704D410492}</t>
  </si>
  <si>
    <t>{E354E617-501D-4130-9CAB-3D6BBB4BEBCB}</t>
  </si>
  <si>
    <t>{650EFEEF-B111-4272-890D-6531B7251433}</t>
  </si>
  <si>
    <t>{AF30A45B-F723-4DD3-993B-E4B5AF4FAF3C}</t>
  </si>
  <si>
    <t>金属加工機械(金属工作機械を除く), 4桁</t>
  </si>
  <si>
    <t>{178132F4-DDD5-4E16-B1A1-EE3212ACE47C}</t>
  </si>
  <si>
    <t>{34CFD472-D989-46C8-9FAE-82BE81865CBD}</t>
  </si>
  <si>
    <t>{A0F0FBFF-E4D4-419C-B22D-E35E478C22F7}</t>
  </si>
  <si>
    <t>{3EEDA959-83DB-4519-9E39-E7FDAB531239}</t>
  </si>
  <si>
    <t>{53411E73-06A8-445C-B767-85161A1902EE}</t>
  </si>
  <si>
    <t>{F4041B1B-52BC-4157-8D36-C0CCDEF04B6C}</t>
  </si>
  <si>
    <t>せん断機(シャーリングマシン)</t>
  </si>
  <si>
    <t>{E16DB46B-8D9D-4D95-A634-2F40E420EF7B}</t>
  </si>
  <si>
    <t>{7CE2B885-9FB0-4EA9-9717-0FAD9E22CA59}</t>
  </si>
  <si>
    <t>{E844F5D0-72BB-48EB-9A1C-F4A716E4128D}</t>
  </si>
  <si>
    <t>{FBEA4832-E9F5-4331-B09A-F8AC70DA4942}</t>
  </si>
  <si>
    <t>{5EC1875F-BBD8-46A5-8910-813AF11BD839}</t>
  </si>
  <si>
    <t>機械工具(粉末や金製を除く), 4桁</t>
  </si>
  <si>
    <t>{98D18A56-2D45-4CC4-8268-98B4D3A8775B}</t>
  </si>
  <si>
    <t>{5AF1AE97-6DBE-41C7-AB71-F65572272775}</t>
  </si>
  <si>
    <t>超硬工具(粉末や金製を除く)</t>
  </si>
  <si>
    <t>{BCD2A27B-D77A-41AA-A32D-F3A6C3FBC9F1}</t>
  </si>
  <si>
    <t>{A356489A-CB52-4B68-83FC-0179ED1958F1}</t>
  </si>
  <si>
    <t>{DAFB25B6-1ED8-4C5B-8D88-133C01F3A08E}</t>
  </si>
  <si>
    <t>{FCC38B87-23B4-4838-837D-413BD537E6AB}</t>
  </si>
  <si>
    <t>化学繊維機械・紡績機械, 4桁</t>
  </si>
  <si>
    <t>{B9645EF6-EAE8-44C0-BFFB-AFD19F5343DB}</t>
  </si>
  <si>
    <t>{6B704F70-5993-4AFA-8F16-96ACBA716B7F}</t>
  </si>
  <si>
    <t>{FDA67083-B4B1-426F-8AA3-A9DBA136D2B4}</t>
  </si>
  <si>
    <t>{92512BF9-E735-401D-8C4E-DDA8B500C6EA}</t>
  </si>
  <si>
    <t>製織機械・編組機械, 4桁</t>
  </si>
  <si>
    <t>{5BBC53AE-01AB-48AC-9BB6-CDAFB2240A8F}</t>
  </si>
  <si>
    <t>エアジェットルーム織機・ウォータージェットルーム織機</t>
  </si>
  <si>
    <t>{D89B541A-A1B1-4F50-9357-6D6356FB9FDF}</t>
  </si>
  <si>
    <t>{7FEC4143-195B-41BE-82AE-F9627A0E47FF}</t>
  </si>
  <si>
    <t>{D68DA049-B461-4CDC-A1A0-F874DFB5F99A}</t>
  </si>
  <si>
    <t>{2FC63534-1354-4438-8897-8D3EB3482B79}</t>
  </si>
  <si>
    <t>{F66CD166-A5FD-4931-9AEF-0291D7468670}</t>
  </si>
  <si>
    <t>染色整理仕上機械, 4桁</t>
  </si>
  <si>
    <t>{1F5EDB55-C667-4757-A00B-974FBD266C0B}</t>
  </si>
  <si>
    <t>染色機・なっ染機</t>
  </si>
  <si>
    <t>{DE7205BC-7FA6-4B26-9585-1792C6D6EDF0}</t>
  </si>
  <si>
    <t>{E7A3560C-1357-48E1-8953-FB80DB9A9179}</t>
  </si>
  <si>
    <t>{C325802F-0FAD-4968-8D0D-902555A485C8}</t>
  </si>
  <si>
    <t>縫製機械, 4桁</t>
  </si>
  <si>
    <t>{0584D26A-572B-4D63-8CB6-CEF63ACF0A0F}</t>
  </si>
  <si>
    <t>{F5A16DF6-B43F-4308-9D38-1551B4918FCF}</t>
  </si>
  <si>
    <t>{85EE1E5A-9138-4D9B-AB54-80256453B091}</t>
  </si>
  <si>
    <t>食品機械・同装置, 4桁</t>
  </si>
  <si>
    <t>{07E4603C-4D7F-43C6-8C73-3E8897838415}</t>
  </si>
  <si>
    <t>穀物処理機械・同装置</t>
  </si>
  <si>
    <t>{E46EB83D-F16E-40E9-B874-C6BF0C1F4ADB}</t>
  </si>
  <si>
    <t>{D696DDFC-EB7E-4DC9-A40E-8B97CF0F164A}</t>
  </si>
  <si>
    <t>{BAEAE6F4-97D6-4D88-B1EE-F98625172B0B}</t>
  </si>
  <si>
    <t>{F0B455C2-6EC8-4693-9FA7-B9BA6BA9CE8A}</t>
  </si>
  <si>
    <t>{B384A132-ACDB-439A-85B8-4E7511104D43}</t>
  </si>
  <si>
    <t>{8E9FB771-3E0E-4B19-8347-B3AC23062851}</t>
  </si>
  <si>
    <t>木材加工機械, 4桁</t>
  </si>
  <si>
    <t>{46BE3ABE-48E9-4A7F-A290-E1A9042FBA3D}</t>
  </si>
  <si>
    <t>{AE3A0635-0DB0-4B05-A4C5-02240BA022B0}</t>
  </si>
  <si>
    <t>木工機械</t>
  </si>
  <si>
    <t>{F2B7CCC1-5A57-4CB6-A542-50E965014C3E}</t>
  </si>
  <si>
    <t>合板機械(繊維板機械を含む)</t>
  </si>
  <si>
    <t>{11634D36-5593-41E9-BD21-7915ABD435DB}</t>
  </si>
  <si>
    <t>パルプ装置・製紙機械, 4桁</t>
  </si>
  <si>
    <t>{4B879FCA-9247-4AFF-84F8-16866583DE48}</t>
  </si>
  <si>
    <t>パルプ製造機械・同装置</t>
  </si>
  <si>
    <t>{DB7B7A8A-C413-4A8A-AEF9-8A6C9E0E47C2}</t>
  </si>
  <si>
    <t>{AF48DA66-D3BC-49F4-947E-6C0B307DC6CF}</t>
  </si>
  <si>
    <t>{F7DAF9AC-907B-473E-BC03-FA9BA3AF7ABB}</t>
  </si>
  <si>
    <t>印刷・製本・紙工機械, 4桁</t>
  </si>
  <si>
    <t>{825DB654-CCFE-4BD0-ACF8-8E2D00219253}</t>
  </si>
  <si>
    <t>{C88B9B7A-40BD-4A59-B29F-FE5FFBA45A7D}</t>
  </si>
  <si>
    <t>{7A135133-3775-49B8-92DE-4087ABF4B657}</t>
  </si>
  <si>
    <t>{F3A5ECBC-9BFA-4D12-A63B-6F7A58850CB8}</t>
  </si>
  <si>
    <t>製版機械(活字鋳造機を含む)</t>
  </si>
  <si>
    <t>{6921F1D6-B281-4F8B-9AC2-3F30110A7D60}</t>
  </si>
  <si>
    <t>鋳造装置, 4桁</t>
  </si>
  <si>
    <t>{84A16BD1-548D-4CB1-B4C2-C553CEB430E5}</t>
  </si>
  <si>
    <t>{B9A005D4-506C-46F9-8B07-44BDF6EB369F}</t>
  </si>
  <si>
    <t>{C1B49ACC-F454-438F-9EED-43A29B9FA677}</t>
  </si>
  <si>
    <t>鋳型・鋳型定盤(製鉄・製鋼用に限る)</t>
  </si>
  <si>
    <t>{A41CAD5B-8358-476B-B4C5-6E6DAC4776FB}</t>
  </si>
  <si>
    <t>プラスチック加工機械・同附属装置, 4桁</t>
  </si>
  <si>
    <t>{7AC8BFF6-1946-4801-B7F8-074D66C4D0EB}</t>
  </si>
  <si>
    <t>{57542C93-9CAF-4652-98D1-82291199C560}</t>
  </si>
  <si>
    <t>{EACA9DC7-18D3-4F98-A6A3-447363E242D6}</t>
  </si>
  <si>
    <t>その他のプラスチック加工機械・同附属装置(手動式を含む)</t>
  </si>
  <si>
    <t>{A707D892-8AD5-4927-9FB4-8A8629FF8141}</t>
  </si>
  <si>
    <t>半導体製造装置, 4桁</t>
  </si>
  <si>
    <t>{5E2415C5-3AA5-4324-AA7B-0F4ABFF2E1D0}</t>
  </si>
  <si>
    <t>ウェーハプロセス(電子回路形成)用処理装置</t>
  </si>
  <si>
    <t>{0628F368-9563-41C3-A86A-7EEB1B0EF16F}</t>
  </si>
  <si>
    <t>{732DDCEE-848A-4787-8178-13BF71531577}</t>
  </si>
  <si>
    <t>{DDA82086-880C-4901-BAC5-AFA78BBFFD45}</t>
  </si>
  <si>
    <t>{1F834CC4-CE05-4758-8AE1-58450B8FDA37}</t>
  </si>
  <si>
    <t>真空装置・真空機器, 4桁</t>
  </si>
  <si>
    <t>{3191EA48-91EC-4E60-9800-1200549AA7AE}</t>
  </si>
  <si>
    <t>{0B58DE3F-3C2F-4354-955B-D073BED3094C}</t>
  </si>
  <si>
    <t>{95652A57-A5C3-4AC5-B159-C3D18AEFBF7F}</t>
  </si>
  <si>
    <t>ポンプ・同装置(消防用ポンプ、舶用ポンプを含む), 4桁</t>
  </si>
  <si>
    <t>{7D77F7CE-5C5D-4AFE-9C7F-728BEE50AAD3}</t>
  </si>
  <si>
    <t>単段式うず巻ポンプ(タービン形を含む)</t>
  </si>
  <si>
    <t>{41DA2A90-41F1-496C-A2DD-E06E81DAA5F3}</t>
  </si>
  <si>
    <t>多段式うず巻ポンプ(タービン形を含む)</t>
  </si>
  <si>
    <t>{9D292B76-2555-4768-B113-A88C5F4CC311}</t>
  </si>
  <si>
    <t>耐しょく性ポンプ(化学工業用特殊ポンプ)</t>
  </si>
  <si>
    <t>{600D6C5C-297E-4026-AC4F-7303AF16EFC8}</t>
  </si>
  <si>
    <t>{499BC27F-3F45-43A7-9B69-FB50CFC78528}</t>
  </si>
  <si>
    <t>{349CFD40-0EF9-4A98-A6C7-70AB0229339A}</t>
  </si>
  <si>
    <t>空気圧縮機・ガス圧縮機・送風機, 4桁</t>
  </si>
  <si>
    <t>{8CAFEB0D-E7B5-46D3-AEC4-ADD993DD45EF}</t>
  </si>
  <si>
    <t>{9599BB6E-1B56-45C9-ABCC-57A6BC98BFDD}</t>
  </si>
  <si>
    <t>{D7988622-13D5-4423-9396-4F41C18CCEB2}</t>
  </si>
  <si>
    <t>{8F1376FD-0F11-4863-9FBC-CD5B9974CA6F}</t>
  </si>
  <si>
    <t>{F3D0BB48-4D2F-4CA4-A4D9-6F00C8E9451C}</t>
  </si>
  <si>
    <t>{4FE6A832-993B-49C6-A098-16358839CF6E}</t>
  </si>
  <si>
    <t>{32741F5B-213A-44A5-8E89-CC725F49DE0F}</t>
  </si>
  <si>
    <t>エレベータ・エスカレータ, 4桁</t>
  </si>
  <si>
    <t>{3B9C9B71-855E-40D7-96A9-0053F419EAC7}</t>
  </si>
  <si>
    <t>{7D415E12-8E6B-47F8-8D1D-F6DBADBB0867}</t>
  </si>
  <si>
    <t>{BFBDCE6E-AE4C-46D9-ABA0-6B171265E1AC}</t>
  </si>
  <si>
    <t>荷役運搬設備, 4桁</t>
  </si>
  <si>
    <t>{D50D80F3-23E8-47F5-A7D0-EF02845A2DB3}</t>
  </si>
  <si>
    <t>{07710E39-61F5-4171-8645-358EB7A3AA10}</t>
  </si>
  <si>
    <t>{BC396E67-BE37-4EF3-87A5-A27C376FC5C3}</t>
  </si>
  <si>
    <t>{95458E68-E28D-4BF5-A628-D138A9011029}</t>
  </si>
  <si>
    <t>{E9098F1D-9E85-4EC1-8FB1-013D28296124}</t>
  </si>
  <si>
    <t>{622F25D1-DF58-473A-898E-3BC383DEF0D3}</t>
  </si>
  <si>
    <t>歯車(プラスチック製を含む)</t>
  </si>
  <si>
    <t>{A979B4D2-3D14-4F87-9AA9-3E86E42D3D9E}</t>
  </si>
  <si>
    <t>{5F1E0DC9-9A8B-417F-8BFC-345A02721A4B}</t>
  </si>
  <si>
    <t>工業窯炉, 4桁</t>
  </si>
  <si>
    <t>{6930A640-3828-4150-AF67-33D31F21B1D2}</t>
  </si>
  <si>
    <t>{483F2273-3544-43BE-A9D6-0CEB6DB08E49}</t>
  </si>
  <si>
    <t>油圧・空圧機器, 4桁</t>
  </si>
  <si>
    <t>{06F0D73E-4DE1-4976-960C-FC37D4F9B384}</t>
  </si>
  <si>
    <t>{2FD45BCB-9F68-47C7-A7ED-B0FE23F6AC49}</t>
  </si>
  <si>
    <t>{4D7390A3-0FBB-4321-B9CF-61751FB08C17}</t>
  </si>
  <si>
    <t>{417E5C72-68BB-413A-A16D-0FEF3789D157}</t>
  </si>
  <si>
    <t>{E5A80AE0-8267-4301-AC4C-9D7E1A8FB0AB}</t>
  </si>
  <si>
    <t>{EB39A01A-632F-4796-96E0-DCB9C89D4E7B}</t>
  </si>
  <si>
    <t>空気圧機器(空気圧ユニット機器を含む)</t>
  </si>
  <si>
    <t>{034E2475-D47F-47C7-BFCB-1B7BAFC2E56F}</t>
  </si>
  <si>
    <t>{365A2C73-4947-45B8-86B8-E55BCB8FCDF1}</t>
  </si>
  <si>
    <t>{FB68DE15-7B5F-4056-B48B-CF2D50767930}</t>
  </si>
  <si>
    <t>熱交換器(分縮機、熱換器を含む)</t>
  </si>
  <si>
    <t>{1F1D9403-B8BC-4C75-B2C9-976DFD2848AD}</t>
  </si>
  <si>
    <t>{7FFC5535-18BA-4092-A284-8F56545F661B}</t>
  </si>
  <si>
    <t>{5088884F-B747-455F-97C6-4C10306DB2AE}</t>
  </si>
  <si>
    <t>{7B24C0D5-832B-4CA0-9C34-D4A2B350D62D}</t>
  </si>
  <si>
    <t>{AFD1D034-4B7C-4BA0-98C4-1C74EA804D0D}</t>
  </si>
  <si>
    <t>{50D34843-3A91-4AD7-AE7A-6B53965CB8DF}</t>
  </si>
  <si>
    <t>{309321F7-A010-4598-8998-D5FBAFC79360}</t>
  </si>
  <si>
    <t>{AE88D7C6-0FDD-4C44-9E1C-52BB23EEA17B}</t>
  </si>
  <si>
    <t>事務用機械器具(電子式を含む), 4桁</t>
  </si>
  <si>
    <t>{C36EC4EE-E5DB-40C8-AF1C-5839F443D40B}</t>
  </si>
  <si>
    <t>{C2C310A3-DB70-457D-9C95-E532C326D34B}</t>
  </si>
  <si>
    <t>{80DFB095-5D93-4011-B3F2-E6ADD1E8E956}</t>
  </si>
  <si>
    <t>{E160C046-E418-433C-B604-B3A32A739BD9}</t>
  </si>
  <si>
    <t>金銭登録機(レジスタ)</t>
  </si>
  <si>
    <t>{B44251CD-C569-44FB-8558-D50A182126DA}</t>
  </si>
  <si>
    <t>{7C5F00C1-07D9-4CE6-9C5D-FB419B654886}</t>
  </si>
  <si>
    <t>冷凍機・温湿調整装置, 4桁</t>
  </si>
  <si>
    <t>{AC6FD625-0DB0-447D-AD17-C9AF02976B06}</t>
  </si>
  <si>
    <t>{BB26EEFB-3605-4115-BE40-1B56F5D013B4}</t>
  </si>
  <si>
    <t>冷凍・冷蔵用ショーケース(冷凍陳列棚を含む)</t>
  </si>
  <si>
    <t>{0D3D318C-5650-4339-A624-EFBFA9DFB062}</t>
  </si>
  <si>
    <t>エアコンディショナ(ウインド形、セパレート形を除く)</t>
  </si>
  <si>
    <t>{89C760B2-9E8C-46C4-8590-45D74D288BC7}</t>
  </si>
  <si>
    <t>{6E810506-DC83-4DC2-85FD-753ED7D348A4}</t>
  </si>
  <si>
    <t>{17042446-B886-4DDE-BC52-79F234FCDB89}</t>
  </si>
  <si>
    <t>{6B97BB51-D925-4621-AEED-CF4532138B05}</t>
  </si>
  <si>
    <t>自動販売機, 4桁</t>
  </si>
  <si>
    <t>{C94D0FFC-DBC2-4288-9EC6-7C368B5B283B}</t>
  </si>
  <si>
    <t>{39BFE431-2008-4F92-8ABD-A700EBD7A6AC}</t>
  </si>
  <si>
    <t>{713B971B-0A0A-433C-8BC4-926657A5E6D0}</t>
  </si>
  <si>
    <t>{2BF1270E-85B1-442A-B378-09D36459AD2E}</t>
  </si>
  <si>
    <t>その他のサービス用機械器具</t>
  </si>
  <si>
    <t>{BD0D0BDB-21A5-470C-8CB7-9C22262E4452}</t>
  </si>
  <si>
    <t>弁・同附属品, 4桁</t>
  </si>
  <si>
    <t>{A1A0988C-917D-4ECF-9B95-CBA9142BB060}</t>
  </si>
  <si>
    <t>{A161191C-7317-4447-8BC1-62AC9F9264BB}</t>
  </si>
  <si>
    <t>{8C73F094-84DD-456C-B003-326ED4C67E49}</t>
  </si>
  <si>
    <t>{AA8B29C3-D884-4C4B-A3AD-2B723778CFC9}</t>
  </si>
  <si>
    <t>{F9133A00-8324-4619-A550-9B1431CF1F09}</t>
  </si>
  <si>
    <t>玉軸受・ころ軸受(プラスチック製を含む), 4桁</t>
  </si>
  <si>
    <t>{F83AAAF2-3043-476E-97DA-A4EA021A80EF}</t>
  </si>
  <si>
    <t>ラジアル玉軸受(軸受ユニット用を除く)</t>
  </si>
  <si>
    <t>{35B8B8A4-F7AD-44C2-A3E5-B1949C147AC6}</t>
  </si>
  <si>
    <t>その他の玉軸受(軸受ユニット用を除く)</t>
  </si>
  <si>
    <t>{F5E57514-7449-42FF-B71C-953AA0D7C4EA}</t>
  </si>
  <si>
    <t>ころ軸受(軸受ユニット用を除く)</t>
  </si>
  <si>
    <t>{D14FF02C-6CB3-47D9-BF1B-3B5419E5D29E}</t>
  </si>
  <si>
    <t>{29FC6B6A-AE3B-412D-81E1-D7374C45FB15}</t>
  </si>
  <si>
    <t>{2F00AFB4-BB29-4B52-A8BF-3CC4F3BC9133}</t>
  </si>
  <si>
    <t>ピストンリング, 4桁</t>
  </si>
  <si>
    <t>{C42B0729-201C-413B-8414-7EA1D8F125A4}</t>
  </si>
  <si>
    <t>{E4F5A62F-EEDA-49AD-8621-06E1900552E4}</t>
  </si>
  <si>
    <t>金型・同部分品・附属品, 4桁</t>
  </si>
  <si>
    <t>{FFB6415E-4659-4A1D-A1F9-D85F492F34D2}</t>
  </si>
  <si>
    <t>{018A2710-2512-43A1-A96E-904B7150E6AF}</t>
  </si>
  <si>
    <t>{127698BC-1766-47CF-B39D-A417E73E421B}</t>
  </si>
  <si>
    <t>鋳造用金型(ダイカスト用を含む)</t>
  </si>
  <si>
    <t>{FBFEA2E5-62AC-4F4D-8421-DB6359868E6B}</t>
  </si>
  <si>
    <t>{57459BEE-9363-407A-8CA6-39F20DCE0F5F}</t>
  </si>
  <si>
    <t>{3157E9A2-4BD3-4B93-BC2A-C4D6B84732B9}</t>
  </si>
  <si>
    <t>その他の金型・同部分品・附属品</t>
  </si>
  <si>
    <t>{5A1DB108-5657-43C7-8CBE-625FBF06C68A}</t>
  </si>
  <si>
    <t>包装・荷造機械, 4桁</t>
  </si>
  <si>
    <t>{7DF584EA-016E-4CC1-95E5-51E152570486}</t>
  </si>
  <si>
    <t>{6584BC91-CF85-4152-81E8-AB663FF224F0}</t>
  </si>
  <si>
    <t>{DF9008CD-A764-424D-BFA1-E10EA9F148AE}</t>
  </si>
  <si>
    <t>産業用ロボット, 4桁</t>
  </si>
  <si>
    <t>{92122A46-7762-4BD5-B40F-80E883DFFF18}</t>
  </si>
  <si>
    <t>{5C9BFBFE-5B0F-4DC3-A9AD-24BAF63A3045}</t>
  </si>
  <si>
    <t>{5849B99B-837A-488A-B962-670FD786C053}</t>
  </si>
  <si>
    <t>{33A2A463-B30C-4750-B2F4-DAB7F8E2AFCA}</t>
  </si>
  <si>
    <t>{0FB76671-EB79-4116-A640-E6CFC39C3DEA}</t>
  </si>
  <si>
    <t>直流電動機, 70W以上</t>
  </si>
  <si>
    <t>{4A07E8FD-6BD5-4EBA-9015-8D3AF0B68EAA}</t>
  </si>
  <si>
    <t>{47907146-3BB9-41EB-A992-22EF282F39B0}</t>
  </si>
  <si>
    <t>{6ED134D2-9721-428E-A918-DEFFF11688D8}</t>
  </si>
  <si>
    <t>{C6CEF6FE-44D2-4205-B0A4-0E45CF0DE463}</t>
  </si>
  <si>
    <t>{FB31B4C7-F4BD-4965-8CFE-583BE1EB5072}</t>
  </si>
  <si>
    <t>{26087140-EA89-4704-ABA3-2B591474F212}</t>
  </si>
  <si>
    <t>{8D03AFA8-DA88-44F1-B5B8-C9D10DEA9AAC}</t>
  </si>
  <si>
    <t>変圧器類(電子機器用を除く), 4桁</t>
  </si>
  <si>
    <t>{7BE15223-F3A6-4427-9DB2-8E1C1011E7A3}</t>
  </si>
  <si>
    <t>{314A4126-F022-4F0F-BF2A-973C012E56A8}</t>
  </si>
  <si>
    <t>{A98385FA-8DB4-4D1B-889E-92602886B18C}</t>
  </si>
  <si>
    <t>{18D517F5-7CF6-4D02-B00E-FE53BFA6C0F8}</t>
  </si>
  <si>
    <t>{14F48108-6589-4FFD-91E4-55170B4D5BD3}</t>
  </si>
  <si>
    <t>リアクトル, 誘導電圧調整器</t>
  </si>
  <si>
    <t>{2CDCC981-EEBE-45F8-9124-2A0C9E2B0DE3}</t>
  </si>
  <si>
    <t>開閉装置・配電盤・電力制御装置, 4桁</t>
  </si>
  <si>
    <t>{DACF0F2B-16CD-421B-AC6A-E47A549600E2}</t>
  </si>
  <si>
    <t>{2EC2D449-A351-4F83-8A4D-1321F100B909}</t>
  </si>
  <si>
    <t>{EBE7B941-8526-4E20-84C4-1E9426D8A5AD}</t>
  </si>
  <si>
    <t>{01F81D58-AE65-4AAA-9C15-6F54220247B2}</t>
  </si>
  <si>
    <t>{937EA455-06B0-450B-8196-AD2F21281F20}</t>
  </si>
  <si>
    <t>{74C7582C-DC96-4F81-88C4-9BC75A36E4EF}</t>
  </si>
  <si>
    <t>{60C1EC1D-56FE-4546-AD52-6B7B19F59DDD}</t>
  </si>
  <si>
    <t>{085C7A70-794E-4DD2-9E0D-D8DCEAB32745}</t>
  </si>
  <si>
    <t>{1501D2CE-BD30-43C6-B5A1-F0B7E9E44D20}</t>
  </si>
  <si>
    <t>配線器具・配線附属品, 4桁</t>
  </si>
  <si>
    <t>{8BC54B13-4948-4730-BE3B-63531E80813D}</t>
  </si>
  <si>
    <t>{0A5A09AB-532F-4A59-959E-C0325E1E52D7}</t>
  </si>
  <si>
    <t>{007080D3-674D-4B84-82E8-4DFDC2E82D3C}</t>
  </si>
  <si>
    <t>{271CC540-919C-4FE0-B7A9-E988A8DFA191}</t>
  </si>
  <si>
    <t>{ECD1222A-1CB1-414A-BEB2-5E7A0CE75ABF}</t>
  </si>
  <si>
    <t>電気溶接機, 4桁</t>
  </si>
  <si>
    <t>{5174EDDF-85E2-4DE5-913E-DE282A107109}</t>
  </si>
  <si>
    <t>{FC539B3C-A018-47B8-BD99-8D0A7D095850}</t>
  </si>
  <si>
    <t>{C8EA7A2D-9858-49C0-B49F-36E96EFD6A5B}</t>
  </si>
  <si>
    <t>{ECCF1EA7-8C55-4CDE-BB9B-F50AEE1098B8}</t>
  </si>
  <si>
    <t>{6F4DF380-1BB9-4597-AF89-942846F62CCB}</t>
  </si>
  <si>
    <t>{321047EB-F784-44B5-A0EA-6028CE87C9C7}</t>
  </si>
  <si>
    <t>{74D7BD2A-B55F-4216-83B0-7D015DB1578B}</t>
  </si>
  <si>
    <t>コンデンサ(蓄電器)</t>
  </si>
  <si>
    <t>{35BAF767-A501-4F41-90DA-A78F653BA477}</t>
  </si>
  <si>
    <t>{5592ED08-96BD-43A0-9F1D-0F7E2EC26393}</t>
  </si>
  <si>
    <t>{A7F606DA-581E-4F66-AEE0-559FE6B0292C}</t>
  </si>
  <si>
    <t>ちゅう房機器, 4桁</t>
  </si>
  <si>
    <t>{EA448C11-E588-41CD-BB05-70E7FC0E6566}</t>
  </si>
  <si>
    <t>{755DF0D2-7246-4A66-9B6C-A449E3E9260B}</t>
  </si>
  <si>
    <t>{6ED9326D-F97B-42AF-B486-7F7ED1AD6C6D}</t>
  </si>
  <si>
    <t>{2868AEAA-0312-4778-954A-8858BB097AFB}</t>
  </si>
  <si>
    <t>{F720E997-5251-4166-A51E-226ACD5509C8}</t>
  </si>
  <si>
    <t>空調・住宅関連機器, 4桁</t>
  </si>
  <si>
    <t>{D2E8068B-91A3-414C-A88F-71EC98513B88}</t>
  </si>
  <si>
    <t>{2AE8FF68-43EA-49F9-BB20-6D7B0531CC8D}</t>
  </si>
  <si>
    <t>{913390E1-24BD-4B79-9335-8C731ECAD7E2}</t>
  </si>
  <si>
    <t>{A334D3BA-8A89-45E6-874A-7E2904B10F04}</t>
  </si>
  <si>
    <t>{84015600-A0C3-45D7-99FA-22CAF60E66B6}</t>
  </si>
  <si>
    <t>衣料衛生関連機器, 4桁</t>
  </si>
  <si>
    <t>{1268BA7F-AF48-404D-8130-59961800569C}</t>
  </si>
  <si>
    <t>{9519291C-7DA8-4FF1-BD8B-E7BBAE0D9F7F}</t>
  </si>
  <si>
    <t>{FDF8122D-694C-4AC7-A5BA-6283F26B0B2F}</t>
  </si>
  <si>
    <t>{8DE333F2-FA89-4A6E-BFA1-848AAC204BE5}</t>
  </si>
  <si>
    <t>電気温水洗浄便座(暖房便座を含む)</t>
  </si>
  <si>
    <t>{FF499E09-DBDF-4C20-BF4B-99895B894604}</t>
  </si>
  <si>
    <t>{9F1D4185-C6CE-4E1A-A892-3A7D5C9C3FF4}</t>
  </si>
  <si>
    <t>その他の民生用電気機械器具, 4桁</t>
  </si>
  <si>
    <t>{7DF0D39F-5A50-429A-AB88-FA80F896A5B9}</t>
  </si>
  <si>
    <t>{32BCA979-EAEF-4536-B993-2C53829835F1}</t>
  </si>
  <si>
    <t>{968BEF89-98F6-4E58-9844-C7B23B3D14E2}</t>
  </si>
  <si>
    <t>{E7EEC718-ABC9-44E4-8141-F73F4816271B}</t>
  </si>
  <si>
    <t>電球, 4桁</t>
  </si>
  <si>
    <t>{1B444312-FDCE-4527-A50B-99BB6DB9DD80}</t>
  </si>
  <si>
    <t>{CEED1155-F801-4D05-830D-CD8371181E0A}</t>
  </si>
  <si>
    <t>{29F6F585-0C52-43FB-9E33-4DCBBD132572}</t>
  </si>
  <si>
    <t>{BC005132-1BEB-48E2-A173-4F8E22DD4BED}</t>
  </si>
  <si>
    <t>{B0678748-9140-4EF5-A8DC-E833604492AA}</t>
  </si>
  <si>
    <t>{7A0D93E7-030D-4A3A-85E7-2A7120AAC696}</t>
  </si>
  <si>
    <t>{F62A1068-1B6A-4A29-8BFE-75F24E2D0F4B}</t>
  </si>
  <si>
    <t>電気照明器具, 4桁</t>
  </si>
  <si>
    <t>{E367131A-0779-4DAF-9CDE-C7E9E77C8222}</t>
  </si>
  <si>
    <t>{DBF474B5-8937-47CB-871C-4FDD324DE270}</t>
  </si>
  <si>
    <t>{64A0B3E2-473A-43A1-9BE2-0F59E9943FDE}</t>
  </si>
  <si>
    <t>{4E303520-CAB3-4B92-9CB2-9D7AAD2A63C9}</t>
  </si>
  <si>
    <t>蛍光灯器具(直管、環形管を除く)</t>
  </si>
  <si>
    <t>{A378425B-E4E4-4EA8-B65B-AEA9B28DCECD}</t>
  </si>
  <si>
    <t>{92F8C44F-4696-468D-A87E-D870BF141372}</t>
  </si>
  <si>
    <t>Ｘ線装置, 4桁</t>
  </si>
  <si>
    <t>{251A1D2E-638C-4534-970A-96BF8E02D122}</t>
  </si>
  <si>
    <t>{B99C69CF-1DFE-4841-B9EA-C8ECC6ECEE35}</t>
  </si>
  <si>
    <t>{9DA6B279-5BE2-41BB-9D58-7DF153B4536D}</t>
  </si>
  <si>
    <t>ビデオ機器, 4桁</t>
  </si>
  <si>
    <t>{C3B4DDD7-206C-470C-BE50-C01D26C22115}</t>
  </si>
  <si>
    <t>磁気録画・再生装置</t>
  </si>
  <si>
    <t>{CEE7F42A-8A75-42D8-8F65-35211A71383C}</t>
  </si>
  <si>
    <t>ビデオカメラ(放送用を除く)</t>
  </si>
  <si>
    <t>{FBCA1F96-D9A8-46CB-B0EE-633424BE450C}</t>
  </si>
  <si>
    <t>{AED8A12D-FBD1-4DCA-8E8E-BB8A2FF05FBD}</t>
  </si>
  <si>
    <t>医療用電子応用装置, 4桁</t>
  </si>
  <si>
    <t>{E1D53736-AACF-48DA-9836-FC83226596FF}</t>
  </si>
  <si>
    <t>{9BAC6FBC-90DF-4154-9498-94AA9A206078}</t>
  </si>
  <si>
    <t>{0321618A-6FA2-41F5-992B-DA38FDF0A74E}</t>
  </si>
  <si>
    <t>{57CF1A85-7AD9-4199-9A0F-C7B462B18E19}</t>
  </si>
  <si>
    <t>{7736D567-107F-4ADB-B16D-EC73BF0EF964}</t>
  </si>
  <si>
    <t>{7CF0C864-A6CB-4E33-8440-CEB819B45802}</t>
  </si>
  <si>
    <t>{C78C2814-FE00-41D5-9788-25C2E9422FCD}</t>
  </si>
  <si>
    <t>{3BEF283F-EF68-4ED8-B138-82EF1C2897BE}</t>
  </si>
  <si>
    <t>工業計器, 4桁</t>
  </si>
  <si>
    <t>{06B15D6E-BEA9-438A-9E5D-98408FA7A9D2}</t>
  </si>
  <si>
    <t>{6C8DF088-1C03-498C-B65C-979B6920E966}</t>
  </si>
  <si>
    <t>医療用計測器, 4桁</t>
  </si>
  <si>
    <t>{2F110ECC-3C1A-4E2D-A8D9-E90157C5652D}</t>
  </si>
  <si>
    <t>{91D8142C-E982-4473-A3F7-2BF414A9049D}</t>
  </si>
  <si>
    <t>蓄電池, 4桁</t>
  </si>
  <si>
    <t>{5D8120D7-CE17-46FA-BBE8-C65FF2D9A48F}</t>
  </si>
  <si>
    <t>{F00E1C2D-9259-4BA8-8DFC-8468D1ED23C0}</t>
  </si>
  <si>
    <t>{62DB0E54-DF8B-43DF-BB0A-AD5E6BF7D34B}</t>
  </si>
  <si>
    <t>{05A0B2FF-585F-4391-8593-C53D02BC1AA7}</t>
  </si>
  <si>
    <t>一次電池, 4桁</t>
  </si>
  <si>
    <t>{BEEEF9D1-8650-4E16-85CF-CFA0D0C9E8E4}</t>
  </si>
  <si>
    <t>{FEDF76C6-6BB1-48E9-8880-4F5F6E815C57}</t>
  </si>
  <si>
    <t>磁気テープ</t>
  </si>
  <si>
    <t>{B9CE3528-CC8A-470E-9406-3DEFFF3A9F4D}</t>
  </si>
  <si>
    <t>磁気ディスク</t>
  </si>
  <si>
    <t>{38639556-2210-4E47-B839-686E3DC59C98}</t>
  </si>
  <si>
    <t>シリコンウェハ, 半導体用</t>
  </si>
  <si>
    <t>{C85AAD3E-F8BA-4D07-AE6C-5B0978620ED4}</t>
  </si>
  <si>
    <t>シリコンウェハ, 太陽電池用</t>
  </si>
  <si>
    <t>{05A31AAC-33FD-4459-84A7-A07F7FE36158}</t>
  </si>
  <si>
    <t>{2041816F-E769-4E6C-8F8B-95FBD171A002}</t>
  </si>
  <si>
    <t>{C8C4C599-F62A-445B-B472-7CDC7F3AB66B}</t>
  </si>
  <si>
    <t>その他の電話(有線)装置</t>
  </si>
  <si>
    <t>{9CE0E39F-075F-4039-807D-D2EA2CBC4C1E}</t>
  </si>
  <si>
    <t>{33988C29-B1AF-4CE8-9F33-3AEDEF993B18}</t>
  </si>
  <si>
    <t>搬送装置(デジタル伝送装置を除く)</t>
  </si>
  <si>
    <t>{00432DEB-AC01-4932-BE40-CF282B2E6950}</t>
  </si>
  <si>
    <t>無線通信機械器具, 4桁</t>
  </si>
  <si>
    <t>{0A0F8CBE-7697-4604-AA05-01F545047531}</t>
  </si>
  <si>
    <t>ラジオ放送装置・テレビジョン放送装置</t>
  </si>
  <si>
    <t>{CD2F61DC-A43C-41EB-ACF0-CAD1772D69B8}</t>
  </si>
  <si>
    <t>{7D823E8D-A116-4367-B8C5-634DA16A6FB4}</t>
  </si>
  <si>
    <t>携帯電話機・ＰＨＳ電話機</t>
  </si>
  <si>
    <t>{B9EE8C2F-C8EF-4606-8019-7A9B1866FC3E}</t>
  </si>
  <si>
    <t>{BE933FDF-8E8C-4F24-A5EC-82B775E72784}</t>
  </si>
  <si>
    <t>{DD5A96BC-34CC-42F4-9874-C8AA82338410}</t>
  </si>
  <si>
    <t>ラジオ受信機・テレビジョン受信機, 4桁</t>
  </si>
  <si>
    <t>{81A1627F-EA47-4A15-BC8A-E589AD8F47FF}</t>
  </si>
  <si>
    <t>{9FDDD366-8CCC-4AF6-AE9B-4C21E8C00415}</t>
  </si>
  <si>
    <t>テレビジョン受信機(液晶式を除く)</t>
  </si>
  <si>
    <t>{68DCEC4F-15BB-4D88-83E2-91815B9EE0B8}</t>
  </si>
  <si>
    <t>{DA8A8124-6541-4570-A395-7E8C8ECFDDFA}</t>
  </si>
  <si>
    <t>電気音響機械器具, 4桁</t>
  </si>
  <si>
    <t>{C97A62B6-73BD-4D26-AF26-ECB2563C5EE9}</t>
  </si>
  <si>
    <t>{BDD5B3E8-18F2-488A-82A2-9C9DA4B1016E}</t>
  </si>
  <si>
    <t>{51621808-9C06-4151-9F47-693ED3AD1217}</t>
  </si>
  <si>
    <t>{E3403597-42CC-4BB5-85F8-49BB68D18029}</t>
  </si>
  <si>
    <t>{ABE37D73-6CF6-4D06-BF11-CAA788E17E8C}</t>
  </si>
  <si>
    <t>{1A790CD3-4229-40B1-A08E-D26373D2B187}</t>
  </si>
  <si>
    <t>{1AE0B72E-7F48-4667-9FB0-A52AEDC84953}</t>
  </si>
  <si>
    <t>{355C779D-6B65-4CF6-B6A4-0DE32A466F8D}</t>
  </si>
  <si>
    <t>{3FA32CFD-95C7-4757-BB8C-AEC8A345ECE8}</t>
  </si>
  <si>
    <t>スピーカシステム、マイクロホン、イヤホン、音響用ピックアップ類等(完成品)</t>
  </si>
  <si>
    <t>{37F88CB4-9BB7-4AF0-B2A5-1C20F68B266A}</t>
  </si>
  <si>
    <t>電子計算機(パーソナルコンピュータを除く), 4桁</t>
  </si>
  <si>
    <t>{28682DBC-4495-497B-AA3B-3AC146ADAEFA}</t>
  </si>
  <si>
    <t>{ED132AFE-BBED-4B95-A469-F8ADE3BC87D1}</t>
  </si>
  <si>
    <t>ミッドレンジコンピュータ</t>
  </si>
  <si>
    <t>{CB25F277-444A-4980-82B1-E46A9EE39DA5}</t>
  </si>
  <si>
    <t>パーソナルコンピュータ, 4桁</t>
  </si>
  <si>
    <t>{7D7F03E1-4A28-4CD3-AD45-BBE6B2D72701}</t>
  </si>
  <si>
    <t>{805596E2-DC52-43D8-B3B2-E853A4EF1942}</t>
  </si>
  <si>
    <t>記憶装置, 4桁</t>
  </si>
  <si>
    <t>{58FFB986-D28D-4D1A-A958-9851B817B418}</t>
  </si>
  <si>
    <t>{3B0B5765-31AD-421B-9F05-DC17909D9410}</t>
  </si>
  <si>
    <t>{5E9B7CD3-F70D-4FB1-8860-AC42F919754A}</t>
  </si>
  <si>
    <t>{F7FCFB71-39F5-4CD9-88DB-85C49755D09B}</t>
  </si>
  <si>
    <t>{603913E5-5AF6-42EF-B9E5-ACC3B36A5716}</t>
  </si>
  <si>
    <t>印刷装置, 4桁</t>
  </si>
  <si>
    <t>{E2D8D2A6-85C0-4BE4-964A-7D4D85DCC84A}</t>
  </si>
  <si>
    <t>{3E959459-DE3D-4317-B958-6FB7E96F4050}</t>
  </si>
  <si>
    <t>{9D246FB2-D0B6-43F0-9574-4E25D4345359}</t>
  </si>
  <si>
    <t>{51E56822-AF06-4CAA-A0EF-FEEB8377D1E4}</t>
  </si>
  <si>
    <t>{9BAB0BFA-42F5-4960-B292-DB48D44B0CCE}</t>
  </si>
  <si>
    <t>{0EECCBDC-9BA7-472D-B106-E338044039B1}</t>
  </si>
  <si>
    <t>電子管, 4桁</t>
  </si>
  <si>
    <t>{E010178B-3AF5-4805-AFDF-41D2EE4EBBF5}</t>
  </si>
  <si>
    <t>{F63DBB6B-7A1A-4AB5-A5CD-10A2303467A3}</t>
  </si>
  <si>
    <t>{368C764E-C160-41B3-A22D-EFD91A0783E7}</t>
  </si>
  <si>
    <t>{85C008BB-A288-4BF2-880D-0C7E7BD78818}</t>
  </si>
  <si>
    <t>半導体素子, 4桁</t>
  </si>
  <si>
    <t>{A25A50E8-1454-4BDE-B122-D1FCB8A1631B}</t>
  </si>
  <si>
    <t>{615B85EE-11F4-4D82-9DDC-D92AF0583F1D}</t>
  </si>
  <si>
    <t>{01C13502-9485-4103-B094-3477D9785112}</t>
  </si>
  <si>
    <t>{506F235D-B6FB-4A00-B70C-1D2719006A46}</t>
  </si>
  <si>
    <t>トランジスタ(シリコントランジスタを除く)</t>
  </si>
  <si>
    <t>{BEB9042C-10B0-4F22-8F1C-E10391C610DB}</t>
  </si>
  <si>
    <t>{48117BB2-07E4-4E2A-8495-78F31E588CCC}</t>
  </si>
  <si>
    <t>{0D0C4E6E-890D-4B48-8D02-68320AADEFED}</t>
  </si>
  <si>
    <t>{6D3F7BAB-D2A4-4A21-BED2-EF931FEE4DC0}</t>
  </si>
  <si>
    <t>集積回路, 4桁</t>
  </si>
  <si>
    <t>{58AC317F-570F-4C34-842A-4A4B06B63A2F}</t>
  </si>
  <si>
    <t>{34C2578E-65DC-4CB5-A354-D0D8A4965CC2}</t>
  </si>
  <si>
    <t>{4E4E1F42-C3E3-49F9-848E-B2BD812AB766}</t>
  </si>
  <si>
    <t>{F027F6C5-0494-4694-AEA0-E6BBC8A7664D}</t>
  </si>
  <si>
    <t>{AE9D22A2-A9A1-48E5-A777-231D04B4E97D}</t>
  </si>
  <si>
    <t>{4F3E8C66-B1C6-4505-B214-D0227C1071D8}</t>
  </si>
  <si>
    <t>抵抗器・コンデンサ・変成器・複合部品, 4桁</t>
  </si>
  <si>
    <t>{470D41D4-14A8-4179-9254-2FDF1214F0AE}</t>
  </si>
  <si>
    <t>{499CE12A-0FF5-43F1-AF8A-4ED62B9C64EE}</t>
  </si>
  <si>
    <t>{EEA2DACA-235B-4B39-AC4E-37F446E278A6}</t>
  </si>
  <si>
    <t>{CCDCA64A-1695-40F5-A660-094EF5CEFD24}</t>
  </si>
  <si>
    <t>{11E9AF7B-495A-4EDD-9B44-273DED957348}</t>
  </si>
  <si>
    <t>音響部品・磁気ヘッド・小型モータ, 4桁</t>
  </si>
  <si>
    <t>{2E10171D-C76E-439E-AF9B-C9297906DAE5}</t>
  </si>
  <si>
    <t>{356FDB70-746D-4E29-889D-2CDF824C2560}</t>
  </si>
  <si>
    <t>{393CE015-C22E-4495-AB0A-32410B3FFAAF}</t>
  </si>
  <si>
    <t>小形モータ, 3W未満のもの</t>
  </si>
  <si>
    <t>{CA2959C0-BA22-4176-8BE0-465B01E1FC1A}</t>
  </si>
  <si>
    <t>コネクタ・スイッチ・リレー, 4桁</t>
  </si>
  <si>
    <t>{C296E7DF-1D5E-49DE-A197-820A4B93126A}</t>
  </si>
  <si>
    <t>{B391B100-C454-428E-8051-FB5E2213747E}</t>
  </si>
  <si>
    <t>コネクタ(プリント配線板用コネクタを除く)</t>
  </si>
  <si>
    <t>{907556A3-9724-4D0F-BD01-078EC1CC9EEA}</t>
  </si>
  <si>
    <t>{027FCB9F-4425-4A4C-99BA-B090688AA4EF}</t>
  </si>
  <si>
    <t>{2808DB38-579A-41CC-A8B2-D798F71E9E7A}</t>
  </si>
  <si>
    <t>{B7D849B0-922E-4DCF-894E-51B4D5D0D1EE}</t>
  </si>
  <si>
    <t>テレビジョン用チューナ(ビデオ用を含む)</t>
  </si>
  <si>
    <t>{886DBBB9-AD53-4804-AE20-417071D944C1}</t>
  </si>
  <si>
    <t>{B431C0BC-418B-4F8D-B1EB-31E9A8CBC805}</t>
  </si>
  <si>
    <t>{860DA48A-1ED3-40DA-BD3B-71FC74A5D35F}</t>
  </si>
  <si>
    <t>{B78917A6-F965-487E-89FC-F1C6F067835C}</t>
  </si>
  <si>
    <t>磁性材部品(粉末や金によるもの)</t>
  </si>
  <si>
    <t>{A500CC24-E6A7-4A4F-A175-D8C7466D5CFC}</t>
  </si>
  <si>
    <t>水晶振動子(時計用を除く)</t>
  </si>
  <si>
    <t>{3727556F-9728-461D-9F93-0FAC5C526835}</t>
  </si>
  <si>
    <t>{F4963384-0EF0-4DD0-90FA-E544CE0E07F7}</t>
  </si>
  <si>
    <t>自動車(二輪自動車を含む), 4桁</t>
  </si>
  <si>
    <t>{729DF1F3-9E92-4836-8A18-DFF1C2F7A813}</t>
  </si>
  <si>
    <t>軽・小型乗用車,気筒容量2000ml以下, シャシーを含む</t>
  </si>
  <si>
    <t>{05269D0F-610C-440A-B594-8B9F0E01E869}</t>
  </si>
  <si>
    <t>普通乗用車,気筒容量2000mlを超えるもの, シャシーを含む</t>
  </si>
  <si>
    <t>{0434C6D4-EB8D-4360-9FF0-8EE38C4904A0}</t>
  </si>
  <si>
    <t>{65BD2052-F715-4D17-AC5C-56D494A33F86}</t>
  </si>
  <si>
    <t>トラック(けん引車を含む)</t>
  </si>
  <si>
    <t>{0D20B61C-F0B0-44C3-BC01-B058460623CC}</t>
  </si>
  <si>
    <t>{B70FDAA2-FA96-4CEB-9879-29D16563EF27}</t>
  </si>
  <si>
    <t>{4A9D053B-14C5-4C67-8886-53415DEB9027}</t>
  </si>
  <si>
    <t>二輪自動車(原動機付自転車、モータスクータを含む)(125ml以下のもの)</t>
  </si>
  <si>
    <t>{39111427-88BB-43F3-BC21-0D9954915A91}</t>
  </si>
  <si>
    <t>二輪自動車(側車付、モータスクータを含む)(125mlを超えるもの)</t>
  </si>
  <si>
    <t>{D494F10D-B77C-4E64-A5E7-647202E9A70F}</t>
  </si>
  <si>
    <t>自動車車体・附随車, 4桁</t>
  </si>
  <si>
    <t>{CFD7931F-48E0-46DA-AE79-BD9DE2FBAA11}</t>
  </si>
  <si>
    <t>{24C069B9-08BE-4671-82DF-44391E788D2A}</t>
  </si>
  <si>
    <t>{504C5602-74F2-4C1F-831E-60398CC8478E}</t>
  </si>
  <si>
    <t>{B327DF6C-6397-4543-ABDE-79FA70AB28A9}</t>
  </si>
  <si>
    <t>{CAD22180-B501-40BE-8560-147FB0A74728}</t>
  </si>
  <si>
    <t>トレーラ(トレーラシャシー、ボデーを含む)</t>
  </si>
  <si>
    <t>{B8B0B820-43B7-4B5D-8977-5B0A3BD021EE}</t>
  </si>
  <si>
    <t>{93E70ECD-F758-4078-96D6-603FC4621405}</t>
  </si>
  <si>
    <t>{22F2F38D-5F75-4871-B3FD-60DDA31F2A9E}</t>
  </si>
  <si>
    <t>{34623A28-A0F3-4AD9-AD9D-A51B5C23DAA7}</t>
  </si>
  <si>
    <t>{D83F1F6A-C5F1-41D2-AA18-DE67EF49C473}</t>
  </si>
  <si>
    <t>{32D77BDD-59D2-4408-A252-7791E2CE7319}</t>
  </si>
  <si>
    <t>{E81C4FDA-30F8-460D-BFC4-B27594F69C06}</t>
  </si>
  <si>
    <t>シャシー部品・車体部品</t>
  </si>
  <si>
    <t>{E0375087-880B-4C04-8164-3ECB4FF99FFA}</t>
  </si>
  <si>
    <t>{C29160A4-4421-4CE0-B3CD-405F6635E5EA}</t>
  </si>
  <si>
    <t>{F6C520A1-7413-4D12-952F-A77078873F47}</t>
  </si>
  <si>
    <t>座席(完成品に限る), 自動車用</t>
  </si>
  <si>
    <t>{5C48081F-F021-4E0D-A144-A9DFA7758D86}</t>
  </si>
  <si>
    <t>その他の自動車部品(二輪自動車部品を含む)</t>
  </si>
  <si>
    <t>{103379E7-68A2-42EC-A49C-7CEE29F707A3}</t>
  </si>
  <si>
    <t>ＫＤセット(乗用車、バス、トラック)</t>
  </si>
  <si>
    <t>{D1AE07DC-33CD-4285-A879-AD942AE2E0F4}</t>
  </si>
  <si>
    <t>ＫＤセット(二輪自動車)</t>
  </si>
  <si>
    <t>{BAB81D30-7040-4507-8ECE-6B3BA29B45C3}</t>
  </si>
  <si>
    <t>鉄道車両, 4桁</t>
  </si>
  <si>
    <t>{5B8F09A4-7C2D-4A56-AE2F-2B9B4D731014}</t>
  </si>
  <si>
    <t>{BC1FD115-732E-4A15-A2F2-38A5F3E6AB4D}</t>
  </si>
  <si>
    <t>鉄道用電車(動力付)</t>
  </si>
  <si>
    <t>{432984EF-22E4-4174-B43C-AAB9B6403694}</t>
  </si>
  <si>
    <t>{11895D7D-CC55-4126-A0C2-84E1F3C8DB72}</t>
  </si>
  <si>
    <t>鉄道用被けん引客車・電車</t>
  </si>
  <si>
    <t>{977DC16C-A154-4A9A-9128-085897EA78E9}</t>
  </si>
  <si>
    <t>{EA6FD934-28D3-4D71-9CCB-217DCF8A52F1}</t>
  </si>
  <si>
    <t>総ｔ</t>
  </si>
  <si>
    <t>{DEF33B1C-9DE6-4844-8B3F-508D47F238E0}</t>
  </si>
  <si>
    <t>鋼製貨客船, 新造, 20総ｔ以上の動力船</t>
  </si>
  <si>
    <t>{351EFA10-A0A4-44E2-B812-1935A9B5431D}</t>
  </si>
  <si>
    <t>鋼製貨物船, 新造, 20総ｔ以上の動力船</t>
  </si>
  <si>
    <t>{C0D23DD8-E3C6-419D-9613-EF4AC5F0CA28}</t>
  </si>
  <si>
    <t>鋼製油そう船, 新造, 20総ｔ以上の動力船</t>
  </si>
  <si>
    <t>{F7734453-1BF0-403B-B2AB-51AF78CC06C4}</t>
  </si>
  <si>
    <t>鋼製漁船, 新造, 20総ｔ以上の動力船</t>
  </si>
  <si>
    <t>{DE6D42E6-D241-4C5F-86A8-68EB4099DA6B}</t>
  </si>
  <si>
    <t>特殊用途鋼製船舶, 新造, 20総ｔ以上の動力船</t>
  </si>
  <si>
    <t>{3501252C-E0CE-45F1-A7F4-77A3ED92B8EF}</t>
  </si>
  <si>
    <t>軍艦, 新造</t>
  </si>
  <si>
    <t>{0789C745-940B-4CC1-8320-CFCDDC8D10DD}</t>
  </si>
  <si>
    <t>鋼製無動力船, 新造</t>
  </si>
  <si>
    <t>{90FFF729-AD46-4EA5-8655-72F319D11E3F}</t>
  </si>
  <si>
    <t>鋼製動力船, 新造, 20総ｔ未満</t>
  </si>
  <si>
    <t>{937AC882-6228-4954-88C2-F7B47F874538}</t>
  </si>
  <si>
    <t>舟艇,新造・改造・修理, 4桁</t>
  </si>
  <si>
    <t>{C9566237-5047-4DB2-A839-87F5BC4952D4}</t>
  </si>
  <si>
    <t>木製・金属製舟艇(鋼船を除く), 新造</t>
  </si>
  <si>
    <t>{2529FAA4-4218-44A3-95E4-2599D6F6C35B}</t>
  </si>
  <si>
    <t>プラスチック製舟艇, 新造</t>
  </si>
  <si>
    <t>{FC9C7102-2A17-41F5-AF2B-63907C64529D}</t>
  </si>
  <si>
    <t>{9D5FB6A8-76BE-4DDC-9C12-24CBB1A42947}</t>
  </si>
  <si>
    <t>航空機, 4桁</t>
  </si>
  <si>
    <t>{3C5D4360-8633-4F54-A8DE-72FDB12F36EC}</t>
  </si>
  <si>
    <t>{3F20BA2E-6B7E-4E02-A3C0-FD3D60A954AA}</t>
  </si>
  <si>
    <t>{6AFC68A1-55DB-4A91-9B9F-747C4FA177FC}</t>
  </si>
  <si>
    <t>航空機用エンジン, 4桁</t>
  </si>
  <si>
    <t>{5DB5B79C-B655-42B7-AF24-4FDA4A5FA4D2}</t>
  </si>
  <si>
    <t>{7B1223D5-3380-4AA2-B740-F9A48CA57901}</t>
  </si>
  <si>
    <t>フォークリフトトラック（部分品・取付具・附属品を含む）, 4桁</t>
  </si>
  <si>
    <t>{33EBA6AD-03CA-44AD-A73D-91428ADB3C0F}</t>
  </si>
  <si>
    <t>{5761207E-215D-4BD0-A96C-F1C30E51C0EE}</t>
  </si>
  <si>
    <t>構内運搬車(けん引車を含む)</t>
  </si>
  <si>
    <t>{F3B34E53-22BB-42CB-8C19-CB943DA89042}</t>
  </si>
  <si>
    <t>軽快車・ミニサイクル・マウンテンバイク</t>
  </si>
  <si>
    <t>{FB4A2886-0DCA-4135-BEB8-02B506BB23B7}</t>
  </si>
  <si>
    <t>{9B5C1C88-A2D6-4157-9C31-FE0C2A55DC7D}</t>
  </si>
  <si>
    <t>特殊車(スポーツ・実用車を含む)</t>
  </si>
  <si>
    <t>{A022D163-D3F1-4BB9-9414-B418D3C4BFEE}</t>
  </si>
  <si>
    <t>車いす, 手動式</t>
  </si>
  <si>
    <t>{8E28ADF5-7FA7-4EE1-87EB-DD2282DA508F}</t>
  </si>
  <si>
    <t>自転車用フレーム(完成品に限る)</t>
  </si>
  <si>
    <t>{ED1E0664-566C-4070-9F57-3C11AE4931A9}</t>
  </si>
  <si>
    <t>体積計, 4桁</t>
  </si>
  <si>
    <t>{B07D3096-DE24-427B-B59D-347489E9838A}</t>
  </si>
  <si>
    <t>{BB95ACBD-F48B-4F40-8633-32F7434FCA58}</t>
  </si>
  <si>
    <t>{345075DA-CD0E-4E69-B85F-F947FAE0B7C6}</t>
  </si>
  <si>
    <t>精密測定器, 4桁</t>
  </si>
  <si>
    <t>{950BA033-83AD-4D44-A677-A79A154EB384}</t>
  </si>
  <si>
    <t>{0366CFF4-5B05-4219-9AC8-8151EB3ACE8F}</t>
  </si>
  <si>
    <t>{3F67FA87-62BA-413F-B12D-9F59649B379B}</t>
  </si>
  <si>
    <t>分析機器, 4桁</t>
  </si>
  <si>
    <t>{42A02E9A-A0F4-49B3-85E3-5ADDC354B2B8}</t>
  </si>
  <si>
    <t>{C0C2AE4C-8520-4E99-BEF2-F37CB2DD54E8}</t>
  </si>
  <si>
    <t>{96584972-B8FD-4827-99D2-A41FEC809F1A}</t>
  </si>
  <si>
    <t>試験機, 4桁</t>
  </si>
  <si>
    <t>{5AEA4008-EFBB-4057-9DBE-706A9ADA3F6F}</t>
  </si>
  <si>
    <t>{41D78F68-82E9-4C98-9876-6C1EF8DC5A9A}</t>
  </si>
  <si>
    <t>{8B694D79-C59D-4BEB-9F65-C9E208FACF5E}</t>
  </si>
  <si>
    <t>顕微鏡・拡大鏡</t>
  </si>
  <si>
    <t>{7BB66957-1361-4CA9-80FE-40A0E1E8AD76}</t>
  </si>
  <si>
    <t>写真機・同附属品, 4桁</t>
  </si>
  <si>
    <t>{2C97AB34-FD5F-47BD-8092-4A18AAFBE932}</t>
  </si>
  <si>
    <t>{8FFEB4BC-497B-4605-ADEE-BAE988353353}</t>
  </si>
  <si>
    <t>{BB4D671E-1B7E-4D85-89C9-EC527082FF7E}</t>
  </si>
  <si>
    <t>写真装置・同関連器具</t>
  </si>
  <si>
    <t>{3BC1EA8A-7018-4C42-B36C-E52BA782682F}</t>
  </si>
  <si>
    <t>{9E25DD26-0AF5-488E-8E2A-B008AB3643D3}</t>
  </si>
  <si>
    <t>{D88EC4B8-5494-4A23-8268-3188CE80DB18}</t>
  </si>
  <si>
    <t>時計・同部分品(時計側を除く), 4桁</t>
  </si>
  <si>
    <t>{B223CBB4-9089-470E-B91A-EDB656810E18}</t>
  </si>
  <si>
    <t>ウォッチ(ムーブメントを含む)</t>
  </si>
  <si>
    <t>{BE81CCC8-39CE-4451-BA78-1D4EF9E49A82}</t>
  </si>
  <si>
    <t>クロック(ムーブメントを含む)</t>
  </si>
  <si>
    <t>{9B4DB2BC-7C46-44BA-9A16-F8B77DDA06F0}</t>
  </si>
  <si>
    <t>ピアノ, 4桁</t>
  </si>
  <si>
    <t>{2E998F61-CCA0-43A9-BE39-72848A2273FC}</t>
  </si>
  <si>
    <t>{75F05F3F-9290-4238-A916-3E02B7B80C5A}</t>
  </si>
  <si>
    <t>ギター(電気ギターを含む), 4桁</t>
  </si>
  <si>
    <t>{E5BDA530-B498-4880-B18D-62BDB35902C5}</t>
  </si>
  <si>
    <t>ギター(電気ギターを含む)</t>
  </si>
  <si>
    <t>{ABE39EA3-518D-42D4-A122-8CC7783B1FC6}</t>
  </si>
  <si>
    <t>その他の楽器・楽器部品・同材料, 4桁</t>
  </si>
  <si>
    <t>{B4F07496-7D09-4033-9006-DA1DF3E0043A}</t>
  </si>
  <si>
    <t>{A6A4BB9B-A95F-4BB7-B4CB-CCD66281A113}</t>
  </si>
  <si>
    <t>{31DB026C-9396-4769-BC54-6DAFD867A1BE}</t>
  </si>
  <si>
    <t>娯楽用具・がん具(人形・児童乗物を除く), 4桁</t>
  </si>
  <si>
    <t>{167393F7-DD84-464A-B265-23524F43BBD2}</t>
  </si>
  <si>
    <t>{34E0831C-B9BC-435F-A429-21F54C3D23F4}</t>
  </si>
  <si>
    <t>{36E932DD-F885-4560-9255-A5E502DCFBE1}</t>
  </si>
  <si>
    <t>{6054F43C-715B-47E7-A27D-725483095083}</t>
  </si>
  <si>
    <t>{A20A58EC-49D3-4ABE-9989-825768D7542B}</t>
  </si>
  <si>
    <t>万年筆・シャープペンシル・ペン先, 4桁</t>
  </si>
  <si>
    <t>{3DE57036-57A7-47BD-A61C-3F2A41F3EF5F}</t>
  </si>
  <si>
    <t>{FCF2EDBA-784A-49BF-AACB-0B6320068120}</t>
  </si>
  <si>
    <t>ボールペン・マーキングペン, 4桁</t>
  </si>
  <si>
    <t>{22B5A538-0325-4FF2-8304-B1B72A77C4F7}</t>
  </si>
  <si>
    <t>{B55A423B-7290-41D2-ACBD-B35499DCD54A}</t>
  </si>
  <si>
    <t>鉛筆, 4桁</t>
  </si>
  <si>
    <t>{F5E6E1E3-8DD3-424E-B80B-BBE35D18502F}</t>
  </si>
  <si>
    <t>{22027164-273E-4349-9367-088A0C097F15}</t>
  </si>
  <si>
    <t>畳, 4桁</t>
  </si>
  <si>
    <t>{AF02A704-228E-4949-A39A-ACC2102042C7}</t>
  </si>
  <si>
    <t>{FE5E6373-1617-4B37-9D34-204E7139A77D}</t>
  </si>
  <si>
    <t>傘・同部分品, 4桁</t>
  </si>
  <si>
    <t>{A72BF2E2-F8AE-4166-901F-AAE2FE2565F2}</t>
  </si>
  <si>
    <t>{697907C6-647C-4491-8725-AFF6303DBC59}</t>
  </si>
  <si>
    <t>電力, 一般電気事業者10社平均, 2011年度</t>
  </si>
  <si>
    <t>{411E30C6-907B-4465-8F9A-4C81D6F6EE47}</t>
  </si>
  <si>
    <t>電力, 一般電気事業者10社平均, 2012年度</t>
  </si>
  <si>
    <t>{E265C41D-F1DF-47F3-9830-512FA0A0677B}</t>
  </si>
  <si>
    <t>発電, 一般電気事業者10社平均, 2014年度</t>
  </si>
  <si>
    <t>{5A757A60-D2ED-41B2-B17C-3A5EA6936C01}</t>
  </si>
  <si>
    <t>公共電力, 台湾, IEA, 2011</t>
  </si>
  <si>
    <t>{1851378E-EE84-4E1F-84AA-365DE05E67DB}</t>
  </si>
  <si>
    <t>公共電力, インドネシア, IEA, 2011</t>
  </si>
  <si>
    <t>{A7FD448E-AA3C-4C06-B087-350637ECF805}</t>
  </si>
  <si>
    <t>公共電力, 韓国, IEA, 2011</t>
  </si>
  <si>
    <t>{24815928-88D7-4437-A7B5-9986B7E3D5C0}</t>
  </si>
  <si>
    <t>公共電力, マレーシア, IEA, 2011</t>
  </si>
  <si>
    <t>{C1161B84-F18F-4CBE-B97C-9C13667B81D9}</t>
  </si>
  <si>
    <t>公共電力, フィリピン, IEA, 2011</t>
  </si>
  <si>
    <t>{180CA3B1-F176-447B-95D8-633031BCAAEB}</t>
  </si>
  <si>
    <t>公共電力, 中国, IEA, 2011</t>
  </si>
  <si>
    <t>{47103757-CBFB-470C-961C-379DF17A6F21}</t>
  </si>
  <si>
    <t>公共電力, タイ, IEA, 2011</t>
  </si>
  <si>
    <t>{9A0D6C71-6BB0-4C69-B9DB-46EA8EDC1052}</t>
  </si>
  <si>
    <t>公共電力, ベトナム, IEA, 2011</t>
  </si>
  <si>
    <t>{F69535F0-1C33-4AB1-9042-573A833F27FF}</t>
  </si>
  <si>
    <t>自家発電力, 化学工業用水力</t>
  </si>
  <si>
    <t>{B72A3D5A-4480-47D9-A192-32E7B3E93B64}</t>
  </si>
  <si>
    <t>発電用エネルギー, LNG火力, 日本</t>
  </si>
  <si>
    <t>{59B0A782-44DD-49B0-BA22-F503D5A0C1E9}</t>
  </si>
  <si>
    <t>発電用エネルギー, 重油火力, 日本</t>
  </si>
  <si>
    <t>{33E4E812-190D-4042-96BF-2CF49AF6C403}</t>
  </si>
  <si>
    <t>発電用エネルギー, 石炭火力, 日本</t>
  </si>
  <si>
    <t>{FF38FD6C-479F-4E79-86C8-ACFADE97C8E6}</t>
  </si>
  <si>
    <t>発電用エネルギー, 水力, 日本平均</t>
  </si>
  <si>
    <t>{06B3887A-A4B7-46BF-8C7F-247FF9D460BA}</t>
  </si>
  <si>
    <t>{2B94D26E-ED7F-43B1-8FA7-5AF28019BFC2}</t>
  </si>
  <si>
    <t>都市ガス13Aの燃焼エネルギー</t>
  </si>
  <si>
    <t>{5E8B4B5E-B6F7-400F-B0EC-ED2C847484D3}</t>
  </si>
  <si>
    <t>{8B145FA1-6305-451B-B8F0-E3983B84A62A}</t>
  </si>
  <si>
    <t>自家用蒸気, 4桁</t>
  </si>
  <si>
    <t>{85893CF8-9E31-4D8D-827C-A057B331D436}</t>
  </si>
  <si>
    <t>自家用蒸気</t>
  </si>
  <si>
    <t>{1063ABB3-C5C6-4C90-96EF-F4900B79CF6D}</t>
  </si>
  <si>
    <t>{34A67112-AFC2-4A2E-B458-DB04E6F0E48C}</t>
  </si>
  <si>
    <t>蒸気, 鉄鋼用</t>
  </si>
  <si>
    <t>{711CFF91-4541-4ADE-98B1-BA23C921A795}</t>
  </si>
  <si>
    <t>上水道, 4桁</t>
  </si>
  <si>
    <t>{EA7C1678-51F5-42DC-8CF0-AE18AC99919A}</t>
  </si>
  <si>
    <t>{530A7405-DF67-4CCF-AE91-55671E6BC629}</t>
  </si>
  <si>
    <t>上水道利用</t>
  </si>
  <si>
    <t>{C7FB880B-3916-49C6-8BC1-F866FC7EAFF5}</t>
  </si>
  <si>
    <t>上水道消費</t>
  </si>
  <si>
    <t>{98F2B64B-07B6-4AF1-AA80-B5BBF04DEC35}</t>
  </si>
  <si>
    <t>工業用水道, 4桁</t>
  </si>
  <si>
    <t>{8CB33D9F-4B2F-4DE4-A0D0-77802AA65627}</t>
  </si>
  <si>
    <t>{0FCAFB1F-584D-423B-99E9-4201039C19E5}</t>
  </si>
  <si>
    <t>工業用水道利用</t>
  </si>
  <si>
    <t>{9600161E-4A2F-4AD4-B788-280A711ED3C1}</t>
  </si>
  <si>
    <t>工業用水道消費</t>
  </si>
  <si>
    <t>{C463351B-4E1F-4E00-9CB9-496E4C928AE2}</t>
  </si>
  <si>
    <t>農業用水</t>
  </si>
  <si>
    <t>{F37504A0-CA79-4997-AE2C-83A316B665E8}</t>
  </si>
  <si>
    <t>農業用水利用</t>
  </si>
  <si>
    <t>{3117C92F-DC78-4068-9796-C87BFAE27CE0}</t>
  </si>
  <si>
    <t>農業用水消費</t>
  </si>
  <si>
    <t>{240DB3CE-1A6B-46C2-A657-84DDD709A2AC}</t>
  </si>
  <si>
    <t>養殖用水</t>
  </si>
  <si>
    <t>{A2C48435-3851-4BE1-8901-4B41E390A2E4}</t>
  </si>
  <si>
    <t>養殖用水利用</t>
  </si>
  <si>
    <t>{B73C166E-2084-463E-917D-C86FC28517B2}</t>
  </si>
  <si>
    <t>養殖用水消費</t>
  </si>
  <si>
    <t>{C4738F21-C997-40E1-9273-CC16509E9A32}</t>
  </si>
  <si>
    <t>鉄道輸送, 旅客</t>
  </si>
  <si>
    <t>{CA275921-0A6B-4B57-9235-5EA83161B037}</t>
  </si>
  <si>
    <t>鉄道輸送, 貨物</t>
  </si>
  <si>
    <t>{C00E3563-FFB0-4B5D-91FB-BC5EE18317E9}</t>
  </si>
  <si>
    <t>乗合バス輸送</t>
  </si>
  <si>
    <t>{7694CD48-C518-4EFC-9A0E-6A415D5916C4}</t>
  </si>
  <si>
    <t>貸切バス輸送</t>
  </si>
  <si>
    <t>{F0547C76-5C77-4AA7-B9AA-9EFBF611D56F}</t>
  </si>
  <si>
    <t>バス輸送, 自家用バス</t>
  </si>
  <si>
    <t>{E09C255C-0F0B-43B6-8B77-D2E6C3A3A5F7}</t>
  </si>
  <si>
    <t>営業用乗用車輸送</t>
  </si>
  <si>
    <t>{50FDE699-6005-44B9-A7B6-6C5575520378}</t>
  </si>
  <si>
    <t>乗用車輸送(自家用乗用車, 軽自動車を除く)</t>
  </si>
  <si>
    <t>{847626C8-F27E-4852-8E58-B6BD2776815B}</t>
  </si>
  <si>
    <t>乗用車輸送, 自家用軽自動車</t>
  </si>
  <si>
    <t>{2DC82452-69A4-4724-9854-6E77C4F84748}</t>
  </si>
  <si>
    <t>普通車輸送, 営業用</t>
  </si>
  <si>
    <t>{8E471E0D-C17B-4AEE-9A53-7C2DDEBDB122}</t>
  </si>
  <si>
    <t>小型車輸送, 営業用</t>
  </si>
  <si>
    <t>{D9FACFC5-B818-4412-B2FB-C942EDC83758}</t>
  </si>
  <si>
    <t>特種用途車輸送, 営業用</t>
  </si>
  <si>
    <t>{A1C188F4-9CE0-43E1-A2E4-7FE2AA6086BD}</t>
  </si>
  <si>
    <t>軽自動車輸送, 営業用</t>
  </si>
  <si>
    <t>{CB89C0AB-BF81-4301-AC0E-159F19BE41A3}</t>
  </si>
  <si>
    <t>普通車輸送, 自家用</t>
  </si>
  <si>
    <t>{3D15A287-205E-40A5-91BE-88E8D33B05B1}</t>
  </si>
  <si>
    <t>小型車輸送, 自家用</t>
  </si>
  <si>
    <t>{55363744-9BE2-4BDA-9E00-2AE41222005D}</t>
  </si>
  <si>
    <t>特種用途車輸送, 自家用</t>
  </si>
  <si>
    <t>{35AC5C50-EDEB-4A77-BE52-30BD159CA4BF}</t>
  </si>
  <si>
    <t>軽自動車輸送, 自家用</t>
  </si>
  <si>
    <t>{575A6388-D4B6-47CB-8F6F-922B60EC5665}</t>
  </si>
  <si>
    <t>{691EB358-D194-4DB7-8278-0B82B934CBDE}</t>
  </si>
  <si>
    <t>{5825B149-A4FD-49BB-A599-892B938BD03C}</t>
  </si>
  <si>
    <t>{3A8AB426-ACE1-42AB-9AA6-AA0C5365C7A8}</t>
  </si>
  <si>
    <t>航空輸送, 国内旅客</t>
  </si>
  <si>
    <t>{5088C8D5-F40E-4A47-B2E3-A688603BB0DD}</t>
  </si>
  <si>
    <t>航空輸送, 国際旅客</t>
  </si>
  <si>
    <t>{E258ABA7-7F76-464F-847B-19735C9FB1A2}</t>
  </si>
  <si>
    <t>航空輸送, 国内貨物</t>
  </si>
  <si>
    <t>{E3401412-F60A-4116-BAFE-728DF2C9BAD7}</t>
  </si>
  <si>
    <t>航空輸送, 国際貨物</t>
  </si>
  <si>
    <t>{A0D74B60-0197-4520-B993-C307C293BD2D}</t>
  </si>
  <si>
    <t>使用済みスチール缶の減容化品, 産業環境管理協会</t>
  </si>
  <si>
    <t>{C836B017-4E31-406C-9922-903B26D09AB2}</t>
  </si>
  <si>
    <t>使用済みアルミ缶の減容化品, 産業環境管理協会</t>
  </si>
  <si>
    <t>{1DEF371B-8018-4206-A339-5393CA9841C8}</t>
  </si>
  <si>
    <t>再生ガラスカレット, NEDO</t>
  </si>
  <si>
    <t>{529016A2-AE6F-4208-840C-9D6861F44EBD}</t>
  </si>
  <si>
    <t>使用済みアルミ缶・スチール缶、ガラスびんの中間処理品（手選別～磁力選別機～渦電流選別機)</t>
  </si>
  <si>
    <t>{16FFF4E7-B8B1-4BD0-A098-8C38004BAFB3}</t>
  </si>
  <si>
    <t>ベール状の使用済みPETボトル</t>
  </si>
  <si>
    <t>{7F21D87C-9BAF-42A2-BCC8-941E84E278B9}</t>
  </si>
  <si>
    <t>ベール状の使用済みPSP食品トレー</t>
  </si>
  <si>
    <t>{DA337531-1314-4BAE-BE34-94FEAC015CAD}</t>
  </si>
  <si>
    <t>フラフ・ベール状の使用済みその他プラスチック製品</t>
  </si>
  <si>
    <t>{C5B9CC52-D0CA-428E-8DC6-D000AF84456F}</t>
  </si>
  <si>
    <t>使用済みOA機器の高度中間処理品（分解･解体～破砕･選別）</t>
  </si>
  <si>
    <t>{9F0D85ED-775B-4E0D-A040-A1CF9F14262D}</t>
  </si>
  <si>
    <t>使用済み家電の高度中間処理品（分解･解体～破砕･選別）</t>
  </si>
  <si>
    <t>{0B5F3220-FE80-4318-936D-3847C792BE16}</t>
  </si>
  <si>
    <t>使用済み家電の高度中間処理品（破砕･選別）</t>
  </si>
  <si>
    <t>{31E3D098-F77E-47B9-8995-CF4F45624AF0}</t>
  </si>
  <si>
    <t>使用済み家電の高度中間処理品（分解･解体）</t>
  </si>
  <si>
    <t>{F16B4DC4-1994-433D-BC96-FA4CDF5874F7}</t>
  </si>
  <si>
    <t>使用済み家電の中間処理品（分解･解体～破砕･選別）</t>
  </si>
  <si>
    <t>{76DB3D15-A9A0-4A79-9D97-13867614BBDE}</t>
  </si>
  <si>
    <t>使用済み冷蔵庫の中間処理品（破砕）</t>
  </si>
  <si>
    <t>{5843D986-18AE-4FA9-8153-6F6BA6991FB4}</t>
  </si>
  <si>
    <t>使用済み自動車の中間処理品（分解･解体～破砕･選別）</t>
  </si>
  <si>
    <t>{0575DE64-7924-41A6-BDDC-65CCF1B269CD}</t>
  </si>
  <si>
    <t>ベール状の使用済み紙容器</t>
  </si>
  <si>
    <t>{F950B5BC-B196-421F-9D57-DA08C2B0EE31}</t>
  </si>
  <si>
    <t>フラフ・ベール状のごみ固形燃料(RDF)</t>
  </si>
  <si>
    <t>{4E154F43-26CF-43BE-892A-5D6F49CE3A35}</t>
  </si>
  <si>
    <t>ペレット状のごみ固形燃料(RDF)</t>
  </si>
  <si>
    <t>{F91B6A25-A5FC-4A6C-A159-867CA4A7E611}</t>
  </si>
  <si>
    <t>塩ビ含有プラスチックごみ由来の固形燃料（RPF）</t>
  </si>
  <si>
    <t>{80383ADC-4E04-475B-B7C0-A6A67F1C3B34}</t>
  </si>
  <si>
    <t>廃タイヤの燃焼エネルギー</t>
  </si>
  <si>
    <t>{94BDD0EB-6FBF-4E54-9B3D-D203F778E239}</t>
  </si>
  <si>
    <t>廃プラの燃焼エネルギー</t>
  </si>
  <si>
    <t>{6D8CC3D1-CAE8-4586-9482-712495B2079E}</t>
  </si>
  <si>
    <t>ごみ固形燃料(RDF)の燃焼エネルギー</t>
  </si>
  <si>
    <t>{1BC090D2-1BDD-4789-A75E-E9BC7FE01882}</t>
  </si>
  <si>
    <t>焼却処理, 一般廃棄物</t>
  </si>
  <si>
    <t>{8B9BD053-AE71-42DF-A3D3-63B3EFD0C29D}</t>
  </si>
  <si>
    <t>下水道処理サービス, 4桁</t>
  </si>
  <si>
    <t>{DF0B24BF-55EB-4BBB-884E-985C26A37687}</t>
  </si>
  <si>
    <t>{3E36C354-7A6F-4706-88F6-725C014760B8}</t>
  </si>
  <si>
    <t>産業廃棄物処分サービス, 4桁</t>
  </si>
  <si>
    <t>{98EE8F17-A2B0-4147-8AAB-AAAE3A819F48}</t>
  </si>
  <si>
    <t>埋立処理, 産業廃棄物</t>
  </si>
  <si>
    <t>{C46ECAD7-C8C3-414B-B407-EBC9A727AFBD}</t>
  </si>
  <si>
    <t>焼却処理, 産業廃棄物</t>
  </si>
  <si>
    <t>{557020FB-38F7-4F94-A4FD-1058714B1766}</t>
  </si>
  <si>
    <t>{C6B5FE1B-F688-4CE9-B125-25493374C8E3}</t>
  </si>
  <si>
    <t>沈殿処理, 上水道</t>
  </si>
  <si>
    <t>{3676007E-6BFA-42C9-962E-89F7B7BB6D29}</t>
  </si>
  <si>
    <t>沈殿処理, 工業用水</t>
  </si>
  <si>
    <t>{89B838A2-DAE0-4045-9B14-CC9B9C80DDF5}</t>
  </si>
  <si>
    <t>沈殿処理, 地下水</t>
  </si>
  <si>
    <t>{1E0DA957-9160-4EF9-BF37-C5019D294003}</t>
  </si>
  <si>
    <t>沈殿処理, 表層水</t>
  </si>
  <si>
    <t>直接排出する温室効果ガス種別[単位]</t>
    <rPh sb="0" eb="2">
      <t>チョクセツ</t>
    </rPh>
    <rPh sb="2" eb="4">
      <t>ハイシュツ</t>
    </rPh>
    <rPh sb="6" eb="8">
      <t>オンシツ</t>
    </rPh>
    <rPh sb="8" eb="10">
      <t>コウカ</t>
    </rPh>
    <rPh sb="12" eb="14">
      <t>シュベツ</t>
    </rPh>
    <rPh sb="15" eb="17">
      <t>タンイ</t>
    </rPh>
    <phoneticPr fontId="34"/>
  </si>
  <si>
    <t>物質名称</t>
  </si>
  <si>
    <t>化学式</t>
  </si>
  <si>
    <t>Carbon dioxide</t>
  </si>
  <si>
    <t>CO2</t>
  </si>
  <si>
    <t>Methane</t>
  </si>
  <si>
    <t>CH4</t>
  </si>
  <si>
    <t>Nitrous oxide</t>
  </si>
  <si>
    <t>N2O</t>
  </si>
  <si>
    <t>HFC-23</t>
  </si>
  <si>
    <t>CHF3</t>
  </si>
  <si>
    <t>HFC-32</t>
  </si>
  <si>
    <t>CH2F2</t>
  </si>
  <si>
    <t>HFC-41</t>
  </si>
  <si>
    <t>CH3F</t>
  </si>
  <si>
    <t>HFC-125</t>
  </si>
  <si>
    <t>CHF2CF3</t>
  </si>
  <si>
    <t>HFC-134</t>
  </si>
  <si>
    <t>CHF2CHF2</t>
  </si>
  <si>
    <t>HFC-134a</t>
  </si>
  <si>
    <t>CH2FCF3</t>
  </si>
  <si>
    <t>HFC-143</t>
  </si>
  <si>
    <t>CH2FCHF2</t>
  </si>
  <si>
    <t>HFC-143a</t>
  </si>
  <si>
    <t>CH3CF3</t>
  </si>
  <si>
    <t>HFC-152</t>
  </si>
  <si>
    <t>CH2FCH2F</t>
  </si>
  <si>
    <t>HFC-152a</t>
  </si>
  <si>
    <t>CH3CHF2</t>
  </si>
  <si>
    <t>HFC-161</t>
  </si>
  <si>
    <t>CH3CH2F</t>
  </si>
  <si>
    <t>HFC-227ea</t>
  </si>
  <si>
    <t>CF3CHFCF3</t>
  </si>
  <si>
    <t>HFC-236cb</t>
  </si>
  <si>
    <t>CH2FCF2CF3</t>
  </si>
  <si>
    <t>HFC-236ea</t>
  </si>
  <si>
    <t>CHF2CHFCF3</t>
  </si>
  <si>
    <t>HFC-236fa</t>
  </si>
  <si>
    <t>CF3CH2CF3</t>
  </si>
  <si>
    <t>HFC-245ca</t>
  </si>
  <si>
    <t>CH2FCF2CHF2</t>
  </si>
  <si>
    <t>HFC-245fa</t>
  </si>
  <si>
    <t>CHF2CH2CF3</t>
  </si>
  <si>
    <t>HFC-365mfc</t>
  </si>
  <si>
    <t>CH3CF2CH2CF3</t>
  </si>
  <si>
    <t>HFC-43-10mee</t>
  </si>
  <si>
    <t>CF3CHFCHFCF2CF3</t>
  </si>
  <si>
    <t>Nitrogen trifluoride</t>
  </si>
  <si>
    <t>NF3</t>
  </si>
  <si>
    <t>Sulphur hexafluoride</t>
  </si>
  <si>
    <t>SF6</t>
  </si>
  <si>
    <t>PFC-14</t>
  </si>
  <si>
    <t>CF4</t>
  </si>
  <si>
    <t>PFC-116</t>
  </si>
  <si>
    <t>C2F6</t>
  </si>
  <si>
    <t>PFC-c216</t>
  </si>
  <si>
    <t>c-C3F6</t>
  </si>
  <si>
    <t>PFC-218</t>
  </si>
  <si>
    <t>C3F8</t>
  </si>
  <si>
    <t>PFC-318</t>
  </si>
  <si>
    <t>c-C4F8</t>
  </si>
  <si>
    <t>PFC-31-10</t>
  </si>
  <si>
    <t>C4F10</t>
  </si>
  <si>
    <t>PFC-41-12</t>
  </si>
  <si>
    <t>n-C5F12</t>
  </si>
  <si>
    <t>PFC-51-14</t>
  </si>
  <si>
    <t>n-C6F14</t>
  </si>
  <si>
    <t>PFC-91-18</t>
  </si>
  <si>
    <t>C10F18</t>
  </si>
  <si>
    <r>
      <t>GWP (AR5[100</t>
    </r>
    <r>
      <rPr>
        <sz val="11"/>
        <color theme="1"/>
        <rFont val="ＭＳ Ｐゴシック"/>
        <family val="3"/>
        <charset val="128"/>
      </rPr>
      <t>年値</t>
    </r>
    <r>
      <rPr>
        <sz val="11"/>
        <color theme="1"/>
        <rFont val="Arial"/>
        <family val="2"/>
        <charset val="128"/>
      </rPr>
      <t>])</t>
    </r>
    <rPh sb="12" eb="13">
      <t>ネン</t>
    </rPh>
    <rPh sb="13" eb="14">
      <t>チ</t>
    </rPh>
    <phoneticPr fontId="33"/>
  </si>
  <si>
    <t>ツール引用名</t>
    <rPh sb="3" eb="5">
      <t>インヨウ</t>
    </rPh>
    <rPh sb="5" eb="6">
      <t>メイ</t>
    </rPh>
    <phoneticPr fontId="33"/>
  </si>
  <si>
    <r>
      <t xml:space="preserve">IPCC </t>
    </r>
    <r>
      <rPr>
        <sz val="11"/>
        <color theme="1"/>
        <rFont val="ＭＳ Ｐゴシック"/>
        <family val="3"/>
        <charset val="128"/>
      </rPr>
      <t>第</t>
    </r>
    <r>
      <rPr>
        <sz val="11"/>
        <color theme="1"/>
        <rFont val="Arial"/>
        <family val="2"/>
        <charset val="128"/>
      </rPr>
      <t>5</t>
    </r>
    <r>
      <rPr>
        <sz val="11"/>
        <color theme="1"/>
        <rFont val="ＭＳ Ｐゴシック"/>
        <family val="3"/>
        <charset val="128"/>
      </rPr>
      <t>次報告書　GWP　100年値</t>
    </r>
    <rPh sb="5" eb="6">
      <t>ダイ</t>
    </rPh>
    <rPh sb="7" eb="8">
      <t>ジ</t>
    </rPh>
    <rPh sb="8" eb="11">
      <t>ホウコクショ</t>
    </rPh>
    <rPh sb="19" eb="20">
      <t>ネン</t>
    </rPh>
    <rPh sb="20" eb="21">
      <t>チ</t>
    </rPh>
    <phoneticPr fontId="33"/>
  </si>
  <si>
    <t>二酸化炭素 (CO2)</t>
    <phoneticPr fontId="33"/>
  </si>
  <si>
    <t>メタン (CH4)</t>
    <phoneticPr fontId="33"/>
  </si>
  <si>
    <t>一酸化二窒素 (N2O)</t>
    <phoneticPr fontId="33"/>
  </si>
  <si>
    <t>三フッ化窒素 (NF3)</t>
    <phoneticPr fontId="33"/>
  </si>
  <si>
    <t>六フッ化硫黄 (SF6)</t>
    <phoneticPr fontId="33"/>
  </si>
  <si>
    <t>2005IOT（購入者価格基準）</t>
  </si>
  <si>
    <t>部門別寄与</t>
    <rPh sb="0" eb="2">
      <t>ブモン</t>
    </rPh>
    <rPh sb="2" eb="3">
      <t>ベツ</t>
    </rPh>
    <rPh sb="3" eb="5">
      <t>キヨ</t>
    </rPh>
    <phoneticPr fontId="34"/>
  </si>
  <si>
    <t>グローバルGHG排出原単位</t>
  </si>
  <si>
    <t>列コード</t>
    <rPh sb="0" eb="1">
      <t>レツ</t>
    </rPh>
    <phoneticPr fontId="34"/>
  </si>
  <si>
    <t>行ID</t>
  </si>
  <si>
    <t>行コード</t>
    <rPh sb="0" eb="1">
      <t>ギョウ</t>
    </rPh>
    <phoneticPr fontId="34"/>
  </si>
  <si>
    <t>部門名</t>
    <rPh sb="0" eb="2">
      <t>ブモン</t>
    </rPh>
    <rPh sb="2" eb="3">
      <t>メイ</t>
    </rPh>
    <phoneticPr fontId="34"/>
  </si>
  <si>
    <t>購入者部門</t>
    <rPh sb="0" eb="3">
      <t>コウニュウシャ</t>
    </rPh>
    <rPh sb="3" eb="5">
      <t>ブモン</t>
    </rPh>
    <phoneticPr fontId="34"/>
  </si>
  <si>
    <t>単位</t>
    <rPh sb="0" eb="2">
      <t>タンイ</t>
    </rPh>
    <phoneticPr fontId="34"/>
  </si>
  <si>
    <t>購入者</t>
    <rPh sb="0" eb="3">
      <t>コウニュウシャ</t>
    </rPh>
    <phoneticPr fontId="34"/>
  </si>
  <si>
    <r>
      <t>t-CO</t>
    </r>
    <r>
      <rPr>
        <vertAlign val="subscript"/>
        <sz val="11"/>
        <rFont val="ＭＳ Ｐゴシック"/>
        <family val="2"/>
        <scheme val="minor"/>
      </rPr>
      <t>2</t>
    </r>
    <r>
      <rPr>
        <sz val="11"/>
        <rFont val="ＭＳ Ｐゴシック"/>
        <family val="2"/>
        <scheme val="minor"/>
      </rPr>
      <t>eq/百万円</t>
    </r>
  </si>
  <si>
    <t>学校給食（国公立）★★</t>
  </si>
  <si>
    <t>学校給食（私立）★</t>
  </si>
  <si>
    <t>-</t>
  </si>
  <si>
    <t>下水道★★</t>
  </si>
  <si>
    <t>廃棄物処理（公営）★★</t>
  </si>
  <si>
    <t>水運施設管理★★</t>
  </si>
  <si>
    <t>航空施設管理（国公営）★★</t>
  </si>
  <si>
    <t>公務（中央）★★</t>
  </si>
  <si>
    <t>公務（地方）★★</t>
  </si>
  <si>
    <t>学校教育（国公立）★★</t>
  </si>
  <si>
    <t>学校教育（私立）★</t>
  </si>
  <si>
    <t>社会教育（国公立）★★</t>
  </si>
  <si>
    <t>社会教育（非営利）★</t>
  </si>
  <si>
    <t>その他の教育訓練機関（国公立）★★</t>
  </si>
  <si>
    <t>自然科学研究機関（国公立）★★</t>
  </si>
  <si>
    <t>人文科学研究機関（国公立）★★</t>
  </si>
  <si>
    <t>自然科学研究機関（非営利）★</t>
  </si>
  <si>
    <t>人文科学研究機関（非営利）★</t>
  </si>
  <si>
    <t>保健衛生（国公立）★★</t>
  </si>
  <si>
    <t>社会保険事業（国公立）★★</t>
  </si>
  <si>
    <t>社会保険事業（非営利）★</t>
  </si>
  <si>
    <t>社会福祉（国公立）★★</t>
  </si>
  <si>
    <t>社会福祉（非営利）★</t>
  </si>
  <si>
    <t>対家計民間非営利団体（除別掲）★</t>
  </si>
  <si>
    <t>メタンリッチガス, ナフサ分解</t>
  </si>
  <si>
    <t>代替</t>
    <rPh sb="0" eb="2">
      <t>ダイタイ</t>
    </rPh>
    <phoneticPr fontId="33"/>
  </si>
  <si>
    <t>稲わら, 出力, リマインダーフロー</t>
  </si>
  <si>
    <t>(REM)</t>
  </si>
  <si>
    <t>稲わら, 入力, リマインダーフロー</t>
  </si>
  <si>
    <t>麦わら, 入力, リマインダーフロー</t>
  </si>
  <si>
    <t>小麦, 農林61号</t>
  </si>
  <si>
    <t>その他の花き、花木類, 露地栽培と施設栽培の混合, 4桁</t>
  </si>
  <si>
    <t>その他の花き、花木類, 露地栽培と施設栽培の混合</t>
  </si>
  <si>
    <t>さとうきび, (独)農畜産業振興機構</t>
  </si>
  <si>
    <t>油やし果房（Fresh Fruit Bunch・FFB), THA</t>
  </si>
  <si>
    <t>天然ゴム, ラテックス, LA</t>
  </si>
  <si>
    <t>生ゴム, ラテックス</t>
  </si>
  <si>
    <t>生ゴム, カプラム</t>
  </si>
  <si>
    <t>苧麻, 中国</t>
  </si>
  <si>
    <t>種子, 入力, リマインダーフロー</t>
  </si>
  <si>
    <t>生乳, 低投入型酪農, FCM重量換算</t>
  </si>
  <si>
    <t>生乳, 飼育生産協業型酪農, FCM重量換算</t>
  </si>
  <si>
    <t>搾乳用牛の廃牛, 出力, リマインダーフロー, 一頭あたり</t>
  </si>
  <si>
    <t>初生牛, 出力, リマインダーフロー, 一頭あたり</t>
  </si>
  <si>
    <t>肉牛, 出力, リマインダーフロー, 一頭あたり</t>
  </si>
  <si>
    <t>乾草ロール, 出力, リマインダーフロー</t>
  </si>
  <si>
    <t>ロールベール, 出力, リマインダーフロー</t>
  </si>
  <si>
    <t>青草, 出力, リマインダーフロー</t>
  </si>
  <si>
    <t>ha</t>
  </si>
  <si>
    <t>搾乳用牛の廃牛, 入力, リマインダーフロー</t>
  </si>
  <si>
    <t>酪農生産物（その他、不明）, 入力, リマインダーフロー, 一頭あたり</t>
  </si>
  <si>
    <t>採卵用鶏の廃鶏, 出力, リマインダーフロー</t>
  </si>
  <si>
    <t>その他の畜産物, 4桁</t>
  </si>
  <si>
    <t>その他の畜産物, 食用、毛皮用</t>
  </si>
  <si>
    <t>羊毛, スカードウール, 豪州</t>
  </si>
  <si>
    <t>農業サービス, 4桁</t>
  </si>
  <si>
    <t>農業サービス</t>
  </si>
  <si>
    <t>苗木, 入力, リマインダーフロー</t>
  </si>
  <si>
    <t>しいたけ原木, 入力, リマインダーフロー</t>
  </si>
  <si>
    <t>特用林産物(狩猟業を含む), 4桁</t>
  </si>
  <si>
    <t>特用林産物(狩猟業を含む)</t>
  </si>
  <si>
    <t>粗木酢液, 出力, リマインダーフロー</t>
  </si>
  <si>
    <t>木ガス, 出力, リマインダーフロー</t>
  </si>
  <si>
    <t>海面漁業採補物</t>
  </si>
  <si>
    <t>内水面漁業採補物、養殖業収穫物</t>
  </si>
  <si>
    <t>一般炭, 日本</t>
  </si>
  <si>
    <t>一般炭, 輸入品</t>
  </si>
  <si>
    <t>原油, 日本</t>
  </si>
  <si>
    <t>原油, 輸入品</t>
  </si>
  <si>
    <t>ヘリウム含有天然ガス中のヘリウムガス</t>
  </si>
  <si>
    <t>ヘリウム含有天然ガス中の天然ガス</t>
  </si>
  <si>
    <t>天然ガス液</t>
  </si>
  <si>
    <t>金属鉱物, 4桁</t>
  </si>
  <si>
    <t>鉄鉱石, 日本</t>
  </si>
  <si>
    <t>鉄鉱石, 輸入品</t>
  </si>
  <si>
    <t>銅鉱石, 精鉱, IDEAデータ用、使用不可</t>
  </si>
  <si>
    <t>貴金属鉱石（金銀鉱）, 精鉱, IDEAデータ用、使用不可</t>
  </si>
  <si>
    <t>ニッケル鉱石, 粗鉱, 露天掘</t>
  </si>
  <si>
    <t>ニッケル鉱石, 粗鉱, 坑内掘</t>
  </si>
  <si>
    <t>ニッケル鉱石, 精鉱</t>
  </si>
  <si>
    <t>タンタライト鉱石, 精鉱</t>
  </si>
  <si>
    <t>パイロクロア鉱石, 精鉱</t>
  </si>
  <si>
    <t>コレマナイト鉱石, 精鉱</t>
  </si>
  <si>
    <t>尾鉱, 出力, リマインダーフロー</t>
  </si>
  <si>
    <t>海砂, 骨材用</t>
  </si>
  <si>
    <t>山砂, 骨材用</t>
  </si>
  <si>
    <t>濃縮かん水</t>
  </si>
  <si>
    <t>晶出シルビナイト</t>
  </si>
  <si>
    <t>ほう砂, 精製品</t>
  </si>
  <si>
    <t>りん鉱石, 精鉱</t>
  </si>
  <si>
    <t>一般道路, 4桁</t>
  </si>
  <si>
    <t>有料道路, 4桁</t>
  </si>
  <si>
    <t>治水, 4桁</t>
  </si>
  <si>
    <t>河川改修</t>
  </si>
  <si>
    <t>河川統合</t>
  </si>
  <si>
    <t>海岸</t>
  </si>
  <si>
    <t>砂防</t>
  </si>
  <si>
    <t>下水道, 4桁</t>
  </si>
  <si>
    <t>港湾・漁港, 4桁</t>
  </si>
  <si>
    <t>空港, 4桁</t>
  </si>
  <si>
    <t>廃棄物処理施設, 4桁</t>
  </si>
  <si>
    <t>廃棄物処理施設</t>
  </si>
  <si>
    <t>公園, 4桁</t>
  </si>
  <si>
    <t>災害復旧, 4桁</t>
  </si>
  <si>
    <t>農林関係公共事業, 4桁</t>
  </si>
  <si>
    <t>鉄道軌道建設, 4桁</t>
  </si>
  <si>
    <t>電力施設建設, 4桁</t>
  </si>
  <si>
    <t>電気通信施設建設, 4桁</t>
  </si>
  <si>
    <t>その他の土木建設, 4桁</t>
  </si>
  <si>
    <t>廃棄･建築物混合廃棄物破砕選別サービス</t>
  </si>
  <si>
    <t>と畜副産物, 出力, リマインダーフロー</t>
  </si>
  <si>
    <t>海藻加工品(寒天を除く)</t>
  </si>
  <si>
    <t>米糠, 出力, リマインダーフロー</t>
  </si>
  <si>
    <t>米糠, 入力, リマインダーフロー</t>
  </si>
  <si>
    <t>パン, 4桁, 小麦重量換算</t>
  </si>
  <si>
    <t>食パン, 小麦重量換算</t>
  </si>
  <si>
    <t>菓子パン, 小麦重量換算</t>
  </si>
  <si>
    <t>植物原油かす, 入力, リマインダーフロー</t>
  </si>
  <si>
    <t>めん類, 4桁, 小麦重量換算</t>
  </si>
  <si>
    <t>即席めん類, 小麦重量換算</t>
  </si>
  <si>
    <t>和風めん, 小麦重量換算</t>
  </si>
  <si>
    <t>洋風めん, 小麦重量換算</t>
  </si>
  <si>
    <t>中華めん, 小麦重量換算</t>
  </si>
  <si>
    <t>そう菜, 4桁</t>
  </si>
  <si>
    <t>他に分類されないその他の食料品, 4桁</t>
  </si>
  <si>
    <t>他に分類されないその他の食料品</t>
  </si>
  <si>
    <t>ロス（固形廃棄物）, 出力, リマインダーフロー</t>
  </si>
  <si>
    <t>綿シャツ地, ポプリン, レピア織機</t>
  </si>
  <si>
    <t>綿製ブルゾン表地, エアジェット織機製織</t>
  </si>
  <si>
    <t>綿シャツ地, ギンガム, レピア織機</t>
  </si>
  <si>
    <t>綿シャツ地, ドビークロス, レピア織機</t>
  </si>
  <si>
    <t>綿シャツ地, ピンポイントオックスフォード, レピア織機</t>
  </si>
  <si>
    <t>ブラウス表地, ウォータジェット織機</t>
  </si>
  <si>
    <t>ワンピース表地, エアジェット織機</t>
  </si>
  <si>
    <t>化繊裏地, ウォータジェット織機</t>
  </si>
  <si>
    <t>化繊裏地, エアジェット織機</t>
  </si>
  <si>
    <t>スーツ表地, エアジェット織機</t>
  </si>
  <si>
    <t>ジャケット表地, エアジェット織機</t>
  </si>
  <si>
    <t>毛織物, 反物</t>
  </si>
  <si>
    <t>羊毛･ポリエステル織物, 反物, 染色品</t>
  </si>
  <si>
    <t>その他の網地, 4桁</t>
  </si>
  <si>
    <t>その他のレース・繊維雑品, 4桁</t>
  </si>
  <si>
    <t>上塗りした織物・防水した織物, 4桁</t>
  </si>
  <si>
    <t>上塗りした織物・防水した織物</t>
  </si>
  <si>
    <t>繊維製衛生材料, 4桁</t>
  </si>
  <si>
    <t>他に分類されない繊維工業製品, 4桁</t>
  </si>
  <si>
    <t>事務用・作業用・衛生用・スポーツ用衣服, 4桁</t>
  </si>
  <si>
    <t>織物製寝着類, 4桁</t>
  </si>
  <si>
    <t>ニット製寝着類, 4桁</t>
  </si>
  <si>
    <t>補整着, 4桁</t>
  </si>
  <si>
    <t>和装製品, 4桁</t>
  </si>
  <si>
    <t>足袋類, 4桁</t>
  </si>
  <si>
    <t>帽子・帽体, 4桁</t>
  </si>
  <si>
    <t>帽子・帽体</t>
  </si>
  <si>
    <t>毛皮製衣服・身の回り品, 4桁</t>
  </si>
  <si>
    <t>他に分類されない衣服・繊維製身の回り品, 4桁</t>
  </si>
  <si>
    <t>寝具(毛布を除く)</t>
  </si>
  <si>
    <t>帆布, 4桁</t>
  </si>
  <si>
    <t>繊維製袋, 4桁</t>
  </si>
  <si>
    <t>刺しゅう製品, 4桁</t>
  </si>
  <si>
    <t>タオル(ハンカチーフを除く), 4桁</t>
  </si>
  <si>
    <t>タオル(ハンカチーフを除く)</t>
  </si>
  <si>
    <t>他に分類されない繊維製品, 4桁</t>
  </si>
  <si>
    <t>木くず, 出力, リマインダーフロー</t>
  </si>
  <si>
    <t>木くず, 入力, リマインダーフロー</t>
  </si>
  <si>
    <t>おが粉, 入力, リマインダーフロー</t>
  </si>
  <si>
    <t>購入敷料現物量, 入力, リマインダーフロー</t>
  </si>
  <si>
    <t>単板(ベニヤ板), 4桁</t>
  </si>
  <si>
    <t>単板(ベニヤ板)</t>
  </si>
  <si>
    <t>他に分類されない特殊製材品, 4桁</t>
  </si>
  <si>
    <t>造作材(建具を除く), 4桁</t>
  </si>
  <si>
    <t>造作材(建具を除く)</t>
  </si>
  <si>
    <t>パーティクルボード, 出力, リマインダーフロー</t>
  </si>
  <si>
    <t>銘板・銘木・床柱, 4桁</t>
  </si>
  <si>
    <t>銘板・銘木・床柱</t>
  </si>
  <si>
    <t>竹・とう・きりゅう等容器, 4桁</t>
  </si>
  <si>
    <t>折箱, 4桁</t>
  </si>
  <si>
    <t>木箱類(折箱を除く), 4桁</t>
  </si>
  <si>
    <t>取枠・巻枠(木製ドラムを含む)</t>
  </si>
  <si>
    <t>たる, 4桁</t>
  </si>
  <si>
    <t>おけ類, 4桁</t>
  </si>
  <si>
    <t>靴型･靴芯, 4桁</t>
  </si>
  <si>
    <t>靴型･靴芯</t>
  </si>
  <si>
    <t>他に分類されない木製品(竹・とうを含む), 4桁</t>
  </si>
  <si>
    <t>柄・引手・つまみ・握り・台木・これらの類似品</t>
  </si>
  <si>
    <t>はし, 木・竹製</t>
  </si>
  <si>
    <t>木製履物(台を含む)</t>
  </si>
  <si>
    <t>曲輪・曲物</t>
  </si>
  <si>
    <t>その他の木・竹・とう・きりゅう等製品(塗装を含む)</t>
  </si>
  <si>
    <t>木製流し台・調理台・ガス台(キャビネットが木製のもの)</t>
  </si>
  <si>
    <t>システムキッチン・木製キャビネット</t>
  </si>
  <si>
    <t>その他の木製家具(漆塗りを除く)</t>
  </si>
  <si>
    <t>ベッド用マットレス・組スプリング, 4桁</t>
  </si>
  <si>
    <t>ベッド用マットレス・組スプリング</t>
  </si>
  <si>
    <t>宗教用具, 4桁</t>
  </si>
  <si>
    <t>建具(金属製を除く), 4桁</t>
  </si>
  <si>
    <t>建具(金属製を除く)</t>
  </si>
  <si>
    <t>事務所用・店舗用装備品, 4桁</t>
  </si>
  <si>
    <t>窓用・扉用日よけ, 4桁</t>
  </si>
  <si>
    <t>びょうぶ・衣こう・すだれ・ついたて(掛軸、掛地図を含む)等, 4桁</t>
  </si>
  <si>
    <t>びょうぶ・衣こう・すだれ・ついたて(掛軸、掛地図を含む)等</t>
  </si>
  <si>
    <t>鏡縁・額縁, 4桁</t>
  </si>
  <si>
    <t>他に分類されない家具・装備品, 4桁</t>
  </si>
  <si>
    <t>パルプ廃液(用水分を除く), 出力, リマインダーフロー</t>
  </si>
  <si>
    <t>クラフトパルプ, 広葉樹, 晒</t>
  </si>
  <si>
    <t>クラフトパルプ, 広葉樹, 未晒</t>
  </si>
  <si>
    <t>クラフトパルプ, 針葉樹, 晒</t>
  </si>
  <si>
    <t>クラフトパルプ, 針葉樹, 未晒</t>
  </si>
  <si>
    <t>古紙パルプ, 紙容器原料</t>
  </si>
  <si>
    <t>古紙パルプ, 紙用</t>
  </si>
  <si>
    <t>古紙パルプ, 板紙用</t>
  </si>
  <si>
    <t>手すき和紙, 4桁</t>
  </si>
  <si>
    <t>塗工紙, 4桁</t>
  </si>
  <si>
    <t>絶縁紙・絶縁テープ</t>
  </si>
  <si>
    <t>紙製・織物製ブックバインディングクロス</t>
  </si>
  <si>
    <t>壁紙・ふすま紙, 4桁</t>
  </si>
  <si>
    <t>壁紙・ふすま紙</t>
  </si>
  <si>
    <t>事務用紙製品, 4桁</t>
  </si>
  <si>
    <t>学用紙製品, 4桁</t>
  </si>
  <si>
    <t>日用紙製品, 4桁</t>
  </si>
  <si>
    <t>その他の紙製品, 4桁</t>
  </si>
  <si>
    <t>重包装紙袋, 4桁, 一袋あたり</t>
  </si>
  <si>
    <t>重包装紙袋, 一袋あたり</t>
  </si>
  <si>
    <t>角底紙袋, 4桁</t>
  </si>
  <si>
    <t>紙製衛生材料, 4桁</t>
  </si>
  <si>
    <t>印刷物, 4桁</t>
  </si>
  <si>
    <t>とっ版印刷物(活版印刷物)</t>
  </si>
  <si>
    <t>平版印刷物(オフセット印刷物)</t>
  </si>
  <si>
    <t>おう版印刷物(グラビア印刷物)</t>
  </si>
  <si>
    <t>下版(製版, 4桁</t>
  </si>
  <si>
    <t>写真製版(写真植字を含む)</t>
  </si>
  <si>
    <t>銅おう版・木版彫刻製版</t>
  </si>
  <si>
    <t>肥料（窒素質分）, N重量換算</t>
  </si>
  <si>
    <t>肥料（りん酸質分）, P2O5重量換算</t>
  </si>
  <si>
    <t>硫酸アンモニウム, カプロラクタム副生</t>
  </si>
  <si>
    <t>硝酸, カプロラクタム副生</t>
  </si>
  <si>
    <t>化成肥料, りん安19-42</t>
  </si>
  <si>
    <t>高度化成肥料, 15-15-11</t>
  </si>
  <si>
    <t>肥料（カリ質分）, K2O重量換算</t>
  </si>
  <si>
    <t>ソーダ工業廃液, 入力, リマインダーフロー</t>
  </si>
  <si>
    <t>ソーダ灰, 塩化アンモニウム副生</t>
  </si>
  <si>
    <t>塩酸, PMPPI副生, 31.4%HCl</t>
  </si>
  <si>
    <t>塩酸, 塩化アリル副生, 32%HCl</t>
  </si>
  <si>
    <t>塩酸, 1,1-ジクロロ-1-フルオロエタン副生</t>
  </si>
  <si>
    <t>塩酸, 1,1,1,2-テトラフルオロエタン副生</t>
  </si>
  <si>
    <t>塩酸, 1,1,1,3,3-ペンタフルオロプロパン副生, 35%HCl</t>
  </si>
  <si>
    <t>塩酸, HMDI副生, 5.7%HCl</t>
  </si>
  <si>
    <t>塩酸, クロロジフルオロメタン副生</t>
  </si>
  <si>
    <t>塩酸, トリクロロフルオロメタン, 35%HCl</t>
  </si>
  <si>
    <t>塩酸, 酸洗廃液</t>
  </si>
  <si>
    <t>ぎ酸ソーダ, ペンタエリスリトール副生</t>
  </si>
  <si>
    <t>塩化カルシウム, 40%水溶液</t>
  </si>
  <si>
    <t>塩化カルシウム, 2水塩</t>
  </si>
  <si>
    <t>黒色顔料, 再生パレット着色用</t>
  </si>
  <si>
    <t>水素, メチルエチルケトン副生</t>
  </si>
  <si>
    <t>水素ガス, 出力, リマインダーフロー</t>
  </si>
  <si>
    <t>炭酸ガス, 水素副生</t>
  </si>
  <si>
    <t>圧縮空気, 90m3/hクラス</t>
  </si>
  <si>
    <t>天然ガス, 出力, リマインダーフロー</t>
  </si>
  <si>
    <t>NaCl, 出力, リマインダーフロー</t>
  </si>
  <si>
    <t>工業塩, 岩塩, 乾式採掘法</t>
  </si>
  <si>
    <t>食用塩, 岩塩, 溶解採掘法</t>
  </si>
  <si>
    <t>食用塩, 海水, 平釜煎ごう式</t>
  </si>
  <si>
    <t>にがり, 出力, リマインダーフロー</t>
  </si>
  <si>
    <t>硫化水素, 出力, リマインダーフロー</t>
  </si>
  <si>
    <t>二酸化硫黄, 入力, リマインダーフロー</t>
  </si>
  <si>
    <t>硫化水素, 入力, リマインダーフロー</t>
  </si>
  <si>
    <t>塩化バリウム, 無水塩</t>
  </si>
  <si>
    <t>触媒, FCC用</t>
  </si>
  <si>
    <t>触媒, 脱硫用</t>
  </si>
  <si>
    <t>触媒, 脱硝用</t>
  </si>
  <si>
    <t>石こう, りん酸副生</t>
  </si>
  <si>
    <t>臭化水素酸, デカブロモジフェニルオキサイド副生, 48%HBr</t>
  </si>
  <si>
    <t>シアン化水素, アクリロニトリル副生</t>
  </si>
  <si>
    <t>水加ヒドラジン, ケタジン合成</t>
  </si>
  <si>
    <t>水加ヒドラジン, 次亜塩素酸ナトリウム合成</t>
  </si>
  <si>
    <t>水酸化リチウム, 1水和物</t>
  </si>
  <si>
    <t>チオ硫酸ナトリウム, 結晶</t>
  </si>
  <si>
    <t>チオ硫酸ナトリウム, 無水</t>
  </si>
  <si>
    <t>亜硫酸ナトリウム, 結晶</t>
  </si>
  <si>
    <t>塩化マグネシウム, 6水塩</t>
  </si>
  <si>
    <t>酸化マグネシウム, 軽焼</t>
  </si>
  <si>
    <t>粗三酸化モリブデン, MoO3品位89%</t>
  </si>
  <si>
    <t>三酸化モリブデン, 高純度粉末</t>
  </si>
  <si>
    <t>塩基性炭酸マグネシウム, ソーダ灰法</t>
  </si>
  <si>
    <t>塩基性炭酸マグネシウム, 炭安法</t>
  </si>
  <si>
    <t>塩基性炭酸マグネシウム, 水マグ法</t>
  </si>
  <si>
    <t>塩化水素, 二塩化エチレン副生</t>
  </si>
  <si>
    <t>塩化ナトリウム, ポリフェニレンサルファイド副生</t>
  </si>
  <si>
    <t>粗硫酸ニッケル,電気銅副生, 純分質量配分基準</t>
  </si>
  <si>
    <t>硫酸銅,電気銅副生, 純分質量配分基準</t>
  </si>
  <si>
    <t>CaCl2, 出力, リマインダーフロー</t>
  </si>
  <si>
    <t>硫化ナトリウム, 出力, リマインダーフロー</t>
  </si>
  <si>
    <t>エチレン, ヘキセンコポリマー副生</t>
  </si>
  <si>
    <t>ラフィネート, 1-ブテン副生</t>
  </si>
  <si>
    <t>ベンゼン, スチレンモノマー副生</t>
  </si>
  <si>
    <t>トルエン, スチレンモノマー副生</t>
  </si>
  <si>
    <t>m-キシレン, 石油精製系BTX分離副生</t>
  </si>
  <si>
    <t>o-キシレン, 石油精製系BTX分離副生</t>
  </si>
  <si>
    <t>芳香族類, p-メチルスチレン副生</t>
  </si>
  <si>
    <t>イソブタノール, 2-エチルヘキサノール副生</t>
  </si>
  <si>
    <t>合成アセトン, クメン</t>
  </si>
  <si>
    <t>酢酸, ポリイミド副生</t>
  </si>
  <si>
    <t>粗酢酸, PVA副生</t>
  </si>
  <si>
    <t>エチレングリコール, ポリエステルポリオール副生</t>
  </si>
  <si>
    <t>ジエチレングリコール, EO・EG副生</t>
  </si>
  <si>
    <t>ジプロピレングリコール, PG副生</t>
  </si>
  <si>
    <t>トリプロピレングリコール, PG副生</t>
  </si>
  <si>
    <t>トリプロピレングリコールメチルエーテル, PM副生</t>
  </si>
  <si>
    <t>塩化ビニル, ジエチレントリアミン副生</t>
  </si>
  <si>
    <t>塩化ビニル, テトラエチレンペンタミン副生</t>
  </si>
  <si>
    <t>塩化ビニル, トリエチレンテトラミン副生</t>
  </si>
  <si>
    <t>塩化ビニル, ペンタエチレントリアミン副生</t>
  </si>
  <si>
    <t>アクリロニトリル, 出力, リマインダーフロー</t>
  </si>
  <si>
    <t>ブタジエンラフィネート, ブタジエン副生</t>
  </si>
  <si>
    <t>3-ピコリン, ピリジン副生</t>
  </si>
  <si>
    <t>アクリル酸n-ブチル</t>
  </si>
  <si>
    <t>エステル, アジピン酸副生</t>
  </si>
  <si>
    <t>1-オクテン, 1-ヘキセン副生</t>
  </si>
  <si>
    <t>グルタル酸, アジピン酸副生</t>
  </si>
  <si>
    <t>ジエチレングリコールモノブチルエーテル, BG副生</t>
  </si>
  <si>
    <t>ジクロロプロペン, 塩化アリル副生</t>
  </si>
  <si>
    <t>ジプロピレングリコールメチルエーテル, PM副生</t>
  </si>
  <si>
    <t>しゅう酸, アジピン酸副生</t>
  </si>
  <si>
    <t>しゅう酸ジブチルエステル</t>
  </si>
  <si>
    <t>デセン, 1-ヘキセン副生</t>
  </si>
  <si>
    <t>トリエタノールアミン, 85%</t>
  </si>
  <si>
    <t>トリエチレングリコールモノブチルエーテル, BG副生</t>
  </si>
  <si>
    <t>トリクロロプロパン, エピクロロヒドリン副生</t>
  </si>
  <si>
    <t>トリスノニルフェニルフォスファイト</t>
  </si>
  <si>
    <t>ナイロン66塩, 63%</t>
  </si>
  <si>
    <t>プロピオン酸, アジピン酸副生</t>
  </si>
  <si>
    <t>プロピレンジクロライド, 酸化プロピレン副生</t>
  </si>
  <si>
    <t>ヘキサメチレンジイソシアネート, HMDA副生</t>
  </si>
  <si>
    <t>ヘキサメチレンジイソシアネート, HMDI</t>
  </si>
  <si>
    <t>ホルムアルデヒド, 37%</t>
  </si>
  <si>
    <t>モルホリン, 脱水環化反応</t>
  </si>
  <si>
    <t>モルホリン, 直接製造法</t>
  </si>
  <si>
    <t>塩化コリン</t>
  </si>
  <si>
    <t>軽質アルキレート, ドデシルベンゼン副生</t>
  </si>
  <si>
    <t>重質アルキレート, ドデシルベンゼン副生</t>
  </si>
  <si>
    <t>琥珀酸, アジピン酸副生</t>
  </si>
  <si>
    <t>テトラクロロエチレン</t>
  </si>
  <si>
    <t>e-ヒドロキシカプロイックアシッド, アジピン酸副生</t>
  </si>
  <si>
    <t>酪酸, アジピン酸副生</t>
  </si>
  <si>
    <t>くえん酸, 発酵法</t>
  </si>
  <si>
    <t>石こう(硫酸石灰), 出力, リマインダーフロー</t>
  </si>
  <si>
    <t>シクロヘキサン, アジピン酸副生</t>
  </si>
  <si>
    <t>シクロヘキサン, シクロヘキサノールl副生</t>
  </si>
  <si>
    <t>トルイジン, トリレンジイソシアネート副生</t>
  </si>
  <si>
    <t>ビスフェノールAジグリシジルエーテル</t>
  </si>
  <si>
    <t>クロマンス, ビスフェノールA副生</t>
  </si>
  <si>
    <t>シクロヘキサノール, アジピン酸副生</t>
  </si>
  <si>
    <t>ジフェニルカーボネート, 直接反応法</t>
  </si>
  <si>
    <t>ジフェニルカーボネート, 非ホスゲン法</t>
  </si>
  <si>
    <t>トリエンジアミン, TDI副生</t>
  </si>
  <si>
    <t>トリスフェノール, ビスフェノールA副生</t>
  </si>
  <si>
    <t>ハイドロキノン, 液相空気酸化</t>
  </si>
  <si>
    <t>ハイドロキノン, 過酸化物分解</t>
  </si>
  <si>
    <t>バレリック酸, アジピン酸副生</t>
  </si>
  <si>
    <t>ヘビーアミン, HMDA副生</t>
  </si>
  <si>
    <t>ポリメチレンポリフェニルポリイソシアネート（PMPPI）</t>
  </si>
  <si>
    <t>混合ルチジン, ピリジン副生</t>
  </si>
  <si>
    <t>ポリエチルベンゼン, 出力, リマインダーフロー</t>
  </si>
  <si>
    <t>重油, 出力, リマインダーフロー</t>
  </si>
  <si>
    <t>ABS樹脂, 難燃性</t>
  </si>
  <si>
    <t>変性ポリフェニレンエーテル樹脂</t>
  </si>
  <si>
    <t>シリコーンゴム, コンパウンド</t>
  </si>
  <si>
    <t>トリクロロフルオロメタン</t>
  </si>
  <si>
    <t>ジクロロジフルオロメタン, トリクロロフルオロメタン副生</t>
  </si>
  <si>
    <t>1,1,1,3,3-ペンタフルオロプロパン</t>
  </si>
  <si>
    <t>メタノール, PBT副生</t>
  </si>
  <si>
    <t>メタノール, PMPPI副生</t>
  </si>
  <si>
    <t>塩化メチレン, 四塩化炭素副生</t>
  </si>
  <si>
    <t>塩化メチル, 四塩化炭素副生</t>
  </si>
  <si>
    <t>メタン, ビスフェノールA副生</t>
  </si>
  <si>
    <t>メタン,ピッチ系炭素繊維副生</t>
  </si>
  <si>
    <t>C4ラフィネート, MTBE副生</t>
  </si>
  <si>
    <t>C4混合物バージ, SBA副生</t>
  </si>
  <si>
    <t>C5副生成物, イソブタン副生</t>
  </si>
  <si>
    <t>C6オレフィン, 4-メチルペンテン-1副生</t>
  </si>
  <si>
    <t>C6パラフィン, 石油化学系BTX分離副生</t>
  </si>
  <si>
    <t>C6パラフィン, 石油精製系BTX分離副生</t>
  </si>
  <si>
    <t>C6-C7, シクロヘキサン副生</t>
  </si>
  <si>
    <t>C7パラフィン, 石油化学系BTX分離副生</t>
  </si>
  <si>
    <t>C7パラフィン, 石油精製系BTX分離副生</t>
  </si>
  <si>
    <t>C8パラフィン, 石油化学系BTX分離副生</t>
  </si>
  <si>
    <t>C8パラフィン, 石油精製系BTX分離副生</t>
  </si>
  <si>
    <t>ナフタレン油, ディレードコークス副生</t>
  </si>
  <si>
    <t>C6, パラキシレン副産物</t>
  </si>
  <si>
    <t>C7, パラキシレン副産物</t>
  </si>
  <si>
    <t>C9, パラキシレン副産物</t>
  </si>
  <si>
    <t>γ-ブチロラクトン, 脱水環化反応</t>
  </si>
  <si>
    <t>γ-ブチロラクトン, 直接水素化法</t>
  </si>
  <si>
    <t>ぎ酸, カルボニル化法</t>
  </si>
  <si>
    <t>ぎ酸メチル, カルボニル化法</t>
  </si>
  <si>
    <t>ぎ酸メチル, 脱水素化法</t>
  </si>
  <si>
    <t>クロトン酸, アルドール縮合反応</t>
  </si>
  <si>
    <t>クロトン酸, 空気酸化反応</t>
  </si>
  <si>
    <t>硫化ジメチル, メチルメルカプタン副生</t>
  </si>
  <si>
    <t>ヘビーエンド, HDPE副生</t>
  </si>
  <si>
    <t>重質油, p-メチルスチレン副生</t>
  </si>
  <si>
    <t>重質油, プロピレンテトラマー副生</t>
  </si>
  <si>
    <t>軽質油, プロピレンテトラマー副生</t>
  </si>
  <si>
    <t>副生品（メチルトリクロロシラン等）, 出力, リマインダーフロー</t>
  </si>
  <si>
    <t>ビスコース製造混液, 入力, リマインダーフロー</t>
  </si>
  <si>
    <t>脂肪酸, 牛脂</t>
  </si>
  <si>
    <t>高級アルコール, やし油</t>
  </si>
  <si>
    <t>石けん, エステルけん化法</t>
  </si>
  <si>
    <t>建築用アクリル樹脂エナメル, 溶剤系, 白</t>
  </si>
  <si>
    <t>自動車用上塗塗料, 溶剤系, 白</t>
  </si>
  <si>
    <t>自動車用中塗塗料, 溶剤系</t>
  </si>
  <si>
    <t>自動車用上塗塗料, 溶剤系, シルバー</t>
  </si>
  <si>
    <t>自動車用上塗塗料, 溶剤系, グリーン</t>
  </si>
  <si>
    <t>自動車用上塗塗料, 溶剤系, クリア</t>
  </si>
  <si>
    <t>シアナミド鉛系さび止め塗料, 溶剤系</t>
  </si>
  <si>
    <t>家電用上塗塗料, アルキドメラミン, 溶剤系, 白</t>
  </si>
  <si>
    <t>家電用上塗塗料, アクリルメラミン, 溶剤系, 白</t>
  </si>
  <si>
    <t>家電PCM用下塗塗料, ポリエステル, 溶剤系, 白</t>
  </si>
  <si>
    <t>家電PCM用上塗塗料, ポリエステル, 溶剤系, 白</t>
  </si>
  <si>
    <t>自動車用電着塗料, 水系, F-1</t>
  </si>
  <si>
    <t>自動車用電着塗料, 水系, F-2クリア</t>
  </si>
  <si>
    <t>自動車用上塗塗料, 水系, シルバー</t>
  </si>
  <si>
    <t>合成樹脂エマルション塗料, 水系, 白</t>
  </si>
  <si>
    <t>建築用合成樹脂エマルション水系塗料,</t>
  </si>
  <si>
    <t>家電用電着水系塗料, 1コートアクリル, 白</t>
  </si>
  <si>
    <t>自動車用クリア粉体塗料</t>
  </si>
  <si>
    <t>医薬品原薬, 4桁</t>
  </si>
  <si>
    <t>生物学的製剤, 4桁</t>
  </si>
  <si>
    <t>ワクチン・血清・保存血液</t>
  </si>
  <si>
    <t>生薬・漢方製剤, 4桁</t>
  </si>
  <si>
    <t>動物用医薬品, 4桁</t>
  </si>
  <si>
    <t>その他の化粧品・歯磨・化粧用調整品, 4桁</t>
  </si>
  <si>
    <t>殺虫剤, マラチオン, 粉剤</t>
  </si>
  <si>
    <t>殺虫剤, マラチオン, 乳剤</t>
  </si>
  <si>
    <t>殺菌剤, N,N'-エチレンビス(ジチオカルバミン酸)亜鉛（ジネブ）</t>
  </si>
  <si>
    <t>除草剤, 2,4-PA, ソーダ塩</t>
  </si>
  <si>
    <t>メラミン・ユリア共重合樹脂系接着剤</t>
  </si>
  <si>
    <t>フェノール系接着剤, 水溶性</t>
  </si>
  <si>
    <t>フェノール系接着剤, 酸硬化型</t>
  </si>
  <si>
    <t>写真用化学薬品, 調整・包装されたもの</t>
  </si>
  <si>
    <t>天然樹脂製品・木材化学製品, 4桁</t>
  </si>
  <si>
    <t>試薬(診断用試薬を除く), 4桁</t>
  </si>
  <si>
    <t>試薬(診断用試薬を除く)</t>
  </si>
  <si>
    <t>蒸留水</t>
  </si>
  <si>
    <t>重油, スチレンモノマー副生</t>
  </si>
  <si>
    <t>プロパン, 酸化プロピレン副生</t>
  </si>
  <si>
    <t>プロパン, クメン副生</t>
  </si>
  <si>
    <t>オフガス, ディレードコークス副生</t>
  </si>
  <si>
    <t>オフガス, 入力, リマインダーフロー</t>
  </si>
  <si>
    <t>コークス炉ガス, 出力, リマインダーフロー</t>
  </si>
  <si>
    <t>コークス炉ガス, 入力, リマインダーフロー</t>
  </si>
  <si>
    <t>舗装材料, 4桁</t>
  </si>
  <si>
    <t>アスファルト舗装混合材・タール舗装混合材(アスファルトブロック・タールブロックを含む)</t>
  </si>
  <si>
    <t>アスファルト混合物</t>
  </si>
  <si>
    <t>アントラセン油, ディレードコークス副生</t>
  </si>
  <si>
    <t>燃料ガス, TDI副生</t>
  </si>
  <si>
    <t>燃料ガス, カプロラクタム副生</t>
  </si>
  <si>
    <t>燃料油, 2,6-ジメチルフェノール副生</t>
  </si>
  <si>
    <t>燃料油, シクロヘキサノール副生</t>
  </si>
  <si>
    <t>プラスチック, 出力, リマインダーフロー</t>
  </si>
  <si>
    <t>プラスチック板, 塩化ビニル</t>
  </si>
  <si>
    <t>プラスチック管, 塩化ビニル</t>
  </si>
  <si>
    <t>塩化ビニル形材, 断熱サッシ用</t>
  </si>
  <si>
    <t>プラスチック板・棒・管・継手・異形押出製品加工品, 4桁</t>
  </si>
  <si>
    <t>プラスチック板・棒・管・継手・異形押出製品加工品(切断・接合・塗装・蒸着めっき・バフ加工等)</t>
  </si>
  <si>
    <t>プラ成形加工, 二軸延伸ﾌｨﾙﾑ</t>
  </si>
  <si>
    <t>プラスチックフィルム・シート・床材・合成皮革製品加工品, 4桁</t>
  </si>
  <si>
    <t>プラスチックフィルム・シート・床材・合成皮革製品加工品(切断・接合・塗装・蒸着めっき・バフ加工等)</t>
  </si>
  <si>
    <t>プラ成形加工, インフレーションフィルム, 規格袋</t>
  </si>
  <si>
    <t>工業用プラスチック製品加工品, 4桁</t>
  </si>
  <si>
    <t>工業用プラスチック製品加工品(切断・接合・塗装・蒸着めっき・バフ加工等)</t>
  </si>
  <si>
    <t>ポリウレタン, 軟質</t>
  </si>
  <si>
    <t>ポリウレタン, 発泡</t>
  </si>
  <si>
    <t>ポリウレタン, 硬質ウレタンボード</t>
  </si>
  <si>
    <t>発泡・強化プラスチック製品の加工品, 4桁</t>
  </si>
  <si>
    <t>発泡・強化プラスチック製品の加工品(切断・接合・塗装・蒸着めっき・バフ加工等)</t>
  </si>
  <si>
    <t>トレイ成形加工</t>
  </si>
  <si>
    <t>プラスチック成形材料(再生プラスチックを含む), 4桁</t>
  </si>
  <si>
    <t>再生PET樹脂, ボトル用</t>
  </si>
  <si>
    <t>再生PET樹脂, 繊維用</t>
  </si>
  <si>
    <t>再生PVC粉砕品, 粗粉砕</t>
  </si>
  <si>
    <t>再生PVC粉砕品, 微粉砕</t>
  </si>
  <si>
    <t>再生プラスチックペレット</t>
  </si>
  <si>
    <t>再生PS樹脂, ペレット</t>
  </si>
  <si>
    <t>再生使用済農業用塩化ビニルフィルム, グラッシュ</t>
  </si>
  <si>
    <t>再生PSPトレイ, ラミネート処理</t>
  </si>
  <si>
    <t>パレット成形加工</t>
  </si>
  <si>
    <t>他に分類されないプラスチック製品の加工品, 4桁</t>
  </si>
  <si>
    <t>他に分類されないプラスチック製品の加工品(切断・接合・塗装・蒸着めっき・バフ加工等)</t>
  </si>
  <si>
    <t>地下足袋, 一足あたり</t>
  </si>
  <si>
    <t>ゴム底布靴, 一足あたり</t>
  </si>
  <si>
    <t>総ゴム靴, 一足あたり</t>
  </si>
  <si>
    <t>ゴム草履・スリッパ(スポンジ製のものを含む), 一足あたり</t>
  </si>
  <si>
    <t>ゴム製履物用品, 新ゴム重量換算</t>
  </si>
  <si>
    <t>プラスチック製靴, 一足あたり</t>
  </si>
  <si>
    <t>プラスチック製サンダル, 一足あたり</t>
  </si>
  <si>
    <t>プラスチック製スリッパ, 一足あたり</t>
  </si>
  <si>
    <t>その他のプラスチック製履物・同附属品</t>
  </si>
  <si>
    <t>その他のゴムベルト, 新ゴム重量換算</t>
  </si>
  <si>
    <t>防振ゴム, 新ゴム重量換算</t>
  </si>
  <si>
    <t>ゴムロール, 新ゴム重量換算</t>
  </si>
  <si>
    <t>ゴム製パッキン類, 新ゴム重量換算</t>
  </si>
  <si>
    <t>ゴムライニング, 新ゴム重量換算</t>
  </si>
  <si>
    <t>防げん材, 新ゴム重量換算</t>
  </si>
  <si>
    <t>工業用スポンジ製品, 新ゴム重量換算</t>
  </si>
  <si>
    <t>その他の工業用ゴム製品, 新ゴム重量換算</t>
  </si>
  <si>
    <t>医療・衛生用ゴム製品, 4桁, 新ゴム重量換算</t>
  </si>
  <si>
    <t>医療・衛生用ゴム製品, 新ゴム重量換算</t>
  </si>
  <si>
    <t>その他のゴム練生地</t>
  </si>
  <si>
    <t>ゴム手袋, 一双あたり</t>
  </si>
  <si>
    <t>その他のゴム製品, 新ゴム重量換算</t>
  </si>
  <si>
    <t>工業用革製品, 4桁</t>
  </si>
  <si>
    <t>革製履物用材料・同附属品, 4桁</t>
  </si>
  <si>
    <t>革製履物用材料・同附属品</t>
  </si>
  <si>
    <t>紳士用革靴, 23cm以上, 一足あたり</t>
  </si>
  <si>
    <t>婦人用・子供用革靴, 一足あたり</t>
  </si>
  <si>
    <t>運動用革靴, 一足あたり</t>
  </si>
  <si>
    <t>作業用革靴, 一足あたり</t>
  </si>
  <si>
    <t>その他の革製靴, 一足あたり</t>
  </si>
  <si>
    <t>衣服用革手袋(合成皮革製を含む), 一双あたり</t>
  </si>
  <si>
    <t>作業用革手袋(合成皮革製を含む), 一双あたり</t>
  </si>
  <si>
    <t>スポーツ用革手袋(合成皮革製を含む)</t>
  </si>
  <si>
    <t>かばん, 4桁</t>
  </si>
  <si>
    <t>袋物, 4桁</t>
  </si>
  <si>
    <t>毛皮(調整済で完成品ではないもの), 4桁</t>
  </si>
  <si>
    <t>毛皮(調整済で完成品ではないもの)</t>
  </si>
  <si>
    <t>その他のなめし革製品, 4桁</t>
  </si>
  <si>
    <t>他に分類されないなめし革製品</t>
  </si>
  <si>
    <t>ガラスくず, 入力, リマインダーフロー</t>
  </si>
  <si>
    <t>板ガラス, 4桁, 2mm換算箱あたり</t>
  </si>
  <si>
    <t>普通板ガラス, 2mm換算箱あたり</t>
  </si>
  <si>
    <t>変り板ガラス, 2mm換算箱あたり</t>
  </si>
  <si>
    <t>磨き板ガラス, 2mm換算箱あたり</t>
  </si>
  <si>
    <t>溶融Eガラス, 低アルカリガラス</t>
  </si>
  <si>
    <t>その他の他に分類されないガラス・同製品</t>
  </si>
  <si>
    <t>高炉セメント, B種</t>
  </si>
  <si>
    <t>フライアッシュセメント, B種</t>
  </si>
  <si>
    <t>他に分類されないセメント製品, 4桁</t>
  </si>
  <si>
    <t>その他の建設用粘土製品, 4桁</t>
  </si>
  <si>
    <t>衛生陶器, 4桁</t>
  </si>
  <si>
    <t>理化学用・工業用陶磁器, 4桁</t>
  </si>
  <si>
    <t>理化学用・工業用ファインセラミックス(焼結し放しのもの)</t>
  </si>
  <si>
    <t>その他の陶磁器・同関連製品, 4桁</t>
  </si>
  <si>
    <t>マグネシアクリンカ, マグネサイト原料</t>
  </si>
  <si>
    <t>炭素繊維, PAN系</t>
  </si>
  <si>
    <t>炭素繊維, ピッチ系</t>
  </si>
  <si>
    <t>研磨材, 4桁</t>
  </si>
  <si>
    <t>その他の研磨材・同製品, 4桁</t>
  </si>
  <si>
    <t>再生骨材（路盤材用）</t>
  </si>
  <si>
    <t>石工品, 4桁</t>
  </si>
  <si>
    <t>鉱物・土石粉砕等処理品, 4桁</t>
  </si>
  <si>
    <t>七宝製品, 4桁</t>
  </si>
  <si>
    <t>人造宝石, 4桁</t>
  </si>
  <si>
    <t>人造宝石(合成宝石、模造宝石、人造真珠、人造水晶を含む)</t>
  </si>
  <si>
    <t>鋳型(中子を含む), 4桁</t>
  </si>
  <si>
    <t>鋳型(中子を含む)</t>
  </si>
  <si>
    <t>他に分類されない窯業・土石製品, 4桁</t>
  </si>
  <si>
    <t>鉄くず（特定せず）, 出力, リマインダーフロー</t>
  </si>
  <si>
    <t>銑くず, 出力, リマインダーフロー</t>
  </si>
  <si>
    <t>鋼くず, 出力, リマインダーフロー</t>
  </si>
  <si>
    <t>熱間圧延加工（一貫製造を除く, 鉄鋼）</t>
  </si>
  <si>
    <t>冷間圧延加工（一貫製造を除く, 鉄鋼）</t>
  </si>
  <si>
    <t>鉄くず（特定せず）, 入力, リマインダーフロー</t>
  </si>
  <si>
    <t>銑くず, 入力, リマインダーフロー</t>
  </si>
  <si>
    <t>鋼くず, 入力, リマインダーフロー</t>
  </si>
  <si>
    <t>電気炉ガス, 入力, リマインダーフロー</t>
  </si>
  <si>
    <t>ミルスケール, 入力, リマインダーフロー</t>
  </si>
  <si>
    <t>製鉄原料・中間製品, 4桁</t>
  </si>
  <si>
    <t>高炉銑</t>
  </si>
  <si>
    <t>高炉ガス, 入力, リマインダーフロー</t>
  </si>
  <si>
    <t>転炉ガス, 入力, リマインダーフロー</t>
  </si>
  <si>
    <t>転炉ガス(LDG), 出力, リマインダーフロー</t>
  </si>
  <si>
    <t>普通鋼中厚板</t>
  </si>
  <si>
    <t>普通鋼冷間圧延鋼板</t>
  </si>
  <si>
    <t>けい素鋼板</t>
  </si>
  <si>
    <t>鉄鋼シャースリットサービス, 4桁</t>
  </si>
  <si>
    <t>鉄鋼切断品(溶断を含む)サービス</t>
  </si>
  <si>
    <t>他に分類されない鉄鋼品, 4桁</t>
  </si>
  <si>
    <t>非鉄くず（特定せず）, 出力, リマインダーフロー</t>
  </si>
  <si>
    <t>銅くず, 出力, リマインダーフロー</t>
  </si>
  <si>
    <t>アルミニウムくず, 出力, リマインダーフロー</t>
  </si>
  <si>
    <t>その他の非鉄金属くず, 出力, リマインダーフロー</t>
  </si>
  <si>
    <t>銅くず, 入力, リマインダーフロー</t>
  </si>
  <si>
    <t>アルミニウムくず, 入力, リマインダーフロー</t>
  </si>
  <si>
    <t>その他の非鉄金属くず, 入力, リマインダーフロー</t>
  </si>
  <si>
    <t>二酸化硫黄（蒸留亜鉛用酸化亜鉛副生）(純分質量基準)</t>
  </si>
  <si>
    <t>二酸化硫黄（電気亜鉛用酸化亜鉛副生）(純分質量基準)</t>
  </si>
  <si>
    <t>銀含有スクラップ（Ag含有量）, 入力, リマインダーフロー</t>
  </si>
  <si>
    <t>酸化亜鉛,蒸留亜鉛用(純分質量基準)</t>
  </si>
  <si>
    <t>酸化亜鉛（電気亜鉛用）(純分質量基準)</t>
  </si>
  <si>
    <t>二酸化硫黄（再生利用品）, 出力, リマインダーフロー</t>
  </si>
  <si>
    <t>アルミニウム一次地金（日本輸入）</t>
  </si>
  <si>
    <t>PbCl2, 出力, リマインダーフロー</t>
  </si>
  <si>
    <t>鉛焙焼鉱</t>
  </si>
  <si>
    <t>ダスト処理品（銅製錬電気集塵機）</t>
  </si>
  <si>
    <t>電気鉛,銅製錬副生(純分質量基準)</t>
  </si>
  <si>
    <t>金（電解）</t>
  </si>
  <si>
    <t>電解残さ(スライム), 出力, リマインダーフロー</t>
  </si>
  <si>
    <t>AgCll, 出力, リマインダーフロー</t>
  </si>
  <si>
    <t>ビスマス（電解）</t>
  </si>
  <si>
    <t>金属チタン（スポンジ）</t>
  </si>
  <si>
    <t>金属リチウム,かん水法</t>
  </si>
  <si>
    <t>金属リチウム, 溶媒抽出, 硫酸法</t>
  </si>
  <si>
    <t>金属ナトリウム, ダウンズ法</t>
  </si>
  <si>
    <t>金属ジルコニウム, スポンジ</t>
  </si>
  <si>
    <t>金属カドミウム（焙焼なし）</t>
  </si>
  <si>
    <t>金属カドミウム（焙焼あり）</t>
  </si>
  <si>
    <t>白金,スポンジ(純分質量基準)</t>
  </si>
  <si>
    <t>固形廃棄物(岩石、覆土）, 出力, リマインダーフロー</t>
  </si>
  <si>
    <t>固形廃棄物(残さ等), 出力, リマインダーフロー</t>
  </si>
  <si>
    <t>スラグ, 出力, リマインダーフロー</t>
  </si>
  <si>
    <t>MgCl2, 出力, リマインダーフロー</t>
  </si>
  <si>
    <t>Mg(OH)2, 出力, リマインダーフロー</t>
  </si>
  <si>
    <t>鉛スクラップ, 蓄電池回収</t>
  </si>
  <si>
    <t>酸化亜鉛（電炉ダストからの回収）</t>
  </si>
  <si>
    <t>硫酸鉛ペースト（鉛蓄電池からの回収）</t>
  </si>
  <si>
    <t>アルミニウム押出品、熱交換機用（多穴）</t>
  </si>
  <si>
    <t>アルミニウム押出品,大型</t>
  </si>
  <si>
    <t>アルミニウム押出品,小型</t>
  </si>
  <si>
    <t>アルミニウム押出品、リム材</t>
  </si>
  <si>
    <t>電線・ケーブル(光ファイバケーブルを除く), 4桁, 導体重量換算</t>
  </si>
  <si>
    <t>銅被覆線, 導体重量換算</t>
  </si>
  <si>
    <t>巻線, 導体重量換算</t>
  </si>
  <si>
    <t>電力ケーブル, 導体重量換算</t>
  </si>
  <si>
    <t>通信ケーブル, 導体重量換算</t>
  </si>
  <si>
    <t>アルミニウム線(アルミニウム荒引線を除く), 導体重量換算</t>
  </si>
  <si>
    <t>光ファイバケーブル(通信複合ケーブルを含む), 4桁, 芯長さ換算</t>
  </si>
  <si>
    <t>光ファイバコード(心線を含む), 芯長さ換算</t>
  </si>
  <si>
    <t>光ファイバケーブル(複合ケーブルを含む), 芯長さ換算</t>
  </si>
  <si>
    <t>核燃料, 4桁</t>
  </si>
  <si>
    <t>他に分類されない非鉄金属, 4桁</t>
  </si>
  <si>
    <t>金属モリブデン, 粉末</t>
  </si>
  <si>
    <t>金属タングステン, 粉末</t>
  </si>
  <si>
    <t>洋食器, 4桁</t>
  </si>
  <si>
    <t>食卓用ナイフ・フォーク・スプーン(めっき製を含む)</t>
  </si>
  <si>
    <t>利器工匠具・手道具(やすり、のこぎり、食卓用刃物を除く), 4桁</t>
  </si>
  <si>
    <t>つるはし・ハンマ・ショベル・スコップ・バール(園芸用を含む)</t>
  </si>
  <si>
    <t>その他の利器工匠具・手道具</t>
  </si>
  <si>
    <t>手引のこぎり・のこ刃, 4桁</t>
  </si>
  <si>
    <t>農業用器具(農業用機械を除く), 4桁</t>
  </si>
  <si>
    <t>その他の金物類, 4桁</t>
  </si>
  <si>
    <t>配管工事用附属品(バルブ、コックを除く), 4桁</t>
  </si>
  <si>
    <t>その他の暖房・調理装置(電気機械器具、ガス・石油機器を除く), 4桁</t>
  </si>
  <si>
    <t>アルミニウム・同合金プレス製品, 4桁</t>
  </si>
  <si>
    <t>アルミニウム製機械部分品(機械仕上げをしないもの)</t>
  </si>
  <si>
    <t>金属プレス製品(アルミニウム・同合金を除く), 4桁</t>
  </si>
  <si>
    <t>打抜・プレス機械部分品(機械仕上げをしないもの)</t>
  </si>
  <si>
    <t>座金(ワッシャ)</t>
  </si>
  <si>
    <t>他に分類されない金属製品, 4桁</t>
  </si>
  <si>
    <t>金属製パッキン・ガスケット(非金属併用を含む)</t>
  </si>
  <si>
    <t>金属はく, 打はく</t>
  </si>
  <si>
    <t>その他の他に分類されない金属製品</t>
  </si>
  <si>
    <t>梱包資材, スチールバンド等</t>
  </si>
  <si>
    <t>その他の原動機, 4桁</t>
  </si>
  <si>
    <t>金属工作機械用・金属加工機械用部分品・附属品, 4桁</t>
  </si>
  <si>
    <t>治具・金属加工用附属品</t>
  </si>
  <si>
    <t>繊維機械部分品・取付具・附属品, 4桁</t>
  </si>
  <si>
    <t>その他の特殊産業用機械, 4桁</t>
  </si>
  <si>
    <t>単段式うず巻ポンプ, 汎用, 5.5kW</t>
  </si>
  <si>
    <t>遠心送風機, 汎用, 2.2kW</t>
  </si>
  <si>
    <t>動力伝導装置(玉軸受、ころ軸受を除く), 4桁</t>
  </si>
  <si>
    <t>化学機械・同装置, 4桁</t>
  </si>
  <si>
    <t>化学装置用タンク, 従来型</t>
  </si>
  <si>
    <t>化学装置用タンク, 軽量型</t>
  </si>
  <si>
    <t>環境装置(化学的処理を行うもの)</t>
  </si>
  <si>
    <t>その他の一般産業用機械・装置, 4桁</t>
  </si>
  <si>
    <t>重油・ガス燃焼装置(軽油を含む)</t>
  </si>
  <si>
    <t>娯楽機械, 4桁</t>
  </si>
  <si>
    <t>サービス用機械器具, 4桁</t>
  </si>
  <si>
    <t>消火器具・消火装置, 4桁</t>
  </si>
  <si>
    <t>消火器具・消火装置</t>
  </si>
  <si>
    <t>パイプ加工品・パイプ附属品, 4桁</t>
  </si>
  <si>
    <t>切断、屈曲、ねじ切等パイプ加工品(機械用金属製パイプ加工品)</t>
  </si>
  <si>
    <t>その他の金型・同部分品・附属品, 一組あたり</t>
  </si>
  <si>
    <t>他に分類されない各種機械・同部分品, 4桁</t>
  </si>
  <si>
    <t>発電機・電動機・その他の回転電気機械, 4桁</t>
  </si>
  <si>
    <t>内燃機関電装品(ワイヤーハーネスを含む), 4桁</t>
  </si>
  <si>
    <t>その他の産業用電気機械器具(車両用、船舶用を含む), 4桁</t>
  </si>
  <si>
    <t>その他の電子応用装置, 4桁</t>
  </si>
  <si>
    <t>電気計測器, 4桁</t>
  </si>
  <si>
    <t>磁気テープ・磁気ディスク, 4桁</t>
  </si>
  <si>
    <t>ビデオテープ, VHS</t>
  </si>
  <si>
    <t>他に分類されない電気機械器具, 4桁</t>
  </si>
  <si>
    <t>その他の他に分類されない電気機械器具</t>
  </si>
  <si>
    <t>有線通信機械器具, 4桁</t>
  </si>
  <si>
    <t>高速(超高速を含む)ファクシミリ</t>
  </si>
  <si>
    <t>ファクシミリ(高速を除く)</t>
  </si>
  <si>
    <t>その他の電信・画像(有線)装置</t>
  </si>
  <si>
    <t>携帯用通信装置(可搬用を含む)</t>
  </si>
  <si>
    <t>交通信号保安装置, 4桁</t>
  </si>
  <si>
    <t>その他の通信機械器具・同関連機械器具, 4桁</t>
  </si>
  <si>
    <t>その他の附属装置, 4桁</t>
  </si>
  <si>
    <t>コンデンサ(固定コンデンサを除く)</t>
  </si>
  <si>
    <t>スイッチング電源・高周波組立部品・コントロールユニット, 4桁</t>
  </si>
  <si>
    <t>プリント回路, 4桁</t>
  </si>
  <si>
    <t>プリント回路板, ノートPC用</t>
  </si>
  <si>
    <t>他に分類されない電子部品, 4桁</t>
  </si>
  <si>
    <t>等方性Ba-フェライト磁石, 乾式法</t>
  </si>
  <si>
    <t>自動車部分品・附属品, 4桁</t>
  </si>
  <si>
    <t>KDセット(乗用車、バス、トラック)</t>
  </si>
  <si>
    <t>KDセット(二輪自動車)</t>
  </si>
  <si>
    <t>鉄道車両用部分品, 4桁</t>
  </si>
  <si>
    <t>船舶（修理した船舶を含む）, 4桁</t>
  </si>
  <si>
    <t>軍艦, 新造, 一隻あたり</t>
  </si>
  <si>
    <t>鋼製無動力船, 新造, 一隻あたり</t>
  </si>
  <si>
    <t>鋼製動力船, 新造, 20総ｔ未満, 一隻あたり</t>
  </si>
  <si>
    <t>木造船舶, 新造・改造・修理, 20総ｔ以上</t>
  </si>
  <si>
    <t>船体ブロック, 4桁</t>
  </si>
  <si>
    <t>舟艇,新造・改造・修理, 4桁, 一隻あたり</t>
  </si>
  <si>
    <t>木製・金属製舟艇(鋼船を除く), 新造, 一隻あたり</t>
  </si>
  <si>
    <t>プラスチック製舟艇, 新造, 一隻あたり</t>
  </si>
  <si>
    <t>舶用機関, 4桁</t>
  </si>
  <si>
    <t>その他の航空機部分品・補助装置, 4桁</t>
  </si>
  <si>
    <t>その他の産業用運搬車両・同部分品・附属品, 4桁</t>
  </si>
  <si>
    <t>自転車・同部分品, 4桁</t>
  </si>
  <si>
    <t>他に分類されない輸送用機械器具, 4桁</t>
  </si>
  <si>
    <t>一般長さ計, 4桁</t>
  </si>
  <si>
    <t>はかり, 4桁</t>
  </si>
  <si>
    <t>圧力計・流量計・液面計等, 4桁</t>
  </si>
  <si>
    <t>液面計(レベル計)</t>
  </si>
  <si>
    <t>その他の計量器・測定器・分析機器・試験機, 4桁</t>
  </si>
  <si>
    <t>温度計(ガラス製に限る)</t>
  </si>
  <si>
    <t>測量機械器具, 4桁</t>
  </si>
  <si>
    <t>ジャイロ計器・磁気コンパス</t>
  </si>
  <si>
    <t>医療用機械器具, 4桁</t>
  </si>
  <si>
    <t>医療用機械器具・同装置</t>
  </si>
  <si>
    <t>病院用器具・同装置</t>
  </si>
  <si>
    <t>歯科用機械器具, 4桁</t>
  </si>
  <si>
    <t>動物用医療機械器具, 4桁</t>
  </si>
  <si>
    <t>医療用品, 4桁</t>
  </si>
  <si>
    <t>歯科材料, 4桁</t>
  </si>
  <si>
    <t>理化学機械器具, 4桁</t>
  </si>
  <si>
    <t>顕微鏡・望遠鏡等, 4桁</t>
  </si>
  <si>
    <t>映画用機械器具, 4桁</t>
  </si>
  <si>
    <t>光学機械用レンズ・プリズム, 4桁</t>
  </si>
  <si>
    <t>眼鏡(枠を含む), 4桁</t>
  </si>
  <si>
    <t>眼鏡レンズ(コンタクトレンズを含む)</t>
  </si>
  <si>
    <t>時計側, 4桁</t>
  </si>
  <si>
    <t>貴金属・宝石製装身具(ジュエリー)製品, 4桁</t>
  </si>
  <si>
    <t>貴金属製装身具(宝石、象牙、亀甲を含む)</t>
  </si>
  <si>
    <t>天然・養殖真珠装身具(購入真珠によるもの)</t>
  </si>
  <si>
    <t>貴金属・宝石製装身具附属品、同材料加工品、同細工品, 4桁</t>
  </si>
  <si>
    <t>その他の貴金属・宝石製品(装身具を除く), 4桁</t>
  </si>
  <si>
    <t>その他の貴金属・宝石製品(装身具を除く)</t>
  </si>
  <si>
    <t>かるた・すごろく・トランプ・花札・囲碁・将棋・チェス・麻雀ぱい・ゲーム盤等</t>
  </si>
  <si>
    <t>人形, 4桁</t>
  </si>
  <si>
    <t>児童乗物（部分品・附属品を含む）, 4桁</t>
  </si>
  <si>
    <t>児童乗物（部分品・附属品を含む）</t>
  </si>
  <si>
    <t>運動用具, 4桁</t>
  </si>
  <si>
    <t>毛筆・絵画用品(鉛筆を除く), 4桁</t>
  </si>
  <si>
    <t>毛筆・絵画用品(鉛筆を除く)</t>
  </si>
  <si>
    <t>他に分類されない事務用品, 4桁</t>
  </si>
  <si>
    <t>装身具・装飾品(貴金属・宝石製を除く), 4桁</t>
  </si>
  <si>
    <t>装身具・装飾品(貴金属・宝石製を除く)</t>
  </si>
  <si>
    <t>造花・装飾用羽毛, 4桁</t>
  </si>
  <si>
    <t>造花・装飾用羽毛</t>
  </si>
  <si>
    <t>ボタン, 4桁</t>
  </si>
  <si>
    <t>針・ピン・ホック・スナップ・同関連品, 4桁</t>
  </si>
  <si>
    <t>その他の装身具・装飾品, 4桁</t>
  </si>
  <si>
    <t>かつら、かもじ(人形の髪を含む)</t>
  </si>
  <si>
    <t>漆器, 4桁</t>
  </si>
  <si>
    <t>麦わら・パナマ類帽子・わら工品, 4桁</t>
  </si>
  <si>
    <t>畳, 4桁, 一畳あたり</t>
  </si>
  <si>
    <t>畳, 一畳あたり</t>
  </si>
  <si>
    <t>うちわ・扇子・ちょうちん, 4桁</t>
  </si>
  <si>
    <t>ほうき・ブラシ, 4桁</t>
  </si>
  <si>
    <t>マッチ(軸木・箱を含む), 4桁</t>
  </si>
  <si>
    <t>マッチ(軸木・箱を含む)</t>
  </si>
  <si>
    <t>喫煙用具, 4桁</t>
  </si>
  <si>
    <t>喫煙用具</t>
  </si>
  <si>
    <t>魔法瓶, 4桁</t>
  </si>
  <si>
    <t>武器, 4桁</t>
  </si>
  <si>
    <t>煙火(がん具を含む), 4桁</t>
  </si>
  <si>
    <t>煙火(がん具を含む)</t>
  </si>
  <si>
    <t>看板・標識等, 4桁</t>
  </si>
  <si>
    <t>パレット, 4桁</t>
  </si>
  <si>
    <t>パレット</t>
  </si>
  <si>
    <t>モデル・模型, 4桁</t>
  </si>
  <si>
    <t>モデル・模型</t>
  </si>
  <si>
    <t>工業用模型(木型を含む), 4桁</t>
  </si>
  <si>
    <t>工業用模型(木型を含む)</t>
  </si>
  <si>
    <t>情報記録物(新聞、書籍等の印刷物を除く), 4桁</t>
  </si>
  <si>
    <t>情報記録物(新聞、書籍等の印刷物を除く)</t>
  </si>
  <si>
    <t>他に分類されないその他の製品, 4桁</t>
  </si>
  <si>
    <t>階段ユニット, 木製</t>
  </si>
  <si>
    <t>電力, 一般電気事業者10社平均, 2004年度</t>
  </si>
  <si>
    <t>電力, 一般電気事業者10社平均, 2005年度</t>
  </si>
  <si>
    <t>電力, 一般電気事業者10社平均, 2006年度</t>
  </si>
  <si>
    <t>電力, 一般電気事業者10社平均, 2007年度</t>
  </si>
  <si>
    <t>電力, 一般電気事業者10社平均, 2008年度</t>
  </si>
  <si>
    <t>電力, 一般電気事業者10社平均, 2009年度</t>
  </si>
  <si>
    <t>電力, 一般電気事業者10社平均, 2010年度</t>
  </si>
  <si>
    <t>電力, 一般電気事業者10社平均, 2013年度</t>
  </si>
  <si>
    <t>電力, 一般電気事業者10社平均, 2014年度</t>
  </si>
  <si>
    <t>電力, 北海道電力, 2004年度</t>
  </si>
  <si>
    <t>電力, 北海道電力, 2005年度</t>
  </si>
  <si>
    <t>電力, 北海道電力, 2006年度</t>
  </si>
  <si>
    <t>電力, 北海道電力, 2007年度</t>
  </si>
  <si>
    <t>電力, 北海道電力, 2008年度</t>
  </si>
  <si>
    <t>電力, 北海道電力, 2009年度</t>
  </si>
  <si>
    <t>電力, 北海道電力, 2010年度</t>
  </si>
  <si>
    <t>電力, 北海道電力, 2011年度</t>
  </si>
  <si>
    <t>電力, 北海道電力, 2012年度</t>
  </si>
  <si>
    <t>電力, 北海道電力, 2013年度</t>
  </si>
  <si>
    <t>電力, 北海道電力, 2014年度</t>
  </si>
  <si>
    <t>電力, 東北電力, 2004年度</t>
  </si>
  <si>
    <t>電力, 東北電力, 2005年度</t>
  </si>
  <si>
    <t>電力, 東北電力, 2006年度</t>
  </si>
  <si>
    <t>電力, 東北電力, 2007年度</t>
  </si>
  <si>
    <t>電力, 東北電力, 2008年度</t>
  </si>
  <si>
    <t>電力, 東北電力, 2009年度</t>
  </si>
  <si>
    <t>電力, 東北電力, 2010年度</t>
  </si>
  <si>
    <t>電力, 東北電力, 2011年度</t>
  </si>
  <si>
    <t>電力, 東北電力, 2012年度</t>
  </si>
  <si>
    <t>電力, 東北電力, 2013年度</t>
  </si>
  <si>
    <t>電力, 東北電力, 2014年度</t>
  </si>
  <si>
    <t>電力, 東京電力, 2004年度</t>
  </si>
  <si>
    <t>電力, 東京電力, 2005年度</t>
  </si>
  <si>
    <t>電力, 東京電力, 2006年度</t>
  </si>
  <si>
    <t>電力, 東京電力, 2007年度</t>
  </si>
  <si>
    <t>電力, 東京電力, 2008年度</t>
  </si>
  <si>
    <t>電力, 東京電力, 2009年度</t>
  </si>
  <si>
    <t>電力, 東京電力, 2010年度</t>
  </si>
  <si>
    <t>電力, 東京電力, 2011年度</t>
  </si>
  <si>
    <t>電力, 東京電力, 2012年度</t>
  </si>
  <si>
    <t>電力, 東京電力, 2013年度</t>
  </si>
  <si>
    <t>電力, 東京電力, 2014年度</t>
  </si>
  <si>
    <t>電力, 中部電力, 2004年度</t>
  </si>
  <si>
    <t>電力, 中部電力, 2005年度</t>
  </si>
  <si>
    <t>電力, 中部電力, 2006年度</t>
  </si>
  <si>
    <t>電力, 中部電力, 2007年度</t>
  </si>
  <si>
    <t>電力, 中部電力, 2008年度</t>
  </si>
  <si>
    <t>電力, 中部電力, 2009年度</t>
  </si>
  <si>
    <t>電力, 中部電力, 2010年度</t>
  </si>
  <si>
    <t>電力, 中部電力, 2011年度</t>
  </si>
  <si>
    <t>電力, 中部電力, 2012年度</t>
  </si>
  <si>
    <t>電力, 中部電力, 2013年度</t>
  </si>
  <si>
    <t>電力, 中部電力, 2014年度</t>
  </si>
  <si>
    <t>電力, 北陸電力, 2004年度</t>
  </si>
  <si>
    <t>電力, 北陸電力, 2005年度</t>
  </si>
  <si>
    <t>電力, 北陸電力, 2006年度</t>
  </si>
  <si>
    <t>電力, 北陸電力, 2007年度</t>
  </si>
  <si>
    <t>電力, 北陸電力, 2008年度</t>
  </si>
  <si>
    <t>電力, 北陸電力, 2009年度</t>
  </si>
  <si>
    <t>電力, 北陸電力, 2010年度</t>
  </si>
  <si>
    <t>電力, 北陸電力, 2011年度</t>
  </si>
  <si>
    <t>電力, 北陸電力, 2012年度</t>
  </si>
  <si>
    <t>電力, 北陸電力, 2013年度</t>
  </si>
  <si>
    <t>電力, 北陸電力, 2014年度</t>
  </si>
  <si>
    <t>電力, 関西電力, 2004年度</t>
  </si>
  <si>
    <t>電力, 関西電力, 2005年度</t>
  </si>
  <si>
    <t>電力, 関西電力, 2006年度</t>
  </si>
  <si>
    <t>電力, 関西電力, 2007年度</t>
  </si>
  <si>
    <t>電力, 関西電力, 2008年度</t>
  </si>
  <si>
    <t>電力, 関西電力, 2009年度</t>
  </si>
  <si>
    <t>電力, 関西電力, 2010年度</t>
  </si>
  <si>
    <t>電力, 関西電力, 2011年度</t>
  </si>
  <si>
    <t>電力, 関西電力, 2012年度</t>
  </si>
  <si>
    <t>電力, 関西電力, 2013年度</t>
  </si>
  <si>
    <t>電力, 関西電力, 2014年度</t>
  </si>
  <si>
    <t>電力, 中国電力, 2004年度</t>
  </si>
  <si>
    <t>電力, 中国電力, 2005年度</t>
  </si>
  <si>
    <t>電力, 中国電力, 2006年度</t>
  </si>
  <si>
    <t>電力, 中国電力, 2007年度</t>
  </si>
  <si>
    <t>電力, 中国電力, 2008年度</t>
  </si>
  <si>
    <t>電力, 中国電力, 2009年度</t>
  </si>
  <si>
    <t>電力, 中国電力, 2010年度</t>
  </si>
  <si>
    <t>電力, 中国電力, 2011年度</t>
  </si>
  <si>
    <t>電力, 中国電力, 2012年度</t>
  </si>
  <si>
    <t>電力, 中国電力, 2013年度</t>
  </si>
  <si>
    <t>電力, 中国電力, 2014年度</t>
  </si>
  <si>
    <t>電力, 四国電力, 2004年度</t>
  </si>
  <si>
    <t>電力, 四国電力, 2005年度</t>
  </si>
  <si>
    <t>電力, 四国電力, 2006年度</t>
  </si>
  <si>
    <t>電力, 四国電力, 2007年度</t>
  </si>
  <si>
    <t>電力, 四国電力, 2008年度</t>
  </si>
  <si>
    <t>電力, 四国電力, 2009年度</t>
  </si>
  <si>
    <t>電力, 四国電力, 2010年度</t>
  </si>
  <si>
    <t>電力, 四国電力, 2011年度</t>
  </si>
  <si>
    <t>電力, 四国電力, 2012年度</t>
  </si>
  <si>
    <t>電力, 四国電力, 2013年度</t>
  </si>
  <si>
    <t>電力, 四国電力, 2014年度</t>
  </si>
  <si>
    <t>電力, 九州電力, 2004年度</t>
  </si>
  <si>
    <t>電力, 九州電力, 2005年度</t>
  </si>
  <si>
    <t>電力, 九州電力, 2006年度</t>
  </si>
  <si>
    <t>電力, 九州電力, 2007年度</t>
  </si>
  <si>
    <t>電力, 九州電力, 2008年度</t>
  </si>
  <si>
    <t>電力, 九州電力, 2009年度</t>
  </si>
  <si>
    <t>電力, 九州電力, 2010年度</t>
  </si>
  <si>
    <t>電力, 九州電力, 2011年度</t>
  </si>
  <si>
    <t>電力, 九州電力, 2012年度</t>
  </si>
  <si>
    <t>電力, 九州電力, 2013年度</t>
  </si>
  <si>
    <t>電力, 九州電力, 2014年度</t>
  </si>
  <si>
    <t>電力, 沖縄電力, 2004年度</t>
  </si>
  <si>
    <t>電力, 沖縄電力, 2005年度</t>
  </si>
  <si>
    <t>電力, 沖縄電力, 2006年度</t>
  </si>
  <si>
    <t>電力, 沖縄電力, 2007年度</t>
  </si>
  <si>
    <t>電力, 沖縄電力, 2008年度</t>
  </si>
  <si>
    <t>電力, 沖縄電力, 2009年度</t>
  </si>
  <si>
    <t>電力, 沖縄電力, 2010年度</t>
  </si>
  <si>
    <t>電力, 沖縄電力, 2011年度</t>
  </si>
  <si>
    <t>電力, 沖縄電力, 2012年度</t>
  </si>
  <si>
    <t>電力, 沖縄電力, 2013年度</t>
  </si>
  <si>
    <t>電力, 沖縄電力, 2014年度</t>
  </si>
  <si>
    <t>公共電力, アルバニア, IEA, 2011</t>
  </si>
  <si>
    <t>公共電力, アルジェリア, IEA, 2011</t>
  </si>
  <si>
    <t>公共電力, アンゴラ, IEA, 2011</t>
  </si>
  <si>
    <t>公共電力, アルゼンチン, IEA, 2011</t>
  </si>
  <si>
    <t>公共電力, アルメニア, IEA, 2011</t>
  </si>
  <si>
    <t>公共電力, オーストラリア, IEA, 2011</t>
  </si>
  <si>
    <t>公共電力, オーストリア, IEA, 2011</t>
  </si>
  <si>
    <t>公共電力, アゼルバイジャン, IEA, 2011</t>
  </si>
  <si>
    <t>公共電力, バーレーン, IEA, 2011</t>
  </si>
  <si>
    <t>公共電力, バングラディシュ, IEA, 2011</t>
  </si>
  <si>
    <t>公共電力, ベラルーシ, IEA, 2011</t>
  </si>
  <si>
    <t>公共電力, ベルギー, IEA, 2011</t>
  </si>
  <si>
    <t>公共電力, ベナン, IEA, 2011</t>
  </si>
  <si>
    <t>公共電力, ボリビア, IEA, 2011</t>
  </si>
  <si>
    <t>公共電力, ボスニアヘルツェゴビナ, IEA, 2011発電</t>
  </si>
  <si>
    <t>公共電力, ボツワナ, IEA, 2011</t>
  </si>
  <si>
    <t>公共電力, ブラジル, IEA, 2011</t>
  </si>
  <si>
    <t>公共電力, ブルネイ, IEA, 2011</t>
  </si>
  <si>
    <t>公共電力, ブルガリア, IEA, 2011</t>
  </si>
  <si>
    <t>公共電力, カンボジア, IEA, 2011</t>
  </si>
  <si>
    <t>公共電力, カメルーン, IEA, 2011</t>
  </si>
  <si>
    <t>公共電力, カナダ, IEA, 2011</t>
  </si>
  <si>
    <t>公共電力, チリ, IEA, 2011</t>
  </si>
  <si>
    <t>公共電力, コロンビア, IEA, 2011</t>
  </si>
  <si>
    <t>公共電力, コンゴ共和国, IEA, 2011</t>
  </si>
  <si>
    <t>公共電力, コスタリカ, IEA, 2011</t>
  </si>
  <si>
    <t>公共電力, コートジボワール, IEA, 2011</t>
  </si>
  <si>
    <t>公共電力, クロアチア, IEA, 2011</t>
  </si>
  <si>
    <t>公共電力, キューバ, IEA, 2011</t>
  </si>
  <si>
    <t>公共電力, キプロス, IEA, 2011</t>
  </si>
  <si>
    <t>公共電力, チェコ, IEA, 2011</t>
  </si>
  <si>
    <t>公共電力, デンマーク, IEA, 2011</t>
  </si>
  <si>
    <t>公共電力, ドミニカ, IEA, 2011</t>
  </si>
  <si>
    <t>公共電力, 北朝鮮, IEA, 2011</t>
  </si>
  <si>
    <t>公共電力, コンゴ民主共和国, IEA, 2011</t>
  </si>
  <si>
    <t>公共電力, エクアドル, IEA, 2011</t>
  </si>
  <si>
    <t>公共電力, エジプト, IEA, 2011</t>
  </si>
  <si>
    <t>公共電力, エルサルバドル, IEA, 2011</t>
  </si>
  <si>
    <t>公共電力, エリトリア, IEA, 2011</t>
  </si>
  <si>
    <t>公共電力, エストニア, IEA, 2011</t>
  </si>
  <si>
    <t>公共電力, エチオピア, IEA, 2011</t>
  </si>
  <si>
    <t>公共電力, マケドニア, IEA, 2011</t>
  </si>
  <si>
    <t>公共電力, フィンランド, IEA, 2011</t>
  </si>
  <si>
    <t>公共電力, フランス, IEA, 2011</t>
  </si>
  <si>
    <t>公共電力, ガボン, IEA, 2011</t>
  </si>
  <si>
    <t>公共電力, グルジア, IEA, 2011</t>
  </si>
  <si>
    <t>公共電力, ドイツ, IEA, 2011</t>
  </si>
  <si>
    <t>公共電力, ガーナ, IEA, 2011</t>
  </si>
  <si>
    <t>公共電力, ジブラルタル, IEA, 2011</t>
  </si>
  <si>
    <t>公共電力, ギリシャ, IEA, 2011</t>
  </si>
  <si>
    <t>公共電力, グアテマラ, IEA, 2011</t>
  </si>
  <si>
    <t>公共電力, ハイチ, IEA, 2011</t>
  </si>
  <si>
    <t>公共電力, ホンジュラス, IEA, 2011</t>
  </si>
  <si>
    <t>公共電力, 香港, IEA, 2011</t>
  </si>
  <si>
    <t>公共電力, ハンガリー, IEA, 2011</t>
  </si>
  <si>
    <t>公共電力, アイスランド, IEA, 2011</t>
  </si>
  <si>
    <t>公共電力, インド, IEA, 2011</t>
  </si>
  <si>
    <t>公共電力, イラン, IEA, 2011</t>
  </si>
  <si>
    <t>公共電力, イラク, IEA, 2011</t>
  </si>
  <si>
    <t>公共電力, アイルランド, IEA, 2011</t>
  </si>
  <si>
    <t>公共電力, イスラエル, IEA, 2011</t>
  </si>
  <si>
    <t>公共電力, イタリア, IEA, 2011</t>
  </si>
  <si>
    <t>公共電力, ジャマイカ, IEA, 2011</t>
  </si>
  <si>
    <t>公共電力, 日本, IEA, 2011</t>
  </si>
  <si>
    <t>公共電力, ヨルダン, IEA, 2011</t>
  </si>
  <si>
    <t>公共電力, カザフスタン, IEA, 2011</t>
  </si>
  <si>
    <t>公共電力, ケニア, IEA, 2011</t>
  </si>
  <si>
    <t>公共電力, コソボ, IEA, 2011</t>
  </si>
  <si>
    <t>公共電力, クウェート, IEA, 2011</t>
  </si>
  <si>
    <t>公共電力, キルギスタン, IEA, 2011</t>
  </si>
  <si>
    <t>公共電力, ラトビア, IEA, 2011</t>
  </si>
  <si>
    <t>公共電力, レバノン, IEA, 2011</t>
  </si>
  <si>
    <t>公共電力, リビア, IEA, 2011</t>
  </si>
  <si>
    <t>公共電力, リトアニア, IEA, 2011</t>
  </si>
  <si>
    <t>公共電力, ルクセンブルク, IEA, 2011</t>
  </si>
  <si>
    <t>公共電力, マルタ, IEA, 2011</t>
  </si>
  <si>
    <t>公共電力, メキシコ, IEA, 2011</t>
  </si>
  <si>
    <t>公共電力, モンゴル, IEA, 2011</t>
  </si>
  <si>
    <t>公共電力, モンテネグロ, IEA, 2011</t>
  </si>
  <si>
    <t>公共電力, モロッコ, IEA, 2011</t>
  </si>
  <si>
    <t>公共電力, モザンビーク, IEA, 2011</t>
  </si>
  <si>
    <t>公共電力, ミヤンマー, IEA, 2011</t>
  </si>
  <si>
    <t>公共電力, アンティル, IEA, 2011</t>
  </si>
  <si>
    <t>公共電力, ナミビア, IEA, 2011</t>
  </si>
  <si>
    <t>公共電力, ネパール, IEA, 2011</t>
  </si>
  <si>
    <t>公共電力, オランダ, IEA, 2011</t>
  </si>
  <si>
    <t>公共電力, ニュージーランド, IEA, 2011</t>
  </si>
  <si>
    <t>公共電力, ニカラグア, IEA, 2011</t>
  </si>
  <si>
    <t>公共電力, ナイジェリア, IEA, 2011</t>
  </si>
  <si>
    <t>公共電力, ノルウェー, IEA, 2011</t>
  </si>
  <si>
    <t>公共電力, オマーン, IEA, 2011</t>
  </si>
  <si>
    <t>公共電力, 他のアフリカ, IEA, 2011</t>
  </si>
  <si>
    <t>公共電力, 他のアジアの国, IEA, 2011</t>
  </si>
  <si>
    <t>公共電力, 他のOECD以外のアメリカ大陸の国, IEA, 2011</t>
  </si>
  <si>
    <t>公共電力, パキスタン, IEA, 2011</t>
  </si>
  <si>
    <t>公共電力, パナマ, IEA, 2011</t>
  </si>
  <si>
    <t>公共電力, パラグアイ, IEA, 2011</t>
  </si>
  <si>
    <t>公共電力, ペルー, IEA, 2011</t>
  </si>
  <si>
    <t>公共電力, ポーランド, IEA, 2011</t>
  </si>
  <si>
    <t>公共電力, ポルトガル, IEA, 2011</t>
  </si>
  <si>
    <t>公共電力, カタール, IEA, 2011</t>
  </si>
  <si>
    <t>公共電力, モルドバ, IEA, 2011</t>
  </si>
  <si>
    <t>公共電力, ルーマニア, IEA, 2011</t>
  </si>
  <si>
    <t>公共電力, ロシア, IEA, 2011</t>
  </si>
  <si>
    <t>公共電力, サウジアラビア, IEA, 2011</t>
  </si>
  <si>
    <t>公共電力, セネガル, IEA, 2011</t>
  </si>
  <si>
    <t>公共電力, セルビア, IEA, 2011</t>
  </si>
  <si>
    <t>公共電力, シンガポール, IEA, 2011</t>
  </si>
  <si>
    <t>公共電力, スロバキア, IEA, 2011</t>
  </si>
  <si>
    <t>公共電力, スロベニア, IEA, 2011</t>
  </si>
  <si>
    <t>公共電力, 南アフリカ, IEA, 2011</t>
  </si>
  <si>
    <t>公共電力, スペイン, IEA, 2011</t>
  </si>
  <si>
    <t>公共電力, スリランカ, IEA, 2011</t>
  </si>
  <si>
    <t>公共電力, スーダン, IEA, 2011</t>
  </si>
  <si>
    <t>公共電力, スウェーデン, IEA, 2011</t>
  </si>
  <si>
    <t>公共電力, スイス, IEA, 2011</t>
  </si>
  <si>
    <t>公共電力, シリア, IEA, 2011</t>
  </si>
  <si>
    <t>公共電力, タジキスタン, IEA, 2011</t>
  </si>
  <si>
    <t>公共電力, トルコ, IEA, 2011</t>
  </si>
  <si>
    <t>公共電力, トーゴ, IEA, 2011</t>
  </si>
  <si>
    <t>公共電力, トリニダードトバゴ, IEA, 2011</t>
  </si>
  <si>
    <t>公共電力, チュニジア, IEA, 2011</t>
  </si>
  <si>
    <t>公共電力, トルクメニスタン, IEA, 2011</t>
  </si>
  <si>
    <t>公共電力, アラブ首長国連邦, IEA, 2011</t>
  </si>
  <si>
    <t>公共電力, ウクライナ, IEA, 2011</t>
  </si>
  <si>
    <t>公共電力, イギリス, IEA, 2011</t>
  </si>
  <si>
    <t>公共電力, アメリカ, IEA, 2011</t>
  </si>
  <si>
    <t>公共電力, タンザニア, IEA, 2011</t>
  </si>
  <si>
    <t>公共電力, ウルグアイ, IEA, 2011</t>
  </si>
  <si>
    <t>公共電力, ウズベキスタン, IEA, 2011</t>
  </si>
  <si>
    <t>公共電力, ベネズエラ, IEA, 2011</t>
  </si>
  <si>
    <t>公共電力, イエメン, IEA, 2011</t>
  </si>
  <si>
    <t>公共電力, ザンビア, IEA, 2011</t>
  </si>
  <si>
    <t>公共電力, ジンバブエ, IEA, 2011</t>
  </si>
  <si>
    <t>公共電力, ASEAN平均（ラオスを除く）</t>
  </si>
  <si>
    <t>発電用エネルギー, COG火力, 日本</t>
  </si>
  <si>
    <t>発電用エネルギー, LPG火力, 日本</t>
  </si>
  <si>
    <t>発電用エネルギー, 軽油火力, 日本</t>
  </si>
  <si>
    <t>発電用エネルギー, 原油火力, 日本</t>
  </si>
  <si>
    <t>発電用エネルギー, 原子力, 日本</t>
  </si>
  <si>
    <t>発電用エネルギー, 地熱, 日本</t>
  </si>
  <si>
    <t>発電用エネルギー, 太陽光, 日本</t>
  </si>
  <si>
    <t>発電用エネルギー, 風力, 日本</t>
  </si>
  <si>
    <t>回収電力</t>
  </si>
  <si>
    <t>発電用エネルギー, 無煙炭火力, 海外</t>
  </si>
  <si>
    <t>発電用エネルギー, 瀝青炭火力, 海外</t>
  </si>
  <si>
    <t>発電用エネルギー, 亜瀝青炭火力, 海外</t>
  </si>
  <si>
    <t>発電用エネルギー, 亜炭火力, 海外</t>
  </si>
  <si>
    <t>発電用エネルギー, 原油火力, 海外</t>
  </si>
  <si>
    <t>発電用エネルギー, 天然ガス火力, 海外</t>
  </si>
  <si>
    <t>発電用エネルギー, ガソリン火力, 海外</t>
  </si>
  <si>
    <t>発電用エネルギー, ナフサ火力, 海外</t>
  </si>
  <si>
    <t>発電用エネルギー, 灯油火力, 海外</t>
  </si>
  <si>
    <t>発電用エネルギー, 軽油火力, 海外</t>
  </si>
  <si>
    <t>発電用エネルギー, 重油火力, 海外</t>
  </si>
  <si>
    <t>発電用エネルギー, 液化石油ガス火力, 海外</t>
  </si>
  <si>
    <t>発電用エネルギー, コークス火力, 海外</t>
  </si>
  <si>
    <t>発電用エネルギー, コークス炉ガス火力, 海外</t>
  </si>
  <si>
    <t>都市ガス, 4桁</t>
  </si>
  <si>
    <t>都市ガス, 2010年度日本平均</t>
  </si>
  <si>
    <t>熱, 4桁</t>
  </si>
  <si>
    <t>蒸気, 地域熱供給</t>
  </si>
  <si>
    <t>再生油, 入力, リマインダーフロー</t>
  </si>
  <si>
    <t>処分土量, 出力, リマインダーフロー</t>
  </si>
  <si>
    <t>農業用水, 4桁</t>
  </si>
  <si>
    <t>養殖用水, 4桁</t>
  </si>
  <si>
    <t>鉄道輸送, 旅客のサービス, 4桁</t>
  </si>
  <si>
    <t>鉄道輸送, 旅客のサービス</t>
  </si>
  <si>
    <t>鉄道輸送, 貨物のサービス, 4桁</t>
  </si>
  <si>
    <t>鉄道輸送, 貨物のサービス</t>
  </si>
  <si>
    <t>バス輸送のサービス, 4桁</t>
  </si>
  <si>
    <t>乗合バス輸送のサービス</t>
  </si>
  <si>
    <t>貸切バス輸送のサービス</t>
  </si>
  <si>
    <t>バス輸送, 自家用バスのサービス</t>
  </si>
  <si>
    <t>乗用車輸送, 営業用のサービス, 4桁</t>
  </si>
  <si>
    <t>営業用乗用車輸送のサービス</t>
  </si>
  <si>
    <t>乗用車輸送, 自家用のサービス, 4桁</t>
  </si>
  <si>
    <t>乗用車輸送(自家用乗用車, 軽自動車を除く)のサービス</t>
  </si>
  <si>
    <t>乗用車輸送, 自家用軽自動車のサービス</t>
  </si>
  <si>
    <t>貨物自動車輸送, 営業用のサービス, 4桁</t>
  </si>
  <si>
    <t>トラック輸送, 1.5トン冷凍車のサービス</t>
  </si>
  <si>
    <t>トラック輸送, 4トン冷凍車のサービス</t>
  </si>
  <si>
    <t>トラック輸送, 15トン冷凍車のサービス</t>
  </si>
  <si>
    <t>普通車輸送, 営業用のサービス</t>
  </si>
  <si>
    <t>トラック輸送, 1.5トン車, 積載率100%のサービス</t>
  </si>
  <si>
    <t>トラック輸送, 1.5トン車, 積載率75%のサービス</t>
  </si>
  <si>
    <t>トラック輸送, 1.5トン車, 積載率50%のサービス</t>
  </si>
  <si>
    <t>トラック輸送, 1.5トン車, 積載率_Defaultのサービス</t>
  </si>
  <si>
    <t>トラック輸送, 1.5トン車, 積載率25%のサービス</t>
  </si>
  <si>
    <t>トラック輸送, 1.5トン車, 積載率10%のサービス</t>
  </si>
  <si>
    <t>トラック輸送, 1.5トン車, 積載率0%のサービス</t>
  </si>
  <si>
    <t>トラック輸送, 2トン車, 積載率100%のサービス</t>
  </si>
  <si>
    <t>トラック輸送, 2トン車, 積載率75%のサービス</t>
  </si>
  <si>
    <t>トラック輸送, 2トン車, 積載率50%のサービス</t>
  </si>
  <si>
    <t>トラック輸送, 2トン車, 積載率_Defaultのサービス</t>
  </si>
  <si>
    <t>トラック輸送, 2トン車, 積載率25%のサービス</t>
  </si>
  <si>
    <t>トラック輸送, 2トン車, 積載率10%のサービス</t>
  </si>
  <si>
    <t>トラック輸送, 2トン車, 積載率0%のサービス</t>
  </si>
  <si>
    <t>トラック輸送, 4トン車, 積載率100%のサービス</t>
  </si>
  <si>
    <t>トラック輸送, 4トン車, 積載率75%のサービス</t>
  </si>
  <si>
    <t>トラック輸送, 4トン車, 積載率50%のサービス</t>
  </si>
  <si>
    <t>トラック輸送, 4トン車, 積載率_Defaultのサービス</t>
  </si>
  <si>
    <t>トラック輸送, 4トン車, 積載率25%のサービス</t>
  </si>
  <si>
    <t>トラック輸送, 4トン車, 積載率10%のサービス</t>
  </si>
  <si>
    <t>トラック輸送, 4トン車, 積載率0%のサービス</t>
  </si>
  <si>
    <t>トラック輸送, 10トン車, 積載率100%のサービス</t>
  </si>
  <si>
    <t>トラック輸送, 10トン車, 積載率75%のサービス</t>
  </si>
  <si>
    <t>トラック輸送, 10トン車, 積載率50%のサービス</t>
  </si>
  <si>
    <t>トラック輸送, 10トン車, 積載率_Defaultのサービス</t>
  </si>
  <si>
    <t>トラック輸送, 10トン車, 積載率25%のサービス</t>
  </si>
  <si>
    <t>トラック輸送, 10トン車, 積載率10%のサービス</t>
  </si>
  <si>
    <t>トラック輸送, 10トン車, 積載率0%のサービス</t>
  </si>
  <si>
    <t>トラック輸送, 15トン車, 積載率100%のサービス</t>
  </si>
  <si>
    <t>トラック輸送, 15トン車, 積載率75%のサービス</t>
  </si>
  <si>
    <t>トラック輸送, 15トン車, 積載率50%のサービス</t>
  </si>
  <si>
    <t>トラック輸送, 15トン車, 積載率_Defaultのサービス</t>
  </si>
  <si>
    <t>トラック輸送, 15トン車, 積載率25%のサービス</t>
  </si>
  <si>
    <t>トラック輸送, 15トン車, 積載率10%のサービス</t>
  </si>
  <si>
    <t>トラック輸送, 15トン車, 積載率0%のサービス</t>
  </si>
  <si>
    <t>トラック輸送, 20トン車, 積載率100%のサービス</t>
  </si>
  <si>
    <t>トラック輸送, 20トン車, 積載率75%のサービス</t>
  </si>
  <si>
    <t>トラック輸送, 20トン車, 積載率50%のサービス</t>
  </si>
  <si>
    <t>トラック輸送, 20トン車, 積載率_Defaultのサービス</t>
  </si>
  <si>
    <t>トラック輸送, 20トン車, 積載率25%のサービス</t>
  </si>
  <si>
    <t>トラック輸送, 20トン車, 積載率10%のサービス</t>
  </si>
  <si>
    <t>トラック輸送, 20トン車, 積載率0%のサービス</t>
  </si>
  <si>
    <t>小型車輸送, 営業用のサービス</t>
  </si>
  <si>
    <t>トラック輸送, ライトバン, 積載率100%のサービス</t>
  </si>
  <si>
    <t>トラック輸送, ライトバン, 積載率75%のサービス</t>
  </si>
  <si>
    <t>トラック輸送, ライトバン, 積載率50%のサービス</t>
  </si>
  <si>
    <t>トラック輸送, ライトバン, 積載率_Defaultのサービス</t>
  </si>
  <si>
    <t>トラック輸送, ライトバン, 積載率25%のサービス</t>
  </si>
  <si>
    <t>トラック輸送, ライトバン, 積載率10%のサービス</t>
  </si>
  <si>
    <t>トラック輸送, ライトバン, 積載率0%のサービス</t>
  </si>
  <si>
    <t>特種用途車輸送, 営業用のサービス</t>
  </si>
  <si>
    <t>タンクローリー輸送, 積載量10kL, 積載率100%のサービス</t>
  </si>
  <si>
    <t>タンクローリー輸送, 積載量10kL, 積載率75%のサービス</t>
  </si>
  <si>
    <t>タンクローリー輸送, 積載量10kL, 積載率50%のサービス</t>
  </si>
  <si>
    <t>タンクローリー輸送, 積載量10kL, 積載率_Defaultのサービス</t>
  </si>
  <si>
    <t>タンクローリー輸送, 積載量10kL, 積載率25%のサービス</t>
  </si>
  <si>
    <t>タンクローリー輸送, 積載量10kL, 積載率10%のサービス</t>
  </si>
  <si>
    <t>タンクローリー輸送, 積載量10kL, 積載率0%のサービス</t>
  </si>
  <si>
    <t>タンクローリー輸送, 積載量16kL, 積載率100%のサービス</t>
  </si>
  <si>
    <t>タンクローリー輸送, 積載量16kL, 積載率75%のサービス</t>
  </si>
  <si>
    <t>タンクローリー輸送, 積載量16kL, 積載率50%のサービス</t>
  </si>
  <si>
    <t>タンクローリー輸送, 積載量16kL, 積載率_Defaultのサービス</t>
  </si>
  <si>
    <t>タンクローリー輸送, 積載量16kL, 積載率25%のサービス</t>
  </si>
  <si>
    <t>タンクローリー輸送, 積載量16kL, 積載率10%のサービス</t>
  </si>
  <si>
    <t>タンクローリー輸送, 積載量16kL, 積載率0%のサービス</t>
  </si>
  <si>
    <t>タンクローリー輸送, 積載量20kL, 積載率100%のサービス</t>
  </si>
  <si>
    <t>タンクローリー輸送, 積載量20kL, 積載率75%のサービス</t>
  </si>
  <si>
    <t>タンクローリー輸送, 積載量20kL, 積載率50%のサービス</t>
  </si>
  <si>
    <t>タンクローリー輸送, 積載量20kL, 積載率_Defaultのサービス</t>
  </si>
  <si>
    <t>タンクローリー輸送, 積載量20kL, 積載率25%のサービス</t>
  </si>
  <si>
    <t>タンクローリー輸送, 積載量20kL, 積載率10%のサービス</t>
  </si>
  <si>
    <t>タンクローリー輸送, 積載量20kL, 積載率0%のサービス</t>
  </si>
  <si>
    <t>軽自動車輸送, 営業用のサービス</t>
  </si>
  <si>
    <t>トラック輸送, 軽トラック, 積載率100%のサービス</t>
  </si>
  <si>
    <t>トラック輸送, 軽トラック, 積載率75%のサービス</t>
  </si>
  <si>
    <t>トラック輸送, 軽トラック, 積載率50%のサービス</t>
  </si>
  <si>
    <t>トラック輸送, 軽トラック, 積載率_Defaultのサービス</t>
  </si>
  <si>
    <t>トラック輸送, 軽トラック, 積載率25%のサービス</t>
  </si>
  <si>
    <t>トラック輸送, 軽トラック, 積載率10%のサービス</t>
  </si>
  <si>
    <t>トラック輸送, 軽トラック, 積載率0%のサービス</t>
  </si>
  <si>
    <t>貨物自動車輸送, 自家用のサービス, 4桁</t>
  </si>
  <si>
    <t>普通車輸送, 自家用のサービス</t>
  </si>
  <si>
    <t>小型車輸送, 自家用のサービス</t>
  </si>
  <si>
    <t>特種用途車輸送, 自家用のサービス</t>
  </si>
  <si>
    <t>軽自動車輸送, 自家用のサービス</t>
  </si>
  <si>
    <t>パイプライン輸送, 原油のサービス</t>
  </si>
  <si>
    <t>パイプライン輸送, 天然ガスのサービス</t>
  </si>
  <si>
    <t>LNGタンカー輸送のサービス</t>
  </si>
  <si>
    <t>原油タンカー輸送, ＜8万DWTのサービス</t>
  </si>
  <si>
    <t>原油タンカー輸送, ＞8万DWTのサービス</t>
  </si>
  <si>
    <t>石油製品タンカー輸送, ＜8万DWTのサービス</t>
  </si>
  <si>
    <t>石油製品タンカー輸送, ＞8万DWTのサービス</t>
  </si>
  <si>
    <t>その他バルク運搬船輸送, ＜8万DWTのサービス</t>
  </si>
  <si>
    <t>その他バルク運搬船輸送, ＞8万DWTのサービス</t>
  </si>
  <si>
    <t>コンテナ船輸送, ＜4000TEUのサービス</t>
  </si>
  <si>
    <t>コンテナ船輸送, ＞4000TEUのサービス</t>
  </si>
  <si>
    <t>石炭船輸送, ＜8万DWTのサービス</t>
  </si>
  <si>
    <t>石炭船輸送, ＞8万DWTのサービス</t>
  </si>
  <si>
    <t>鉄鉱石船輸送, ＜8万DWTのサービス</t>
  </si>
  <si>
    <t>鉄鉱石船輸送, ＞8万DWTのサービス</t>
  </si>
  <si>
    <t>冷凍コンテナ船輸送, ＜4000TEUのサービス</t>
  </si>
  <si>
    <t>冷凍コンテナ船輸送, ＞4000TEUのサービス</t>
  </si>
  <si>
    <t>内航輸送, 旅客のサービス, 4桁</t>
  </si>
  <si>
    <t>内航輸送, 旅客のサービス</t>
  </si>
  <si>
    <t>内航輸送, 貨物のサービス, 4桁</t>
  </si>
  <si>
    <t>フェリー輸送のサービス</t>
  </si>
  <si>
    <t>内航貨物船輸送のサービス</t>
  </si>
  <si>
    <t>内航油送船輸送のサービス</t>
  </si>
  <si>
    <t>プッシャーバージ・台船輸送のサービス</t>
  </si>
  <si>
    <t>航空輸送, 旅客のサービス, 4桁</t>
  </si>
  <si>
    <t>航空輸送, 国内旅客のサービス</t>
  </si>
  <si>
    <t>航空輸送, 国際旅客のサービス</t>
  </si>
  <si>
    <t>航空輸送, 貨物のサービス, 4桁</t>
  </si>
  <si>
    <t>航空輸送, 国内貨物のサービス</t>
  </si>
  <si>
    <t>航空輸送, 国際貨物のサービス</t>
  </si>
  <si>
    <t>各種商品卸売サービス, 4桁</t>
  </si>
  <si>
    <t>各種商品卸売サービス</t>
  </si>
  <si>
    <t>各種商品卸売が仕入れた商品, 入力, リマインダーフロー</t>
  </si>
  <si>
    <t>繊維・衣服等卸売サービス, 4桁</t>
  </si>
  <si>
    <t>繊維品卸売（衣服、身の回り品を除く）サービス</t>
  </si>
  <si>
    <t>繊維品卸売（衣服、身の回り品を除く）が仕入れた商品, 入力, リマインダーフロー</t>
  </si>
  <si>
    <t>衣服・身の回り品卸売サービス</t>
  </si>
  <si>
    <t>衣服・身の回り品卸売が仕入れた商品, 入力, リマインダーフロー</t>
  </si>
  <si>
    <t>飲食料品卸売サービス, 4桁</t>
  </si>
  <si>
    <t>農畜産物・水産物卸売サービス</t>
  </si>
  <si>
    <t>農畜産物・水産物卸売が仕入れた商品, 入力, リマインダーフロー</t>
  </si>
  <si>
    <t>食料・飲料卸売サービス</t>
  </si>
  <si>
    <t>食料・飲料卸売が仕入れた商品, 入力, リマインダーフロー</t>
  </si>
  <si>
    <t>建築材料、化学製品、鉱物・金属材料、再生資源卸売サービス, 4桁</t>
  </si>
  <si>
    <t>建築材料卸売サービス</t>
  </si>
  <si>
    <t>建築材料卸売が仕入れた商品, 入力, リマインダーフロー</t>
  </si>
  <si>
    <t>化学製品卸売サービス</t>
  </si>
  <si>
    <t>化学製品卸売が仕入れた商品, 入力, リマインダーフロー</t>
  </si>
  <si>
    <t>鉱物・金属材料卸売サービス</t>
  </si>
  <si>
    <t>鉱物・金属材料卸売が仕入れた商品, 入力, リマインダーフロー</t>
  </si>
  <si>
    <t>再生資源卸売サービス</t>
  </si>
  <si>
    <t>再生資源卸売が仕入れた商品, 入力, リマインダーフロー</t>
  </si>
  <si>
    <t>機械器具卸売サービス, 4桁</t>
  </si>
  <si>
    <t>機械器具卸売サービス</t>
  </si>
  <si>
    <t>機械器具卸売が仕入れた商品, 入力, リマインダーフロー</t>
  </si>
  <si>
    <t>その他の卸売サービス, 4桁</t>
  </si>
  <si>
    <t>家具・建具・じゅう器等卸売サービス</t>
  </si>
  <si>
    <t>家具・建具・じゅう器等卸売が仕入れた商品, 入力, リマインダーフロー</t>
  </si>
  <si>
    <t>医薬品・化学品等卸売サービス</t>
  </si>
  <si>
    <t>医薬品・化学品等卸売が仕入れた商品, 入力, リマインダーフロー</t>
  </si>
  <si>
    <t>他に分類されないその他の卸売サービス</t>
  </si>
  <si>
    <t>他に分類されないその他の卸売が仕入れた商品, 入力, リマインダーフロー</t>
  </si>
  <si>
    <t>各種商品小売サービス, 4桁</t>
  </si>
  <si>
    <t>各種商品小売サービス</t>
  </si>
  <si>
    <t>百貨店、総合スーパーでの小売サービス（従業者が常時50人以上のもの）</t>
  </si>
  <si>
    <t>百貨店での小売サービス（従業者が常時50人以上のもの）</t>
  </si>
  <si>
    <t>総合スーパーでの小売サービス（従業者が常時50人以上のもの）</t>
  </si>
  <si>
    <t>その他の各種商品小売サービス（従業者が常時50人未満のもの）</t>
  </si>
  <si>
    <t>百貨店での小売サービス（従業者が常時50人以上のもの）, 入力, リマインダーフロー</t>
  </si>
  <si>
    <t>総合スーパーでの小売（従業者が常時50人以上のもの）が仕入れた商品, 入力, リマインダーフロー</t>
  </si>
  <si>
    <t>その他の各種商品小売（従業者が常時50人未満のもの）が仕入れた商品, 入力, リマインダーフロー</t>
  </si>
  <si>
    <t>織物・衣服・身の回り品小売サービス, 4桁</t>
  </si>
  <si>
    <t>織物・衣服・身の回り品小売サービス</t>
  </si>
  <si>
    <t>織物・衣服・身の回り品小売が仕入れた商品, 入力, リマインダーフロー</t>
  </si>
  <si>
    <t>飲食料品小売サービス, 4桁</t>
  </si>
  <si>
    <t>飲食料品小売サービス</t>
  </si>
  <si>
    <t>飲食料品小売が仕入れた商品, 入力, リマインダーフロー</t>
  </si>
  <si>
    <t>自動車・自転車小売サービス, 4桁</t>
  </si>
  <si>
    <t>自動車・自転車小売サービス</t>
  </si>
  <si>
    <t>自動車・自転車小売が仕入れた商品, 入力, リマインダーフロー</t>
  </si>
  <si>
    <t>家具・じゅう器・機械器具小売サービス, 4桁</t>
  </si>
  <si>
    <t>家具・じゅう器・機械器具小売サービス</t>
  </si>
  <si>
    <t>家具・じゅう器・機械器具小売が仕入れた商品, 入力, リマインダーフロー</t>
  </si>
  <si>
    <t>その他の小売サービス, 4桁</t>
  </si>
  <si>
    <t>その他の小売サービス</t>
  </si>
  <si>
    <t>その他の小売が仕入れた商品, 入力, リマインダーフロー</t>
  </si>
  <si>
    <t>使用済みスチール缶, 入力, リマインダーフロー</t>
  </si>
  <si>
    <t>使用済みアルミ缶, 入力, リマインダーフロー</t>
  </si>
  <si>
    <t>使用済みガラスびん, 入力, リマインダーフロー</t>
  </si>
  <si>
    <t>使用済みペットボトル, 入力, リマインダーフロー</t>
  </si>
  <si>
    <t>使用済み食品トレイ, 入力, リマインダーフロー</t>
  </si>
  <si>
    <t>使用済み家電（エアコン、テレビ、冷蔵庫、洗濯機）, 入力, リマインダーフロー</t>
  </si>
  <si>
    <t>使用済み自動車, 入力, リマインダーフロー</t>
  </si>
  <si>
    <t>古紙, 入力, リマインダーフロー</t>
  </si>
  <si>
    <t>使用済み紙容器, 入力, リマインダーフロー</t>
  </si>
  <si>
    <t>使用済み特定できる製品, 出力, リマインダーフロー</t>
  </si>
  <si>
    <t>廃タイヤ, 入力, リマインダーフロー</t>
  </si>
  <si>
    <t>使用済みの特定できる製品, 入力, リマインダーフロー</t>
  </si>
  <si>
    <t>一般廃棄物, 不燃ごみ, 入力, リマインダーフロー</t>
  </si>
  <si>
    <t>し尿収集運搬サービス, 4桁</t>
  </si>
  <si>
    <t>し尿収集運搬サービス</t>
  </si>
  <si>
    <t>し尿処分サービス, 4桁</t>
  </si>
  <si>
    <t>し尿処分サービス</t>
  </si>
  <si>
    <t>ごみ収集運搬サービス, 4桁</t>
  </si>
  <si>
    <t>ごみ収集運搬サービス</t>
  </si>
  <si>
    <t>ごみ処分サービス, 4桁</t>
  </si>
  <si>
    <t>埋立処理, 一般廃棄物</t>
  </si>
  <si>
    <t>埋立処理, 一般廃棄物(ごみ由来排出物を除く)</t>
  </si>
  <si>
    <t>埋立処理, 一般廃棄物, 廃プラスチック</t>
  </si>
  <si>
    <t>埋立処理, 一般廃棄物, 厨芥類</t>
  </si>
  <si>
    <t>埋立処理, 一般廃棄物, 紙類</t>
  </si>
  <si>
    <t>埋立処理, 一般廃棄物, 草・木類</t>
  </si>
  <si>
    <t>埋立処理, 一般廃棄物, 繊維類</t>
  </si>
  <si>
    <t>焼却処理, 一般廃棄物, 発電なし(ごみ由来排出物を除く)</t>
  </si>
  <si>
    <t>焼却処理, 一般廃棄物, 廃プラスチック</t>
  </si>
  <si>
    <t>焼却処理, 一般廃棄物, プラスチック（PET）</t>
  </si>
  <si>
    <t>焼却処理, 一般廃棄物, プラスチック（PO）</t>
  </si>
  <si>
    <t>焼却処理, 一般廃棄物, プラスチック（PS）</t>
  </si>
  <si>
    <t>焼却処理, 一般廃棄物, 紙類</t>
  </si>
  <si>
    <t>焼却処理・灰溶融, 一般廃棄物, 流動床 電気式</t>
  </si>
  <si>
    <t>焼却処理・灰溶融, 一般廃棄物, ごみ直接溶融</t>
  </si>
  <si>
    <t>焼却処理・灰溶融, 一般廃棄物, 燃料式, 発電あり</t>
  </si>
  <si>
    <t>焼却灰溶融, 電気式</t>
  </si>
  <si>
    <t>焼却灰溶融, 燃料式</t>
  </si>
  <si>
    <t>産業廃棄物(特定せず), 出力, リマインダーフロー</t>
  </si>
  <si>
    <t>産業廃棄物, 燃え殻, 出力, リマインダーフロー</t>
  </si>
  <si>
    <t>産業廃棄物, 汚泥, 出力, リマインダーフロー</t>
  </si>
  <si>
    <t>産業廃棄物, 廃油, 出力, リマインダーフロー</t>
  </si>
  <si>
    <t>産業廃棄物, 廃酸, 出力, リマインダーフロー</t>
  </si>
  <si>
    <t>産業廃棄物, 廃アルカリ, 出力, リマインダーフロー</t>
  </si>
  <si>
    <t>産業廃棄物, 廃プラスチック, 出力, リマインダーフロー</t>
  </si>
  <si>
    <t>産業廃棄物, 紙くず, 出力, リマインダーフロー</t>
  </si>
  <si>
    <t>産業廃棄物, 繊維くず, 出力, リマインダーフロー</t>
  </si>
  <si>
    <t>産業廃棄物, 動植物性残さ, 出力, リマインダーフロー</t>
  </si>
  <si>
    <t>産業廃棄物, 金属くず, 出力, リマインダーフロー</t>
  </si>
  <si>
    <t>産業廃棄物, 鉱さい（スラグ), 出力, リマインダーフロー</t>
  </si>
  <si>
    <t>産業廃棄物, がれき類, 出力, リマインダーフロー</t>
  </si>
  <si>
    <t>産業廃棄物, 動物のふん尿, 出力, リマインダーフロー</t>
  </si>
  <si>
    <t>産業廃棄物, ばいじん, 出力, リマインダーフロー</t>
  </si>
  <si>
    <t>その他の産業廃棄物, 出力, リマインダーフロー</t>
  </si>
  <si>
    <t>産業廃棄物, 廃ガス・排ガス, 出力, リマインダーフロー</t>
  </si>
  <si>
    <t>産業廃棄物, 廃水(要処理）, 出力, リマインダーフロー</t>
  </si>
  <si>
    <t>再利用品, 燃え殻, 出力, リマインダーフロー</t>
  </si>
  <si>
    <t>再利用品, 汚泥, 出力, リマインダーフロー</t>
  </si>
  <si>
    <t>再利用品, 廃油等, 出力, リマインダーフロー</t>
  </si>
  <si>
    <t>再利用品, 廃酸, 出力, リマインダーフロー</t>
  </si>
  <si>
    <t>再利用品, 廃アルカリ, 出力, リマインダーフロー</t>
  </si>
  <si>
    <t>再利用品, 廃プラスチック類, 出力, リマインダーフロー</t>
  </si>
  <si>
    <t>再利用品, 紙くず, 出力, リマインダーフロー</t>
  </si>
  <si>
    <t>再利用品, 木くず, 出力, リマインダーフロー</t>
  </si>
  <si>
    <t>再利用品, 繊維くず, 出力, リマインダーフロー</t>
  </si>
  <si>
    <t>再利用品, 動植物性残渣, 出力, リマインダーフロー</t>
  </si>
  <si>
    <t>再利用品, ゴムくず, 出力, リマインダーフロー</t>
  </si>
  <si>
    <t>再利用品, 金属くず, 出力, リマインダーフロー</t>
  </si>
  <si>
    <t>再利用品, ガラスくず及び陶磁器くず, 出力, リマインダーフロー</t>
  </si>
  <si>
    <t>再利用品, 鉱さい, 出力, リマインダーフロー</t>
  </si>
  <si>
    <t>再利用品, がれき類, 出力, リマインダーフロー</t>
  </si>
  <si>
    <t>再利用品, 動物のふん尿, 出力, リマインダーフロー</t>
  </si>
  <si>
    <t>再利用品, 動物の死体, 出力, リマインダーフロー</t>
  </si>
  <si>
    <t>再利用品, ばいじん, 出力, リマインダーフロー</t>
  </si>
  <si>
    <t>再利用品, 動物系固形廃棄物, 出力, リマインダーフロー</t>
  </si>
  <si>
    <t>産業廃棄物(特定せず), 入力, リマインダーフロー</t>
  </si>
  <si>
    <t>産業廃棄物, 廃油, 入力, リマインダーフロー</t>
  </si>
  <si>
    <t>産業廃棄物, 繊維くず, 入力, リマインダーフロー</t>
  </si>
  <si>
    <t>産業廃棄物, 動植物性残さ, 入力, リマインダーフロー</t>
  </si>
  <si>
    <t>産業廃棄物, 鉱さい（スラグ）, 入力, リマインダーフロー</t>
  </si>
  <si>
    <t>産業廃棄物, がれき類, 入力, リマインダーフロー</t>
  </si>
  <si>
    <t>産業廃棄物, ばいじん, 入力, リマインダーフロー</t>
  </si>
  <si>
    <t>その他の産業廃棄物, 入力, リマインダーフロー</t>
  </si>
  <si>
    <t>廃水(要処理）, 入力, リマインダーフロー</t>
  </si>
  <si>
    <t>再利用原料, 燃え殻, 入力, リマインダーフロー</t>
  </si>
  <si>
    <t>再利用原料, 汚泥, 入力, リマインダーフロー</t>
  </si>
  <si>
    <t>再利用原料, 廃油等, 入力, リマインダーフロー</t>
  </si>
  <si>
    <t>再利用原料, 廃酸, 入力, リマインダーフロー</t>
  </si>
  <si>
    <t>再利用原料, 廃アルカリ, 入力, リマインダーフロー</t>
  </si>
  <si>
    <t>再利用原料, 廃プラスチック類, 入力, リマインダーフロー</t>
  </si>
  <si>
    <t>再利用原料, 紙くず, 入力, リマインダーフロー</t>
  </si>
  <si>
    <t>再利用原料, 木くず, 入力, リマインダーフロー</t>
  </si>
  <si>
    <t>再利用原料, 動植物性残渣, 入力, リマインダーフロー</t>
  </si>
  <si>
    <t>再利用原料, ゴム, 入力, リマインダーフロー</t>
  </si>
  <si>
    <t>再利用原料, 金属くず, 入力, リマインダーフロー</t>
  </si>
  <si>
    <t>再利用原料, ガラスくず等, 入力, リマインダーフロー</t>
  </si>
  <si>
    <t>産業廃棄物収集運搬サービス, 4桁</t>
  </si>
  <si>
    <t>産業廃棄物収集運搬サービス</t>
  </si>
  <si>
    <t>産廃処理, 燃え殻</t>
  </si>
  <si>
    <t>産廃処理, 汚泥</t>
  </si>
  <si>
    <t>産廃処理, 廃油</t>
  </si>
  <si>
    <t>産廃処理, 廃酸</t>
  </si>
  <si>
    <t>産廃処理, 廃アルカリ</t>
  </si>
  <si>
    <t>産廃処理, 廃プラスチック類</t>
  </si>
  <si>
    <t>産廃処理, 紙くず</t>
  </si>
  <si>
    <t>産廃処理, 木くず</t>
  </si>
  <si>
    <t>産廃処理, 天然繊維くず</t>
  </si>
  <si>
    <t>産廃処理, 動植物性残渣</t>
  </si>
  <si>
    <t>産廃処理, ゴムくず</t>
  </si>
  <si>
    <t>産廃処理, 金属くず</t>
  </si>
  <si>
    <t>産廃処理, ガラス・陶磁器くず</t>
  </si>
  <si>
    <t>産廃処理, 鉱さい</t>
  </si>
  <si>
    <t>産廃処理, がれき類</t>
  </si>
  <si>
    <t>産廃処理, 動物のふん尿</t>
  </si>
  <si>
    <t>産廃処理, 動物の死体</t>
  </si>
  <si>
    <t>産廃処理, ばいじん</t>
  </si>
  <si>
    <t>産廃処理, 動物系固形廃棄物</t>
  </si>
  <si>
    <t>埋立処理, 産業廃棄物, 厨芥類</t>
  </si>
  <si>
    <t>埋立処理, 産業廃棄物, 紙くず類</t>
  </si>
  <si>
    <t>埋立処理, 産業廃棄物, 木くず類</t>
  </si>
  <si>
    <t>埋立処理, 産業廃棄物, 繊維くず類</t>
  </si>
  <si>
    <t>埋立処理, 産業廃棄物, 下水汚泥</t>
  </si>
  <si>
    <t>埋立処理, 産業廃棄物, し尿処理汚泥</t>
  </si>
  <si>
    <t>埋立処理, 産業廃棄物, 浄水汚泥</t>
  </si>
  <si>
    <t>埋立処理, 産業廃棄物, 製造業排出有機汚泥</t>
  </si>
  <si>
    <t>焼却処理, 産業廃棄物, 廃油</t>
  </si>
  <si>
    <t>焼却処理, 産業廃棄物, 動植物性廃油</t>
  </si>
  <si>
    <t>焼却処理, 産業廃棄物, 鉱物性廃油</t>
  </si>
  <si>
    <t>焼却処理, 産業廃棄物, 廃プラスチック</t>
  </si>
  <si>
    <t>焼却処理, 産業廃棄物, 紙くず、木くず</t>
  </si>
  <si>
    <t>焼却処理, 産業廃棄物, 天然繊維くず</t>
  </si>
  <si>
    <t>焼却処理, 産業廃棄物, 動物性残さ、家畜の死体</t>
  </si>
  <si>
    <t>焼却処理, 産業廃棄物, 汚泥</t>
  </si>
  <si>
    <t>焼却処理, 産業廃棄物, 汚泥（下水汚泥を除く）</t>
  </si>
  <si>
    <t>焼却処理, 産業廃棄物, 下水汚泥</t>
  </si>
  <si>
    <t>焼却処理, 産業廃棄物, 下水汚泥, 高分子凝集剤を添加して脱水した下水汚泥の流動床炉での焼却(通常燃焼)</t>
  </si>
  <si>
    <t>焼却処理, 産業廃棄物, 下水汚泥, 高分子凝集剤を添加して脱水した下水汚泥の流動床炉での焼却(高温燃焼)</t>
  </si>
  <si>
    <t>焼却処理, 産業廃棄物, 下水汚泥, 高分子凝集剤を添加して脱水した下水汚泥の多段炉での焼却</t>
  </si>
  <si>
    <t>焼却処理, 産業廃棄物, 下水汚泥, 石灰系凝集剤を添加して脱水した下水汚泥の焼却</t>
  </si>
  <si>
    <t>焼却処理, 産業廃棄物, 下水汚泥, その他の下水汚泥の焼却</t>
  </si>
  <si>
    <t>産廃中間処理, 廃酸中和, 0.001N中和剤サービス</t>
  </si>
  <si>
    <t>産廃中間処理, 廃アルカリ中和, 0.001N中和剤サービス</t>
  </si>
  <si>
    <t>PCB破壊処理</t>
  </si>
  <si>
    <t>フロン破壊処理サービス</t>
  </si>
  <si>
    <t>工業排水処理サービス, 4桁</t>
  </si>
  <si>
    <t>活性汚泥処理用薬剤, 排水量対応</t>
  </si>
  <si>
    <t>COD削減処理用薬剤, BOD負荷対応</t>
  </si>
  <si>
    <t>その他の廃棄物処理サービス, 4桁</t>
  </si>
  <si>
    <t>その他の廃棄物処理</t>
  </si>
  <si>
    <r>
      <rPr>
        <sz val="10"/>
        <color indexed="8"/>
        <rFont val="ＭＳ Ｐゴシック"/>
        <family val="3"/>
        <charset val="128"/>
      </rPr>
      <t>製品名</t>
    </r>
    <rPh sb="0" eb="2">
      <t>セイヒン</t>
    </rPh>
    <rPh sb="2" eb="3">
      <t>メイ</t>
    </rPh>
    <phoneticPr fontId="34"/>
  </si>
  <si>
    <t>IDEAv2.1.1 20161017-01</t>
    <phoneticPr fontId="33"/>
  </si>
  <si>
    <t>工業用水</t>
    <rPh sb="0" eb="2">
      <t>コウギョウ</t>
    </rPh>
    <rPh sb="2" eb="4">
      <t>ヨウスイ</t>
    </rPh>
    <phoneticPr fontId="34"/>
  </si>
  <si>
    <t>水酸化カリウム</t>
    <phoneticPr fontId="34"/>
  </si>
  <si>
    <t>水酸化ナトリウム</t>
    <rPh sb="0" eb="3">
      <t>スイサンカ</t>
    </rPh>
    <phoneticPr fontId="34"/>
  </si>
  <si>
    <t>塩化ナトリウム</t>
    <rPh sb="0" eb="2">
      <t>エンカ</t>
    </rPh>
    <phoneticPr fontId="34"/>
  </si>
  <si>
    <t>廃棄物</t>
    <phoneticPr fontId="34"/>
  </si>
  <si>
    <t>[MJ]</t>
  </si>
  <si>
    <t>[MJ]</t>
    <phoneticPr fontId="33"/>
  </si>
  <si>
    <r>
      <t>9</t>
    </r>
    <r>
      <rPr>
        <sz val="11"/>
        <color theme="1"/>
        <rFont val="ＭＳ Ｐゴシック"/>
        <family val="3"/>
        <charset val="128"/>
      </rPr>
      <t>桁&amp;単位B</t>
    </r>
    <rPh sb="1" eb="2">
      <t>ケタ</t>
    </rPh>
    <rPh sb="3" eb="5">
      <t>タンイ</t>
    </rPh>
    <phoneticPr fontId="33"/>
  </si>
  <si>
    <t>代替率</t>
    <rPh sb="0" eb="2">
      <t>ダイタイ</t>
    </rPh>
    <rPh sb="2" eb="3">
      <t>リツ</t>
    </rPh>
    <phoneticPr fontId="34"/>
  </si>
  <si>
    <t>副産物
代替製品</t>
    <rPh sb="0" eb="3">
      <t>フクサンブツ</t>
    </rPh>
    <rPh sb="4" eb="6">
      <t>ダイタイ</t>
    </rPh>
    <rPh sb="6" eb="8">
      <t>セイヒン</t>
    </rPh>
    <phoneticPr fontId="33"/>
  </si>
  <si>
    <t>代替</t>
    <rPh sb="0" eb="2">
      <t>ダイタイ</t>
    </rPh>
    <phoneticPr fontId="33"/>
  </si>
  <si>
    <t>ケーブル</t>
  </si>
  <si>
    <t>開閉装置・配電盤・制御装置, 4桁</t>
  </si>
  <si>
    <t>変換装置</t>
  </si>
  <si>
    <t>高周波応用装置</t>
  </si>
  <si>
    <t>, 一般電気事業者10社平均, 2011年度</t>
  </si>
  <si>
    <t>, 一般電気事業者10社平均, 2012年度</t>
  </si>
  <si>
    <t>公共, 台湾, IEA, 2011</t>
  </si>
  <si>
    <t>公共, インドネシア, IEA, 2011</t>
  </si>
  <si>
    <t>公共, 韓国, IEA, 2011</t>
  </si>
  <si>
    <t>公共, マレーシア, IEA, 2011</t>
  </si>
  <si>
    <t>公共, フィリピン, IEA, 2011</t>
  </si>
  <si>
    <t>公共, 中国, IEA, 2011</t>
  </si>
  <si>
    <t>公共, タイ, IEA, 2011</t>
  </si>
  <si>
    <t>公共, ベトナム, IEA, 2011</t>
  </si>
  <si>
    <t>自家発, 化学工業用水力</t>
  </si>
  <si>
    <t>反応機、発生炉、乾留炉、電解槽</t>
    <phoneticPr fontId="33"/>
  </si>
  <si>
    <t>P05</t>
  </si>
  <si>
    <t>原材料</t>
    <rPh sb="0" eb="3">
      <t>ゲンザイリョウ</t>
    </rPh>
    <phoneticPr fontId="33"/>
  </si>
  <si>
    <t>ユーティリティ</t>
    <phoneticPr fontId="33"/>
  </si>
  <si>
    <t>副資材</t>
    <rPh sb="0" eb="3">
      <t>フクシザイ</t>
    </rPh>
    <phoneticPr fontId="33"/>
  </si>
  <si>
    <t>資本財分類</t>
    <rPh sb="0" eb="3">
      <t>シホンザイ</t>
    </rPh>
    <rPh sb="3" eb="5">
      <t>ブンルイ</t>
    </rPh>
    <phoneticPr fontId="33"/>
  </si>
  <si>
    <t>原材料</t>
    <rPh sb="0" eb="3">
      <t>ゲンザイリョウ</t>
    </rPh>
    <phoneticPr fontId="33"/>
  </si>
  <si>
    <t>ユーティリティ―</t>
    <phoneticPr fontId="33"/>
  </si>
  <si>
    <t>副資材</t>
    <rPh sb="0" eb="3">
      <t>フクシザイ</t>
    </rPh>
    <phoneticPr fontId="33"/>
  </si>
  <si>
    <t>区分合計</t>
    <rPh sb="0" eb="2">
      <t>クブン</t>
    </rPh>
    <rPh sb="2" eb="4">
      <t>ゴウケイ</t>
    </rPh>
    <phoneticPr fontId="33"/>
  </si>
  <si>
    <t>輸送</t>
    <rPh sb="0" eb="2">
      <t>ユソウ</t>
    </rPh>
    <phoneticPr fontId="33"/>
  </si>
  <si>
    <t>資本財</t>
    <rPh sb="0" eb="3">
      <t>シホンザイ</t>
    </rPh>
    <phoneticPr fontId="34"/>
  </si>
  <si>
    <t>廃棄物</t>
    <rPh sb="0" eb="3">
      <t>ハイキブツ</t>
    </rPh>
    <phoneticPr fontId="34"/>
  </si>
  <si>
    <t>原材料種別</t>
    <rPh sb="0" eb="3">
      <t>ゲンザイリョウ</t>
    </rPh>
    <rPh sb="3" eb="5">
      <t>シュベツ</t>
    </rPh>
    <phoneticPr fontId="34"/>
  </si>
  <si>
    <t>ユーティリティ種別</t>
    <phoneticPr fontId="34"/>
  </si>
  <si>
    <t>副資材種別</t>
    <rPh sb="0" eb="3">
      <t>フクシザイ</t>
    </rPh>
    <rPh sb="3" eb="5">
      <t>シュベツ</t>
    </rPh>
    <phoneticPr fontId="34"/>
  </si>
  <si>
    <t>総排出量合計</t>
    <rPh sb="0" eb="1">
      <t>ソウ</t>
    </rPh>
    <rPh sb="1" eb="3">
      <t>ハイシュツ</t>
    </rPh>
    <rPh sb="3" eb="4">
      <t>リョウ</t>
    </rPh>
    <rPh sb="4" eb="6">
      <t>ゴウケイ</t>
    </rPh>
    <phoneticPr fontId="33"/>
  </si>
  <si>
    <t>原材料排出量合計</t>
    <rPh sb="0" eb="3">
      <t>ゲンザイリョウ</t>
    </rPh>
    <rPh sb="3" eb="5">
      <t>ハイシュツ</t>
    </rPh>
    <rPh sb="5" eb="6">
      <t>リョウ</t>
    </rPh>
    <rPh sb="6" eb="8">
      <t>ゴウケイ</t>
    </rPh>
    <phoneticPr fontId="33"/>
  </si>
  <si>
    <t>ユーティリティ排出量合計</t>
  </si>
  <si>
    <t>ユーティリティ排出量合計</t>
    <rPh sb="7" eb="9">
      <t>ハイシュツ</t>
    </rPh>
    <rPh sb="9" eb="10">
      <t>リョウ</t>
    </rPh>
    <rPh sb="10" eb="12">
      <t>ゴウケイ</t>
    </rPh>
    <phoneticPr fontId="33"/>
  </si>
  <si>
    <t>副資材排出量合計</t>
  </si>
  <si>
    <t>副資材排出量合計</t>
    <rPh sb="0" eb="3">
      <t>フクシザイ</t>
    </rPh>
    <rPh sb="3" eb="5">
      <t>ハイシュツ</t>
    </rPh>
    <rPh sb="5" eb="6">
      <t>リョウ</t>
    </rPh>
    <rPh sb="6" eb="8">
      <t>ゴウケイ</t>
    </rPh>
    <phoneticPr fontId="33"/>
  </si>
  <si>
    <t>廃棄物排出量合計</t>
  </si>
  <si>
    <t>廃棄物排出量合計</t>
    <rPh sb="0" eb="3">
      <t>ハイキブツ</t>
    </rPh>
    <rPh sb="3" eb="5">
      <t>ハイシュツ</t>
    </rPh>
    <rPh sb="5" eb="6">
      <t>リョウ</t>
    </rPh>
    <rPh sb="6" eb="8">
      <t>ゴウケイ</t>
    </rPh>
    <phoneticPr fontId="33"/>
  </si>
  <si>
    <t>直接排出量合計</t>
  </si>
  <si>
    <t>直接排出量合計</t>
    <rPh sb="0" eb="2">
      <t>チョクセツ</t>
    </rPh>
    <rPh sb="2" eb="4">
      <t>ハイシュツ</t>
    </rPh>
    <rPh sb="4" eb="5">
      <t>リョウ</t>
    </rPh>
    <rPh sb="5" eb="7">
      <t>ゴウケイ</t>
    </rPh>
    <phoneticPr fontId="33"/>
  </si>
  <si>
    <t>直接排出</t>
    <rPh sb="0" eb="2">
      <t>チョクセツ</t>
    </rPh>
    <rPh sb="2" eb="4">
      <t>ハイシュツ</t>
    </rPh>
    <phoneticPr fontId="34"/>
  </si>
  <si>
    <t>総排出量合計</t>
    <rPh sb="0" eb="1">
      <t>ソウ</t>
    </rPh>
    <rPh sb="1" eb="3">
      <t>ハイシュツ</t>
    </rPh>
    <rPh sb="3" eb="4">
      <t>リョウ</t>
    </rPh>
    <rPh sb="4" eb="6">
      <t>ゴウケイ</t>
    </rPh>
    <phoneticPr fontId="34"/>
  </si>
  <si>
    <t>原材料排出量合計</t>
    <rPh sb="0" eb="3">
      <t>ゲンザイリョウ</t>
    </rPh>
    <rPh sb="3" eb="5">
      <t>ハイシュツ</t>
    </rPh>
    <rPh sb="5" eb="6">
      <t>リョウ</t>
    </rPh>
    <rPh sb="6" eb="8">
      <t>ゴウケイ</t>
    </rPh>
    <phoneticPr fontId="34"/>
  </si>
  <si>
    <r>
      <rPr>
        <sz val="10"/>
        <rFont val="ＭＳ Ｐゴシック"/>
        <family val="3"/>
        <charset val="128"/>
      </rPr>
      <t>気候変動</t>
    </r>
    <r>
      <rPr>
        <sz val="10"/>
        <rFont val="Arial"/>
        <family val="2"/>
      </rPr>
      <t xml:space="preserve"> IPCC 2013 GWP 100a</t>
    </r>
    <phoneticPr fontId="109"/>
  </si>
  <si>
    <t>水素機能単位</t>
    <rPh sb="0" eb="2">
      <t>スイソ</t>
    </rPh>
    <rPh sb="2" eb="4">
      <t>キノウ</t>
    </rPh>
    <rPh sb="4" eb="6">
      <t>タンイ</t>
    </rPh>
    <phoneticPr fontId="33"/>
  </si>
  <si>
    <t>[MJ]</t>
    <phoneticPr fontId="33"/>
  </si>
  <si>
    <t>[t]</t>
    <phoneticPr fontId="34"/>
  </si>
  <si>
    <t>[Nm3]</t>
    <phoneticPr fontId="34"/>
  </si>
  <si>
    <t>[1000Nm3]</t>
    <phoneticPr fontId="34"/>
  </si>
  <si>
    <t>[MJ]</t>
    <phoneticPr fontId="34"/>
  </si>
  <si>
    <t>ST01</t>
    <phoneticPr fontId="34"/>
  </si>
  <si>
    <t>ST02</t>
    <phoneticPr fontId="34"/>
  </si>
  <si>
    <t>ST03</t>
    <phoneticPr fontId="34"/>
  </si>
  <si>
    <t>ST04</t>
    <phoneticPr fontId="34"/>
  </si>
  <si>
    <t>ST05</t>
    <phoneticPr fontId="34"/>
  </si>
  <si>
    <t>ST合計</t>
    <rPh sb="2" eb="4">
      <t>ゴウケイ</t>
    </rPh>
    <phoneticPr fontId="33"/>
  </si>
  <si>
    <t>千kWh</t>
  </si>
  <si>
    <t>①単位発熱量</t>
  </si>
  <si>
    <t>GJ/t</t>
  </si>
  <si>
    <t>燃料・電気の種類</t>
  </si>
  <si>
    <t>B・C重油</t>
  </si>
  <si>
    <t>電気</t>
    <rPh sb="1" eb="2">
      <t>キ</t>
    </rPh>
    <phoneticPr fontId="33"/>
  </si>
  <si>
    <r>
      <rPr>
        <sz val="11"/>
        <color theme="1"/>
        <rFont val="ＭＳ Ｐゴシック"/>
        <family val="3"/>
        <charset val="128"/>
      </rPr>
      <t>液化石油ガス（</t>
    </r>
    <r>
      <rPr>
        <sz val="11"/>
        <color theme="1"/>
        <rFont val="Arial"/>
        <family val="2"/>
      </rPr>
      <t>LPG</t>
    </r>
    <r>
      <rPr>
        <sz val="11"/>
        <color theme="1"/>
        <rFont val="ＭＳ Ｐゴシック"/>
        <family val="3"/>
        <charset val="128"/>
      </rPr>
      <t>）</t>
    </r>
    <phoneticPr fontId="33"/>
  </si>
  <si>
    <r>
      <rPr>
        <sz val="11"/>
        <color theme="1"/>
        <rFont val="ＭＳ Ｐゴシック"/>
        <family val="3"/>
        <charset val="128"/>
      </rPr>
      <t>千</t>
    </r>
    <r>
      <rPr>
        <sz val="11"/>
        <color theme="1"/>
        <rFont val="Arial"/>
        <family val="2"/>
      </rPr>
      <t>Nm3</t>
    </r>
    <phoneticPr fontId="33"/>
  </si>
  <si>
    <t>GJ/s</t>
    <phoneticPr fontId="33"/>
  </si>
  <si>
    <t>GJ/s</t>
    <phoneticPr fontId="33"/>
  </si>
  <si>
    <r>
      <t>GJ/</t>
    </r>
    <r>
      <rPr>
        <sz val="11"/>
        <color theme="1"/>
        <rFont val="ＭＳ Ｐゴシック"/>
        <family val="3"/>
        <charset val="128"/>
      </rPr>
      <t>千</t>
    </r>
    <r>
      <rPr>
        <sz val="11"/>
        <color theme="1"/>
        <rFont val="Arial"/>
        <family val="2"/>
      </rPr>
      <t>Nm3</t>
    </r>
    <phoneticPr fontId="33"/>
  </si>
  <si>
    <r>
      <rPr>
        <sz val="11"/>
        <color theme="1"/>
        <rFont val="ＭＳ Ｐゴシック"/>
        <family val="3"/>
        <charset val="128"/>
      </rPr>
      <t>②排出係数（ｔ</t>
    </r>
    <r>
      <rPr>
        <sz val="11"/>
        <color theme="1"/>
        <rFont val="Arial"/>
        <family val="2"/>
      </rPr>
      <t>C/</t>
    </r>
    <r>
      <rPr>
        <sz val="11"/>
        <color theme="1"/>
        <rFont val="ＭＳ Ｐゴシック"/>
        <family val="3"/>
        <charset val="128"/>
      </rPr>
      <t>Ｇ</t>
    </r>
    <r>
      <rPr>
        <sz val="11"/>
        <color theme="1"/>
        <rFont val="Arial"/>
        <family val="2"/>
      </rPr>
      <t>J</t>
    </r>
    <r>
      <rPr>
        <sz val="11"/>
        <color theme="1"/>
        <rFont val="ＭＳ Ｐゴシック"/>
        <family val="3"/>
        <charset val="128"/>
      </rPr>
      <t>）</t>
    </r>
    <phoneticPr fontId="33"/>
  </si>
  <si>
    <t>輸送算定方法</t>
    <rPh sb="0" eb="2">
      <t>ユソウ</t>
    </rPh>
    <rPh sb="2" eb="4">
      <t>サンテイ</t>
    </rPh>
    <rPh sb="4" eb="6">
      <t>ホウホウ</t>
    </rPh>
    <phoneticPr fontId="33"/>
  </si>
  <si>
    <t>燃料法</t>
    <rPh sb="0" eb="2">
      <t>ネンリョウ</t>
    </rPh>
    <rPh sb="2" eb="3">
      <t>ホウ</t>
    </rPh>
    <phoneticPr fontId="33"/>
  </si>
  <si>
    <t>燃費法</t>
    <rPh sb="0" eb="2">
      <t>ネンピ</t>
    </rPh>
    <rPh sb="2" eb="3">
      <t>ホウ</t>
    </rPh>
    <phoneticPr fontId="33"/>
  </si>
  <si>
    <t>改良トンキロ法</t>
    <rPh sb="0" eb="2">
      <t>カイリョウ</t>
    </rPh>
    <rPh sb="6" eb="7">
      <t>ホウ</t>
    </rPh>
    <phoneticPr fontId="33"/>
  </si>
  <si>
    <r>
      <rPr>
        <sz val="12"/>
        <color theme="1"/>
        <rFont val="Arial"/>
        <family val="2"/>
      </rPr>
      <t>燃料</t>
    </r>
  </si>
  <si>
    <r>
      <rPr>
        <sz val="12"/>
        <color theme="1"/>
        <rFont val="Arial"/>
        <family val="2"/>
      </rPr>
      <t>ガソリン</t>
    </r>
  </si>
  <si>
    <r>
      <t>2,000</t>
    </r>
    <r>
      <rPr>
        <sz val="12"/>
        <color theme="1"/>
        <rFont val="Arial"/>
        <family val="2"/>
      </rPr>
      <t>㎏以上</t>
    </r>
  </si>
  <si>
    <r>
      <rPr>
        <sz val="12"/>
        <color theme="1"/>
        <rFont val="Arial"/>
        <family val="2"/>
      </rPr>
      <t>軽油</t>
    </r>
  </si>
  <si>
    <r>
      <t>2,000</t>
    </r>
    <r>
      <rPr>
        <sz val="12"/>
        <color theme="1"/>
        <rFont val="Arial"/>
        <family val="2"/>
      </rPr>
      <t>～3,999</t>
    </r>
  </si>
  <si>
    <r>
      <t>4,000</t>
    </r>
    <r>
      <rPr>
        <sz val="12"/>
        <color theme="1"/>
        <rFont val="Arial"/>
        <family val="2"/>
      </rPr>
      <t>～5,999</t>
    </r>
  </si>
  <si>
    <r>
      <t>6,000</t>
    </r>
    <r>
      <rPr>
        <sz val="12"/>
        <color theme="1"/>
        <rFont val="Arial"/>
        <family val="2"/>
      </rPr>
      <t>～7,999</t>
    </r>
  </si>
  <si>
    <r>
      <t>8,000</t>
    </r>
    <r>
      <rPr>
        <sz val="12"/>
        <color theme="1"/>
        <rFont val="Arial"/>
        <family val="2"/>
      </rPr>
      <t>～9,999</t>
    </r>
  </si>
  <si>
    <r>
      <t>10,000</t>
    </r>
    <r>
      <rPr>
        <sz val="12"/>
        <color theme="1"/>
        <rFont val="Arial"/>
        <family val="2"/>
      </rPr>
      <t>～11,999</t>
    </r>
  </si>
  <si>
    <r>
      <t>12,000</t>
    </r>
    <r>
      <rPr>
        <sz val="12"/>
        <color theme="1"/>
        <rFont val="Arial"/>
        <family val="2"/>
      </rPr>
      <t>～16,999</t>
    </r>
  </si>
  <si>
    <t>最大積載量（㎏）</t>
    <phoneticPr fontId="33"/>
  </si>
  <si>
    <t>燃料種類</t>
    <rPh sb="0" eb="2">
      <t>ネンリョウ</t>
    </rPh>
    <rPh sb="2" eb="4">
      <t>シュルイ</t>
    </rPh>
    <phoneticPr fontId="33"/>
  </si>
  <si>
    <t>燃料使用量[L]</t>
    <rPh sb="0" eb="2">
      <t>ネンリョウ</t>
    </rPh>
    <rPh sb="2" eb="5">
      <t>シヨウリョウ</t>
    </rPh>
    <phoneticPr fontId="33"/>
  </si>
  <si>
    <t>L</t>
    <phoneticPr fontId="33"/>
  </si>
  <si>
    <t>燃費法</t>
    <rPh sb="0" eb="2">
      <t>ネンピ</t>
    </rPh>
    <rPh sb="2" eb="3">
      <t>ホウ</t>
    </rPh>
    <phoneticPr fontId="33"/>
  </si>
  <si>
    <t>距離[km]</t>
    <rPh sb="0" eb="2">
      <t>キョリ</t>
    </rPh>
    <phoneticPr fontId="33"/>
  </si>
  <si>
    <t>燃費[km/L]</t>
    <rPh sb="0" eb="2">
      <t>ネンピ</t>
    </rPh>
    <phoneticPr fontId="33"/>
  </si>
  <si>
    <t>最大積載量[kg]</t>
    <rPh sb="0" eb="2">
      <t>サイダイ</t>
    </rPh>
    <rPh sb="2" eb="5">
      <t>セキサイリョウ</t>
    </rPh>
    <phoneticPr fontId="33"/>
  </si>
  <si>
    <t>改良トンキロ法</t>
    <rPh sb="0" eb="2">
      <t>カイリョウ</t>
    </rPh>
    <rPh sb="6" eb="7">
      <t>ホウ</t>
    </rPh>
    <phoneticPr fontId="33"/>
  </si>
  <si>
    <t>輸送重量[t]</t>
    <rPh sb="0" eb="2">
      <t>ユソウ</t>
    </rPh>
    <rPh sb="2" eb="4">
      <t>ジュウリョウ</t>
    </rPh>
    <phoneticPr fontId="33"/>
  </si>
  <si>
    <t>積載率[%]</t>
    <rPh sb="0" eb="2">
      <t>セキサイ</t>
    </rPh>
    <rPh sb="2" eb="3">
      <t>リツ</t>
    </rPh>
    <phoneticPr fontId="33"/>
  </si>
  <si>
    <t>算定法</t>
    <rPh sb="0" eb="3">
      <t>サンテイホウ</t>
    </rPh>
    <phoneticPr fontId="33"/>
  </si>
  <si>
    <t>燃料法</t>
    <rPh sb="0" eb="2">
      <t>ネンリョウ</t>
    </rPh>
    <rPh sb="2" eb="3">
      <t>ホウ</t>
    </rPh>
    <phoneticPr fontId="33"/>
  </si>
  <si>
    <t>積載率</t>
    <rPh sb="0" eb="2">
      <t>セキサイ</t>
    </rPh>
    <rPh sb="2" eb="3">
      <t>リツ</t>
    </rPh>
    <phoneticPr fontId="33"/>
  </si>
  <si>
    <t>最大積載量中央値（㎏）</t>
    <rPh sb="5" eb="7">
      <t>チュウオウ</t>
    </rPh>
    <rPh sb="7" eb="8">
      <t>チ</t>
    </rPh>
    <phoneticPr fontId="33"/>
  </si>
  <si>
    <t>輸送排出量合計</t>
    <rPh sb="0" eb="2">
      <t>ユソウ</t>
    </rPh>
    <rPh sb="2" eb="4">
      <t>ハイシュツ</t>
    </rPh>
    <rPh sb="4" eb="5">
      <t>リョウ</t>
    </rPh>
    <rPh sb="5" eb="7">
      <t>ゴウケイ</t>
    </rPh>
    <phoneticPr fontId="33"/>
  </si>
  <si>
    <t>輸送</t>
    <rPh sb="0" eb="2">
      <t>ユソウ</t>
    </rPh>
    <phoneticPr fontId="34"/>
  </si>
  <si>
    <t>積載率（デフォルト）</t>
    <rPh sb="0" eb="2">
      <t>セキサイ</t>
    </rPh>
    <rPh sb="2" eb="3">
      <t>リツ</t>
    </rPh>
    <phoneticPr fontId="33"/>
  </si>
  <si>
    <t>合計</t>
    <rPh sb="0" eb="2">
      <t>ゴウケイ</t>
    </rPh>
    <phoneticPr fontId="34"/>
  </si>
  <si>
    <t>P01</t>
    <phoneticPr fontId="33"/>
  </si>
  <si>
    <t>P02</t>
  </si>
  <si>
    <t>P03</t>
  </si>
  <si>
    <t>P04</t>
  </si>
  <si>
    <t>ST01</t>
    <phoneticPr fontId="33"/>
  </si>
  <si>
    <t>ST02</t>
  </si>
  <si>
    <t>ST03</t>
  </si>
  <si>
    <t>ST04</t>
  </si>
  <si>
    <t>ST05</t>
  </si>
  <si>
    <t>D01</t>
    <phoneticPr fontId="33"/>
  </si>
  <si>
    <t>D02</t>
  </si>
  <si>
    <t>D03</t>
  </si>
  <si>
    <t>D04</t>
  </si>
  <si>
    <t>D05</t>
  </si>
  <si>
    <t>家庭用燃料電池</t>
  </si>
  <si>
    <t>業務用燃料電池</t>
  </si>
  <si>
    <t>資本財：製造</t>
    <rPh sb="0" eb="3">
      <t>シホンザイ</t>
    </rPh>
    <rPh sb="4" eb="6">
      <t>セイゾウ</t>
    </rPh>
    <phoneticPr fontId="33"/>
  </si>
  <si>
    <t>資本財：運用</t>
    <rPh sb="4" eb="6">
      <t>ウンヨウ</t>
    </rPh>
    <phoneticPr fontId="33"/>
  </si>
  <si>
    <t>資本財：保守</t>
    <rPh sb="4" eb="6">
      <t>ホシュ</t>
    </rPh>
    <phoneticPr fontId="33"/>
  </si>
  <si>
    <t>資本財：廃棄</t>
    <rPh sb="4" eb="6">
      <t>ハイキ</t>
    </rPh>
    <phoneticPr fontId="33"/>
  </si>
  <si>
    <t>プロセス</t>
    <phoneticPr fontId="33"/>
  </si>
  <si>
    <t>プロセス</t>
    <phoneticPr fontId="33"/>
  </si>
  <si>
    <t>プロセス</t>
    <phoneticPr fontId="33"/>
  </si>
  <si>
    <t>プロセス</t>
    <phoneticPr fontId="33"/>
  </si>
  <si>
    <t>製造段階</t>
    <rPh sb="0" eb="2">
      <t>セイゾウ</t>
    </rPh>
    <rPh sb="2" eb="4">
      <t>ダンカイ</t>
    </rPh>
    <phoneticPr fontId="33"/>
  </si>
  <si>
    <t>内生部門計</t>
  </si>
  <si>
    <t>米</t>
  </si>
  <si>
    <t>麦類</t>
  </si>
  <si>
    <t>いも類</t>
  </si>
  <si>
    <t>豆類</t>
  </si>
  <si>
    <t>野菜</t>
  </si>
  <si>
    <t>果実</t>
  </si>
  <si>
    <t>砂糖原料作物</t>
  </si>
  <si>
    <t>飲料用作物</t>
  </si>
  <si>
    <t>その他の食用耕種作物</t>
  </si>
  <si>
    <t>種苗</t>
  </si>
  <si>
    <t>花き・花木類</t>
  </si>
  <si>
    <t>その他の非食用耕種作物</t>
  </si>
  <si>
    <t>酪農</t>
  </si>
  <si>
    <t>その他の畜産</t>
  </si>
  <si>
    <t>獣医業</t>
  </si>
  <si>
    <t>農業サービス（除獣医業）</t>
  </si>
  <si>
    <t>育林</t>
  </si>
  <si>
    <t>素材</t>
  </si>
  <si>
    <t>特用林産物（含狩猟業）</t>
  </si>
  <si>
    <t>海面漁業</t>
    <rPh sb="0" eb="1">
      <t>カイメン</t>
    </rPh>
    <phoneticPr fontId="34"/>
  </si>
  <si>
    <t>海面養殖業</t>
  </si>
  <si>
    <t>内水面漁業・養殖業</t>
    <rPh sb="5" eb="8">
      <t>ヨウショクギョウ</t>
    </rPh>
    <phoneticPr fontId="34"/>
  </si>
  <si>
    <t>金属鉱物</t>
  </si>
  <si>
    <t>窯業原料鉱物</t>
  </si>
  <si>
    <t>砂利・採石</t>
  </si>
  <si>
    <t>石炭・原油・天然ガス</t>
  </si>
  <si>
    <t>と畜（含肉鶏処理）</t>
  </si>
  <si>
    <t>肉加工品</t>
  </si>
  <si>
    <t>畜産びん・かん詰</t>
  </si>
  <si>
    <t>酪農品</t>
  </si>
  <si>
    <t>冷凍魚介類</t>
  </si>
  <si>
    <t>塩・干・くん製品</t>
  </si>
  <si>
    <t>水産びん・かん詰</t>
  </si>
  <si>
    <t>ねり製品</t>
  </si>
  <si>
    <t>その他の水産食品</t>
  </si>
  <si>
    <t>精穀</t>
  </si>
  <si>
    <t>製粉</t>
  </si>
  <si>
    <t>めん類</t>
  </si>
  <si>
    <t>パン類</t>
  </si>
  <si>
    <t>菓子類</t>
  </si>
  <si>
    <t>農産びん・かん詰</t>
  </si>
  <si>
    <t>農産保存食料品（除びん・かん詰）</t>
  </si>
  <si>
    <t>砂糖</t>
  </si>
  <si>
    <t>でん粉</t>
  </si>
  <si>
    <t>ぶどう糖・水あめ・異性化糖</t>
  </si>
  <si>
    <t>植物油脂</t>
  </si>
  <si>
    <t>動物油脂</t>
  </si>
  <si>
    <t>調味料</t>
  </si>
  <si>
    <t>レトルト食品</t>
  </si>
  <si>
    <t>そう菜・すし・弁当</t>
  </si>
  <si>
    <t>その他の食料品</t>
  </si>
  <si>
    <t>ウィスキー類</t>
  </si>
  <si>
    <t>その他の酒類</t>
  </si>
  <si>
    <t>茶・コーヒー</t>
  </si>
  <si>
    <t>清涼飲料</t>
  </si>
  <si>
    <t>製氷</t>
  </si>
  <si>
    <t>飼料</t>
  </si>
  <si>
    <t>有機質肥料（除別掲）</t>
  </si>
  <si>
    <t>たばこ</t>
  </si>
  <si>
    <t>紡績糸</t>
  </si>
  <si>
    <t>綿・スフ織物（含合繊短繊維織物）</t>
  </si>
  <si>
    <t>絹・人絹織物（含合繊長繊維織物）</t>
  </si>
  <si>
    <t>毛織物・麻織物・その他の織物</t>
  </si>
  <si>
    <t>ニット生地</t>
  </si>
  <si>
    <t>染色整理</t>
  </si>
  <si>
    <t>綱・網</t>
  </si>
  <si>
    <t>じゅうたん・床敷物</t>
  </si>
  <si>
    <t>その他の繊維工業製品</t>
  </si>
  <si>
    <t>織物製衣服</t>
  </si>
  <si>
    <t>ニット製衣服</t>
  </si>
  <si>
    <t>その他の衣服・身の回り品</t>
  </si>
  <si>
    <t>寝具</t>
  </si>
  <si>
    <t>その他の繊維既製品</t>
  </si>
  <si>
    <t>製材</t>
  </si>
  <si>
    <t>合板</t>
  </si>
  <si>
    <t>その他の木製品</t>
  </si>
  <si>
    <t>木製家具・装備品</t>
  </si>
  <si>
    <t>木製建具</t>
  </si>
  <si>
    <t>金属製家具・装備品</t>
  </si>
  <si>
    <t>パルプ</t>
  </si>
  <si>
    <t>洋紙・和紙</t>
  </si>
  <si>
    <t>板紙</t>
  </si>
  <si>
    <t>段ボール</t>
  </si>
  <si>
    <t>塗工紙・建設用加工紙</t>
  </si>
  <si>
    <t>その他の紙製容器</t>
  </si>
  <si>
    <t>紙製衛生材料・用品</t>
  </si>
  <si>
    <t>その他のパルプ・紙・紙加工品</t>
  </si>
  <si>
    <t>印刷・製版・製本</t>
  </si>
  <si>
    <t>化学肥料</t>
  </si>
  <si>
    <t>ソーダ工業製品</t>
  </si>
  <si>
    <t>無機顔料</t>
  </si>
  <si>
    <t>圧縮ガス・液化ガス</t>
  </si>
  <si>
    <t>塩</t>
  </si>
  <si>
    <t>その他の無機化学工業製品</t>
  </si>
  <si>
    <t>石油化学基礎製品</t>
  </si>
  <si>
    <t>石油化学系芳香族製品</t>
  </si>
  <si>
    <t>脂肪族中間物</t>
  </si>
  <si>
    <t>環式中間物</t>
  </si>
  <si>
    <t>合成ゴム</t>
  </si>
  <si>
    <t>メタン誘導品</t>
  </si>
  <si>
    <t>油脂加工製品</t>
  </si>
  <si>
    <t>可塑剤</t>
  </si>
  <si>
    <t>合成染料</t>
  </si>
  <si>
    <t>その他の有機化学工業製品</t>
  </si>
  <si>
    <t>熱硬化性樹脂</t>
  </si>
  <si>
    <t>熱可塑性樹脂</t>
  </si>
  <si>
    <t>高機能性樹脂</t>
  </si>
  <si>
    <t>その他の合成樹脂</t>
  </si>
  <si>
    <t>レーヨン・アセテート</t>
  </si>
  <si>
    <t>合成繊維</t>
  </si>
  <si>
    <t>医薬品</t>
  </si>
  <si>
    <t>石けん・合成洗剤・界面活性剤</t>
  </si>
  <si>
    <t>化粧品・歯磨</t>
  </si>
  <si>
    <t>塗料</t>
  </si>
  <si>
    <t>印刷インキ</t>
  </si>
  <si>
    <t>写真感光材料</t>
  </si>
  <si>
    <t>農薬</t>
  </si>
  <si>
    <t>ゼラチン・接着剤</t>
  </si>
  <si>
    <t>その他の化学最終製品</t>
  </si>
  <si>
    <t>石油製品</t>
  </si>
  <si>
    <t>石炭製品</t>
  </si>
  <si>
    <t>舗装材料</t>
  </si>
  <si>
    <t>プラスチック製品</t>
  </si>
  <si>
    <t>タイヤ・チューブ</t>
  </si>
  <si>
    <t>ゴム製履物</t>
  </si>
  <si>
    <t>プラスチック製履物</t>
  </si>
  <si>
    <t>革製履物</t>
  </si>
  <si>
    <t>製革・毛皮</t>
  </si>
  <si>
    <t>かばん・袋物・その他の革製品</t>
  </si>
  <si>
    <t>板ガラス・安全ガラス</t>
  </si>
  <si>
    <t>ガラス繊維・同製品</t>
  </si>
  <si>
    <t>その他のガラス製品</t>
  </si>
  <si>
    <t>セメント</t>
  </si>
  <si>
    <t>セメント製品</t>
  </si>
  <si>
    <t>陶磁器</t>
  </si>
  <si>
    <t>耐火物</t>
  </si>
  <si>
    <t>その他の建設用土石製品</t>
  </si>
  <si>
    <t>炭素・黒鉛製品</t>
  </si>
  <si>
    <t>研磨材</t>
  </si>
  <si>
    <t>その他の窯業・土石製品</t>
  </si>
  <si>
    <t>銑鉄</t>
  </si>
  <si>
    <t>フェロアロイ</t>
  </si>
  <si>
    <t>粗鋼（転炉）</t>
  </si>
  <si>
    <t>粗鋼（電気炉）</t>
  </si>
  <si>
    <t>鉄屑</t>
  </si>
  <si>
    <t>熱間圧延鋼材</t>
  </si>
  <si>
    <t>鋼管</t>
  </si>
  <si>
    <t>冷間仕上鋼材</t>
  </si>
  <si>
    <t>めっき鋼材</t>
  </si>
  <si>
    <t>鋳鍛鋼</t>
  </si>
  <si>
    <t>鋳鉄品及び鍛工品（鉄）</t>
  </si>
  <si>
    <t>鉄鋼シャースリット業</t>
  </si>
  <si>
    <t>その他の鉄鋼製品</t>
  </si>
  <si>
    <t>銅</t>
  </si>
  <si>
    <t>鉛・亜鉛（含再生）</t>
  </si>
  <si>
    <t>アルミニウム（含再生）</t>
  </si>
  <si>
    <t>その他の非鉄金属地金</t>
  </si>
  <si>
    <t>非鉄金属屑</t>
  </si>
  <si>
    <t>電線・ケーブル</t>
  </si>
  <si>
    <t>光ファイバケーブル</t>
  </si>
  <si>
    <t>伸銅品</t>
  </si>
  <si>
    <t>アルミ圧延製品</t>
  </si>
  <si>
    <t>非鉄金属素形材</t>
  </si>
  <si>
    <t>その他の非鉄金属製品</t>
  </si>
  <si>
    <t>建設用金属製品</t>
  </si>
  <si>
    <t>建築用金属製品</t>
  </si>
  <si>
    <t>ガス・石油機器及び暖厨房機器</t>
  </si>
  <si>
    <t>ボルト・ナット・リベット及びスプリング</t>
  </si>
  <si>
    <t>金属製容器及び製缶板金製品</t>
  </si>
  <si>
    <t>配管工事付属品・粉末や金製品・道具類</t>
  </si>
  <si>
    <t>その他の金属製品</t>
  </si>
  <si>
    <t>ボイラ</t>
  </si>
  <si>
    <t>タービン</t>
  </si>
  <si>
    <t>原動機</t>
  </si>
  <si>
    <t>運搬機械</t>
  </si>
  <si>
    <t>冷凍機・温湿調整装置</t>
  </si>
  <si>
    <t>ポンプ及び圧縮機</t>
  </si>
  <si>
    <t>機械工具</t>
  </si>
  <si>
    <t>その他の一般産業機械及び装置</t>
  </si>
  <si>
    <t>建設・鉱山機械</t>
  </si>
  <si>
    <t>化学機械</t>
  </si>
  <si>
    <t>産業用ロボット</t>
  </si>
  <si>
    <t>金属工作機械</t>
  </si>
  <si>
    <t>金属加工機械</t>
  </si>
  <si>
    <t>農業用機械</t>
  </si>
  <si>
    <t>繊維機械</t>
  </si>
  <si>
    <t>食品機械・同装置</t>
  </si>
  <si>
    <t>半導体製造装置</t>
  </si>
  <si>
    <t>真空装置・真空機器</t>
  </si>
  <si>
    <t>その他の特殊産業用機械</t>
  </si>
  <si>
    <t>金型</t>
  </si>
  <si>
    <t>ベアリング</t>
  </si>
  <si>
    <t>その他の一般機械器具及び部品</t>
  </si>
  <si>
    <t>複写機</t>
  </si>
  <si>
    <t>その他の事務用機械</t>
  </si>
  <si>
    <t>サービス用機器</t>
  </si>
  <si>
    <t>回転電気機械</t>
  </si>
  <si>
    <t>開閉制御装置及び配電盤</t>
  </si>
  <si>
    <t>配線器具</t>
  </si>
  <si>
    <t>内燃機関電装品</t>
  </si>
  <si>
    <t>電子応用装置</t>
  </si>
  <si>
    <t>電気計測器</t>
  </si>
  <si>
    <t>電球類</t>
  </si>
  <si>
    <t>電気照明器具</t>
  </si>
  <si>
    <t>電池</t>
  </si>
  <si>
    <t>その他の電気機械器具</t>
  </si>
  <si>
    <t>民生用エアコンディショナ</t>
  </si>
  <si>
    <t>民生用電気機器（除エアコン）</t>
  </si>
  <si>
    <t>ビデオ機器</t>
  </si>
  <si>
    <t>電気音響機器</t>
  </si>
  <si>
    <t>ラジオ・テレビ受信機</t>
  </si>
  <si>
    <t>有線電気通信機器</t>
  </si>
  <si>
    <t>携帯電話機</t>
  </si>
  <si>
    <t>無線電気通信機器（除携帯電話機）</t>
  </si>
  <si>
    <t>その他の電気通信機器</t>
  </si>
  <si>
    <t>電子計算機本体（除パソコン）</t>
  </si>
  <si>
    <t>電子計算機付属装置</t>
  </si>
  <si>
    <t>半導体素子</t>
  </si>
  <si>
    <t>集積回路</t>
  </si>
  <si>
    <t>電子管</t>
  </si>
  <si>
    <t>磁気テープ・磁気ディスク</t>
  </si>
  <si>
    <t>その他の電子部品</t>
  </si>
  <si>
    <t>乗用車</t>
  </si>
  <si>
    <t>トラック・バス・その他の自動車</t>
  </si>
  <si>
    <t>二輪自動車</t>
  </si>
  <si>
    <t>自動車車体</t>
  </si>
  <si>
    <t>自動車用内燃機関・同部分品</t>
  </si>
  <si>
    <t>自動車部品</t>
  </si>
  <si>
    <t>鋼船</t>
  </si>
  <si>
    <t>その他の船舶</t>
  </si>
  <si>
    <t>舶用内燃機関</t>
  </si>
  <si>
    <t>船舶修理</t>
  </si>
  <si>
    <t>鉄道車両</t>
  </si>
  <si>
    <t>鉄道車両修理</t>
  </si>
  <si>
    <t>航空機</t>
  </si>
  <si>
    <t>航空機修理</t>
  </si>
  <si>
    <t>自転車</t>
  </si>
  <si>
    <t>その他の輸送機械</t>
  </si>
  <si>
    <t>カメラ</t>
  </si>
  <si>
    <t>その他の光学機械</t>
  </si>
  <si>
    <t>時計</t>
  </si>
  <si>
    <t>分析器・試験機・計量器・測定器</t>
  </si>
  <si>
    <t>医療用機械器具</t>
  </si>
  <si>
    <t>がん具</t>
  </si>
  <si>
    <t>運動用品</t>
  </si>
  <si>
    <t>楽器</t>
  </si>
  <si>
    <t>情報記録物</t>
  </si>
  <si>
    <t>筆記具・文具</t>
  </si>
  <si>
    <t>身辺細貨品</t>
  </si>
  <si>
    <t>畳・わら加工品</t>
  </si>
  <si>
    <t>その他の製造工業製品</t>
  </si>
  <si>
    <t>再生資源回収・加工処理</t>
  </si>
  <si>
    <t>住宅建築（木造）</t>
  </si>
  <si>
    <t>住宅建築（非木造）</t>
  </si>
  <si>
    <t>非住宅建築（木造）</t>
  </si>
  <si>
    <t>非住宅建築（非木造）</t>
  </si>
  <si>
    <t>道路関係公共事業</t>
  </si>
  <si>
    <t>河川・下水道・その他の公共事業</t>
  </si>
  <si>
    <t>その他の土木建設</t>
  </si>
  <si>
    <t>事業用電力</t>
    <rPh sb="2" eb="4">
      <t>デンリョク</t>
    </rPh>
    <phoneticPr fontId="34"/>
  </si>
  <si>
    <t>自家発電</t>
  </si>
  <si>
    <t>熱供給業</t>
  </si>
  <si>
    <t>上水道・簡易水道</t>
  </si>
  <si>
    <t>工業用水</t>
  </si>
  <si>
    <t>廃棄物処理（産業）</t>
  </si>
  <si>
    <t>卸売</t>
  </si>
  <si>
    <t>小売</t>
  </si>
  <si>
    <t>金融</t>
  </si>
  <si>
    <t>生命保険</t>
  </si>
  <si>
    <t>損害保険</t>
  </si>
  <si>
    <t>不動産仲介・管理業</t>
  </si>
  <si>
    <t>不動産賃貸業</t>
  </si>
  <si>
    <t>住宅賃貸料</t>
  </si>
  <si>
    <t>住宅賃貸料（帰属家賃）</t>
  </si>
  <si>
    <t>鉄道旅客輸送</t>
  </si>
  <si>
    <t>鉄道貨物輸送</t>
  </si>
  <si>
    <t>ハイヤー・タクシー</t>
  </si>
  <si>
    <t>道路貨物輸送（除自家輸送）</t>
  </si>
  <si>
    <t>自家輸送（旅客自動車）</t>
  </si>
  <si>
    <t>自家輸送（貨物自動車）</t>
  </si>
  <si>
    <t>外洋輸送</t>
  </si>
  <si>
    <t>沿海・内水面輸送</t>
  </si>
  <si>
    <t>港湾運送</t>
  </si>
  <si>
    <t>航空輸送</t>
  </si>
  <si>
    <t>貨物利用運送</t>
  </si>
  <si>
    <t>倉庫</t>
  </si>
  <si>
    <t>こん包</t>
  </si>
  <si>
    <t>道路輸送施設提供</t>
  </si>
  <si>
    <t>その他の水運付帯サービス</t>
  </si>
  <si>
    <t>航空施設管理（産業）</t>
  </si>
  <si>
    <t>その他の航空付帯サービス</t>
  </si>
  <si>
    <t>旅行・その他の運輸付帯サービス</t>
  </si>
  <si>
    <t>郵便・信書便</t>
  </si>
  <si>
    <t>固定電気通信</t>
  </si>
  <si>
    <t>移動電気通信</t>
  </si>
  <si>
    <t>その他の電気通信</t>
  </si>
  <si>
    <t>その他の通信サービス</t>
  </si>
  <si>
    <t>公共放送</t>
  </si>
  <si>
    <t>民間放送</t>
  </si>
  <si>
    <t>有線放送</t>
  </si>
  <si>
    <t>情報サービス</t>
  </si>
  <si>
    <t>インターネット附随サービス</t>
  </si>
  <si>
    <t>映像情報制作・配給業</t>
  </si>
  <si>
    <t>新聞</t>
  </si>
  <si>
    <t>出版</t>
  </si>
  <si>
    <t>ニュース供給・興信所</t>
  </si>
  <si>
    <t>その他の教育訓練機関（産業）</t>
  </si>
  <si>
    <t>自然科学研究機関（産業）</t>
  </si>
  <si>
    <t>人文科学研究機関（産業）</t>
  </si>
  <si>
    <t>企業内研究開発</t>
  </si>
  <si>
    <t>医療（国公立）</t>
  </si>
  <si>
    <t>医療（公益法人等）</t>
  </si>
  <si>
    <t>医療（医療法人等）</t>
  </si>
  <si>
    <t>保健衛生（産業）</t>
  </si>
  <si>
    <t>社会福祉（産業）</t>
  </si>
  <si>
    <t>介護（居宅）</t>
  </si>
  <si>
    <t>介護（施設）</t>
  </si>
  <si>
    <t>対企業民間非営利団体</t>
  </si>
  <si>
    <t>広告</t>
  </si>
  <si>
    <t>物品賃貸業（除貸自動車）</t>
  </si>
  <si>
    <t>貸自動車業</t>
  </si>
  <si>
    <t>自動車修理</t>
  </si>
  <si>
    <t>機械修理</t>
  </si>
  <si>
    <t>建物サービス</t>
  </si>
  <si>
    <t>法務・財務・会計サービス</t>
  </si>
  <si>
    <t>土木建築サービス</t>
  </si>
  <si>
    <t>労働者派遣サービス</t>
  </si>
  <si>
    <t>その他の対事業所サービス</t>
  </si>
  <si>
    <t>映画館</t>
  </si>
  <si>
    <t>興行場（除別掲）・興行団</t>
  </si>
  <si>
    <t>遊戯場</t>
  </si>
  <si>
    <t>競輪・競馬等の競走場・競技団</t>
  </si>
  <si>
    <t>スポーツ施設提供業・公園・遊園地</t>
  </si>
  <si>
    <t>その他の娯楽</t>
  </si>
  <si>
    <t>一般飲食店（除喫茶店）</t>
  </si>
  <si>
    <t>喫茶店</t>
  </si>
  <si>
    <t>遊興飲食店</t>
  </si>
  <si>
    <t>宿泊業</t>
  </si>
  <si>
    <t>洗濯業</t>
  </si>
  <si>
    <t>理容業</t>
  </si>
  <si>
    <t>美容業</t>
  </si>
  <si>
    <t>浴場業</t>
  </si>
  <si>
    <t>その他の洗濯・理容・美容・浴場業</t>
  </si>
  <si>
    <t>写真業</t>
  </si>
  <si>
    <t>冠婚葬祭業</t>
  </si>
  <si>
    <t>各種修理業（除別掲）</t>
  </si>
  <si>
    <t>個人教授業</t>
  </si>
  <si>
    <t>その他の対個人サービス</t>
  </si>
  <si>
    <t>事務用品</t>
  </si>
  <si>
    <t>分類不明</t>
  </si>
  <si>
    <r>
      <t>P</t>
    </r>
    <r>
      <rPr>
        <sz val="11"/>
        <color theme="1"/>
        <rFont val="ＭＳ Ｐゴシック"/>
        <family val="2"/>
        <charset val="128"/>
        <scheme val="minor"/>
      </rPr>
      <t>01</t>
    </r>
    <phoneticPr fontId="34"/>
  </si>
  <si>
    <r>
      <t>P</t>
    </r>
    <r>
      <rPr>
        <sz val="11"/>
        <color theme="1"/>
        <rFont val="ＭＳ Ｐゴシック"/>
        <family val="2"/>
        <charset val="128"/>
        <scheme val="minor"/>
      </rPr>
      <t>02</t>
    </r>
    <phoneticPr fontId="34"/>
  </si>
  <si>
    <r>
      <t>P</t>
    </r>
    <r>
      <rPr>
        <sz val="11"/>
        <color theme="1"/>
        <rFont val="ＭＳ Ｐゴシック"/>
        <family val="2"/>
        <charset val="128"/>
        <scheme val="minor"/>
      </rPr>
      <t>03</t>
    </r>
  </si>
  <si>
    <r>
      <t>P</t>
    </r>
    <r>
      <rPr>
        <sz val="11"/>
        <color theme="1"/>
        <rFont val="ＭＳ Ｐゴシック"/>
        <family val="2"/>
        <charset val="128"/>
        <scheme val="minor"/>
      </rPr>
      <t>04</t>
    </r>
  </si>
  <si>
    <r>
      <t>P</t>
    </r>
    <r>
      <rPr>
        <sz val="11"/>
        <color theme="1"/>
        <rFont val="ＭＳ Ｐゴシック"/>
        <family val="2"/>
        <charset val="128"/>
        <scheme val="minor"/>
      </rPr>
      <t>05</t>
    </r>
  </si>
  <si>
    <t>P合計</t>
    <rPh sb="1" eb="3">
      <t>ゴウケイ</t>
    </rPh>
    <phoneticPr fontId="33"/>
  </si>
  <si>
    <t>P01</t>
  </si>
  <si>
    <t>供給段階</t>
    <rPh sb="0" eb="2">
      <t>キョウキュウ</t>
    </rPh>
    <rPh sb="2" eb="4">
      <t>ダンカイ</t>
    </rPh>
    <phoneticPr fontId="33"/>
  </si>
  <si>
    <t>D01</t>
  </si>
  <si>
    <t>D01</t>
    <phoneticPr fontId="34"/>
  </si>
  <si>
    <t>D合計</t>
    <rPh sb="1" eb="3">
      <t>ゴウケイ</t>
    </rPh>
    <phoneticPr fontId="33"/>
  </si>
  <si>
    <t>貯蔵・輸送段階</t>
    <rPh sb="0" eb="2">
      <t>チョゾウ</t>
    </rPh>
    <rPh sb="3" eb="5">
      <t>ユソウ</t>
    </rPh>
    <rPh sb="5" eb="7">
      <t>ダンカイ</t>
    </rPh>
    <phoneticPr fontId="33"/>
  </si>
  <si>
    <t>ST01</t>
  </si>
  <si>
    <t>参考単位[MJ/kg]</t>
  </si>
  <si>
    <t>参考単位[円/kg]</t>
  </si>
  <si>
    <t>DB_name</t>
    <phoneticPr fontId="33"/>
  </si>
  <si>
    <t>DB_ID</t>
    <phoneticPr fontId="33"/>
  </si>
  <si>
    <t>総額</t>
    <rPh sb="0" eb="2">
      <t>ソウガク</t>
    </rPh>
    <phoneticPr fontId="32"/>
  </si>
  <si>
    <t>販売[円]</t>
    <rPh sb="0" eb="2">
      <t>ハンバイ</t>
    </rPh>
    <rPh sb="3" eb="4">
      <t>エン</t>
    </rPh>
    <phoneticPr fontId="32"/>
  </si>
  <si>
    <t>情報源</t>
    <phoneticPr fontId="33"/>
  </si>
  <si>
    <t>温暖化係数（GWP)</t>
    <rPh sb="0" eb="3">
      <t>オンダンカ</t>
    </rPh>
    <rPh sb="3" eb="5">
      <t>ケイスウ</t>
    </rPh>
    <phoneticPr fontId="33"/>
  </si>
  <si>
    <t>製造段階：大気への直接排出量</t>
    <rPh sb="5" eb="7">
      <t>タイキ</t>
    </rPh>
    <rPh sb="9" eb="11">
      <t>チョクセツ</t>
    </rPh>
    <rPh sb="11" eb="13">
      <t>ハイシュツ</t>
    </rPh>
    <rPh sb="13" eb="14">
      <t>リョウ</t>
    </rPh>
    <phoneticPr fontId="33"/>
  </si>
  <si>
    <t>製造段階：副産物発生量</t>
    <rPh sb="5" eb="8">
      <t>フクサンブツ</t>
    </rPh>
    <rPh sb="8" eb="11">
      <t>ハッセイリョウ</t>
    </rPh>
    <phoneticPr fontId="33"/>
  </si>
  <si>
    <t>製造段階合計</t>
    <rPh sb="4" eb="6">
      <t>ゴウケイ</t>
    </rPh>
    <phoneticPr fontId="33"/>
  </si>
  <si>
    <t>貯蔵・輸送段階合計</t>
    <rPh sb="7" eb="9">
      <t>ゴウケイ</t>
    </rPh>
    <phoneticPr fontId="33"/>
  </si>
  <si>
    <t>供給段階合計</t>
    <rPh sb="4" eb="6">
      <t>ゴウケイ</t>
    </rPh>
    <phoneticPr fontId="33"/>
  </si>
  <si>
    <t>配分割合</t>
    <rPh sb="2" eb="4">
      <t>ワリアイ</t>
    </rPh>
    <phoneticPr fontId="34"/>
  </si>
  <si>
    <t>重量配分</t>
    <rPh sb="0" eb="2">
      <t>ジュウリョウ</t>
    </rPh>
    <phoneticPr fontId="33"/>
  </si>
  <si>
    <t>金額配分</t>
    <rPh sb="0" eb="2">
      <t>キンガク</t>
    </rPh>
    <phoneticPr fontId="33"/>
  </si>
  <si>
    <t>熱量配分</t>
    <rPh sb="0" eb="2">
      <t>ネツリョウ</t>
    </rPh>
    <phoneticPr fontId="33"/>
  </si>
  <si>
    <t>副産物代替品排出係数</t>
    <rPh sb="0" eb="3">
      <t>フクサンブツ</t>
    </rPh>
    <rPh sb="3" eb="6">
      <t>ダイタイヒン</t>
    </rPh>
    <rPh sb="6" eb="8">
      <t>ハイシュツ</t>
    </rPh>
    <rPh sb="8" eb="10">
      <t>ケイスウ</t>
    </rPh>
    <phoneticPr fontId="34"/>
  </si>
  <si>
    <t>排出係数名称</t>
    <rPh sb="0" eb="2">
      <t>ハイシュツ</t>
    </rPh>
    <rPh sb="2" eb="4">
      <t>ケイスウ</t>
    </rPh>
    <rPh sb="4" eb="6">
      <t>メイショウ</t>
    </rPh>
    <phoneticPr fontId="33"/>
  </si>
  <si>
    <t>排出係数（kg-CO2）</t>
    <rPh sb="0" eb="2">
      <t>ハイシュツ</t>
    </rPh>
    <rPh sb="2" eb="4">
      <t>ケイスウ</t>
    </rPh>
    <phoneticPr fontId="33"/>
  </si>
  <si>
    <t>排出係数</t>
    <rPh sb="0" eb="2">
      <t>ハイシュツ</t>
    </rPh>
    <rPh sb="2" eb="4">
      <t>ケイスウ</t>
    </rPh>
    <phoneticPr fontId="33"/>
  </si>
  <si>
    <t>利用機器運用</t>
    <rPh sb="0" eb="2">
      <t>リヨウ</t>
    </rPh>
    <rPh sb="2" eb="4">
      <t>キキ</t>
    </rPh>
    <rPh sb="4" eb="6">
      <t>ウンヨウ</t>
    </rPh>
    <phoneticPr fontId="33"/>
  </si>
  <si>
    <t>*原材料・ユーティリティ等に記載した原料製造、燃料燃焼以外で、当該段階にて直接排出される温室効果ガスを入力。（例：メタン発酵時のメタン漏洩）</t>
    <rPh sb="1" eb="4">
      <t>ゲンザイリョウ</t>
    </rPh>
    <rPh sb="12" eb="13">
      <t>トウ</t>
    </rPh>
    <rPh sb="14" eb="16">
      <t>キサイ</t>
    </rPh>
    <rPh sb="18" eb="20">
      <t>ゲンリョウ</t>
    </rPh>
    <rPh sb="20" eb="22">
      <t>セイゾウ</t>
    </rPh>
    <rPh sb="23" eb="25">
      <t>ネンリョウ</t>
    </rPh>
    <rPh sb="25" eb="27">
      <t>ネンショウ</t>
    </rPh>
    <rPh sb="27" eb="29">
      <t>イガイ</t>
    </rPh>
    <rPh sb="31" eb="33">
      <t>トウガイ</t>
    </rPh>
    <rPh sb="33" eb="35">
      <t>ダンカイ</t>
    </rPh>
    <rPh sb="37" eb="39">
      <t>チョクセツ</t>
    </rPh>
    <rPh sb="39" eb="41">
      <t>ハイシュツ</t>
    </rPh>
    <rPh sb="44" eb="46">
      <t>オンシツ</t>
    </rPh>
    <rPh sb="46" eb="48">
      <t>コウカ</t>
    </rPh>
    <rPh sb="51" eb="53">
      <t>ニュウリョク</t>
    </rPh>
    <rPh sb="55" eb="56">
      <t>レイ</t>
    </rPh>
    <rPh sb="60" eb="63">
      <t>ハッコウジ</t>
    </rPh>
    <rPh sb="67" eb="69">
      <t>ロウエイ</t>
    </rPh>
    <phoneticPr fontId="33"/>
  </si>
  <si>
    <t>製造段階：輸送</t>
  </si>
  <si>
    <t>代替効果</t>
    <phoneticPr fontId="34"/>
  </si>
  <si>
    <t>体積配分</t>
    <rPh sb="0" eb="2">
      <t>タイセキ</t>
    </rPh>
    <rPh sb="2" eb="4">
      <t>ハイブン</t>
    </rPh>
    <phoneticPr fontId="33"/>
  </si>
  <si>
    <t>体積配分</t>
    <rPh sb="0" eb="2">
      <t>タイセキ</t>
    </rPh>
    <rPh sb="2" eb="4">
      <t>ハイブン</t>
    </rPh>
    <phoneticPr fontId="33"/>
  </si>
  <si>
    <t>体積配分</t>
    <rPh sb="0" eb="2">
      <t>タイセキ</t>
    </rPh>
    <rPh sb="2" eb="4">
      <t>ハイブン</t>
    </rPh>
    <phoneticPr fontId="33"/>
  </si>
  <si>
    <t>参考単位[Nm3/kg]</t>
    <phoneticPr fontId="33"/>
  </si>
  <si>
    <t>［Nm3］</t>
    <phoneticPr fontId="33"/>
  </si>
  <si>
    <t>GLIO</t>
    <phoneticPr fontId="33"/>
  </si>
  <si>
    <t>IDEAv2</t>
  </si>
  <si>
    <r>
      <t>DB</t>
    </r>
    <r>
      <rPr>
        <sz val="11"/>
        <rFont val="ＭＳ Ｐゴシック"/>
        <family val="3"/>
        <charset val="128"/>
      </rPr>
      <t>リスト</t>
    </r>
    <phoneticPr fontId="33"/>
  </si>
  <si>
    <t>1531～1650</t>
  </si>
  <si>
    <t>区分
（車両重量kg）</t>
    <rPh sb="0" eb="2">
      <t>クブン</t>
    </rPh>
    <phoneticPr fontId="19"/>
  </si>
  <si>
    <t>～600</t>
  </si>
  <si>
    <t>601～740</t>
  </si>
  <si>
    <t>741～855</t>
  </si>
  <si>
    <t>856～970</t>
  </si>
  <si>
    <t>971～1080</t>
  </si>
  <si>
    <t>1081～1195</t>
  </si>
  <si>
    <t>1196～1310</t>
  </si>
  <si>
    <t>1311～1420</t>
  </si>
  <si>
    <t>1421～1530</t>
  </si>
  <si>
    <t>1651～1760</t>
  </si>
  <si>
    <t>1761～1870</t>
  </si>
  <si>
    <t>1871～1990</t>
  </si>
  <si>
    <t>1991～2100</t>
  </si>
  <si>
    <t>2101～2270</t>
  </si>
  <si>
    <t>2271～</t>
  </si>
  <si>
    <t>自動車</t>
    <rPh sb="0" eb="3">
      <t>ジドウシャ</t>
    </rPh>
    <phoneticPr fontId="33"/>
  </si>
  <si>
    <t>路線バス</t>
    <rPh sb="0" eb="2">
      <t>ロセン</t>
    </rPh>
    <phoneticPr fontId="33"/>
  </si>
  <si>
    <t>一般バス</t>
    <rPh sb="0" eb="2">
      <t>イッパン</t>
    </rPh>
    <phoneticPr fontId="33"/>
  </si>
  <si>
    <t>使用タイプ</t>
    <rPh sb="0" eb="2">
      <t>シヨウ</t>
    </rPh>
    <phoneticPr fontId="33"/>
  </si>
  <si>
    <r>
      <t>14001</t>
    </r>
    <r>
      <rPr>
        <sz val="11"/>
        <color theme="1"/>
        <rFont val="ＭＳ Ｐゴシック"/>
        <family val="3"/>
        <charset val="128"/>
      </rPr>
      <t>～</t>
    </r>
    <phoneticPr fontId="33"/>
  </si>
  <si>
    <r>
      <t>8001</t>
    </r>
    <r>
      <rPr>
        <sz val="11"/>
        <color theme="1"/>
        <rFont val="ＭＳ Ｐゴシック"/>
        <family val="3"/>
        <charset val="128"/>
      </rPr>
      <t>～</t>
    </r>
    <r>
      <rPr>
        <sz val="11"/>
        <color theme="1"/>
        <rFont val="Arial"/>
        <family val="2"/>
        <charset val="128"/>
      </rPr>
      <t>10000</t>
    </r>
    <phoneticPr fontId="33"/>
  </si>
  <si>
    <r>
      <t>12001</t>
    </r>
    <r>
      <rPr>
        <sz val="11"/>
        <color theme="1"/>
        <rFont val="ＭＳ Ｐゴシック"/>
        <family val="3"/>
        <charset val="128"/>
      </rPr>
      <t>～</t>
    </r>
    <r>
      <rPr>
        <sz val="11"/>
        <color theme="1"/>
        <rFont val="Arial"/>
        <family val="2"/>
        <charset val="128"/>
      </rPr>
      <t>14000</t>
    </r>
    <phoneticPr fontId="33"/>
  </si>
  <si>
    <r>
      <t>10001</t>
    </r>
    <r>
      <rPr>
        <sz val="11"/>
        <color theme="1"/>
        <rFont val="ＭＳ Ｐゴシック"/>
        <family val="3"/>
        <charset val="128"/>
      </rPr>
      <t>～</t>
    </r>
    <r>
      <rPr>
        <sz val="11"/>
        <color theme="1"/>
        <rFont val="Arial"/>
        <family val="2"/>
        <charset val="128"/>
      </rPr>
      <t>12000</t>
    </r>
    <phoneticPr fontId="33"/>
  </si>
  <si>
    <t>3.5~8</t>
    <phoneticPr fontId="51"/>
  </si>
  <si>
    <t>8~10</t>
    <phoneticPr fontId="33"/>
  </si>
  <si>
    <t>10~12</t>
    <phoneticPr fontId="33"/>
  </si>
  <si>
    <t>12~14</t>
    <phoneticPr fontId="33"/>
  </si>
  <si>
    <t>14~</t>
    <phoneticPr fontId="33"/>
  </si>
  <si>
    <r>
      <rPr>
        <sz val="11"/>
        <color theme="1"/>
        <rFont val="ＭＳ Ｐゴシック"/>
        <family val="3"/>
        <charset val="128"/>
      </rPr>
      <t>燃費基準値（</t>
    </r>
    <r>
      <rPr>
        <sz val="11"/>
        <color theme="1"/>
        <rFont val="Arial"/>
        <family val="2"/>
        <charset val="128"/>
      </rPr>
      <t>km/L</t>
    </r>
    <r>
      <rPr>
        <sz val="11"/>
        <color theme="1"/>
        <rFont val="ＭＳ Ｐゴシック"/>
        <family val="3"/>
        <charset val="128"/>
      </rPr>
      <t>）</t>
    </r>
    <phoneticPr fontId="51"/>
  </si>
  <si>
    <t>区分（車両重量ｔ）</t>
    <rPh sb="0" eb="2">
      <t>クブン</t>
    </rPh>
    <phoneticPr fontId="51"/>
  </si>
  <si>
    <r>
      <t>3501</t>
    </r>
    <r>
      <rPr>
        <sz val="11"/>
        <color theme="1"/>
        <rFont val="ＭＳ Ｐゴシック"/>
        <family val="3"/>
        <charset val="128"/>
      </rPr>
      <t>～</t>
    </r>
    <r>
      <rPr>
        <sz val="11"/>
        <color theme="1"/>
        <rFont val="Arial"/>
        <family val="2"/>
        <charset val="128"/>
      </rPr>
      <t>8000</t>
    </r>
    <phoneticPr fontId="33"/>
  </si>
  <si>
    <r>
      <t>3501</t>
    </r>
    <r>
      <rPr>
        <sz val="11"/>
        <color theme="1"/>
        <rFont val="ＭＳ Ｐゴシック"/>
        <family val="3"/>
        <charset val="128"/>
      </rPr>
      <t>～</t>
    </r>
    <phoneticPr fontId="33"/>
  </si>
  <si>
    <r>
      <t>6001</t>
    </r>
    <r>
      <rPr>
        <sz val="11"/>
        <color theme="1"/>
        <rFont val="ＭＳ Ｐゴシック"/>
        <family val="3"/>
        <charset val="128"/>
      </rPr>
      <t>～</t>
    </r>
    <r>
      <rPr>
        <sz val="11"/>
        <color theme="1"/>
        <rFont val="Arial"/>
        <family val="2"/>
        <charset val="128"/>
      </rPr>
      <t>8000</t>
    </r>
    <phoneticPr fontId="33"/>
  </si>
  <si>
    <r>
      <t>8001</t>
    </r>
    <r>
      <rPr>
        <sz val="11"/>
        <color theme="1"/>
        <rFont val="ＭＳ Ｐゴシック"/>
        <family val="3"/>
        <charset val="128"/>
      </rPr>
      <t>～</t>
    </r>
    <r>
      <rPr>
        <sz val="11"/>
        <color theme="1"/>
        <rFont val="Arial"/>
        <family val="2"/>
        <charset val="128"/>
      </rPr>
      <t>10000</t>
    </r>
    <phoneticPr fontId="33"/>
  </si>
  <si>
    <r>
      <t>10001</t>
    </r>
    <r>
      <rPr>
        <sz val="11"/>
        <color theme="1"/>
        <rFont val="ＭＳ Ｐゴシック"/>
        <family val="3"/>
        <charset val="128"/>
      </rPr>
      <t>～</t>
    </r>
    <r>
      <rPr>
        <sz val="11"/>
        <color theme="1"/>
        <rFont val="Arial"/>
        <family val="2"/>
        <charset val="128"/>
      </rPr>
      <t>12000</t>
    </r>
    <phoneticPr fontId="33"/>
  </si>
  <si>
    <r>
      <t>12001</t>
    </r>
    <r>
      <rPr>
        <sz val="11"/>
        <color theme="1"/>
        <rFont val="ＭＳ Ｐゴシック"/>
        <family val="3"/>
        <charset val="128"/>
      </rPr>
      <t>～</t>
    </r>
    <r>
      <rPr>
        <sz val="11"/>
        <color theme="1"/>
        <rFont val="Arial"/>
        <family val="2"/>
        <charset val="128"/>
      </rPr>
      <t>14000</t>
    </r>
    <phoneticPr fontId="33"/>
  </si>
  <si>
    <r>
      <t>14001</t>
    </r>
    <r>
      <rPr>
        <sz val="11"/>
        <color theme="1"/>
        <rFont val="ＭＳ Ｐゴシック"/>
        <family val="3"/>
        <charset val="128"/>
      </rPr>
      <t>～</t>
    </r>
    <r>
      <rPr>
        <sz val="11"/>
        <color theme="1"/>
        <rFont val="Arial"/>
        <family val="2"/>
        <charset val="128"/>
      </rPr>
      <t>16000</t>
    </r>
    <phoneticPr fontId="33"/>
  </si>
  <si>
    <r>
      <t>16001</t>
    </r>
    <r>
      <rPr>
        <sz val="11"/>
        <color theme="1"/>
        <rFont val="ＭＳ Ｐゴシック"/>
        <family val="3"/>
        <charset val="128"/>
      </rPr>
      <t>～</t>
    </r>
    <phoneticPr fontId="33"/>
  </si>
  <si>
    <t>埋立</t>
    <rPh sb="0" eb="2">
      <t>ウメタテ</t>
    </rPh>
    <phoneticPr fontId="33"/>
  </si>
  <si>
    <t>事業実施年度</t>
    <rPh sb="0" eb="2">
      <t>ジギョウ</t>
    </rPh>
    <rPh sb="2" eb="4">
      <t>ジッシ</t>
    </rPh>
    <rPh sb="4" eb="6">
      <t>ネンド</t>
    </rPh>
    <phoneticPr fontId="33"/>
  </si>
  <si>
    <t>製造段階：資本財</t>
    <rPh sb="5" eb="8">
      <t>シホンザイ</t>
    </rPh>
    <phoneticPr fontId="33"/>
  </si>
  <si>
    <t>利用プロセス頭2</t>
    <rPh sb="0" eb="2">
      <t>リヨウ</t>
    </rPh>
    <rPh sb="6" eb="7">
      <t>アタマ</t>
    </rPh>
    <phoneticPr fontId="33"/>
  </si>
  <si>
    <t>P0</t>
    <phoneticPr fontId="33"/>
  </si>
  <si>
    <t>ST</t>
    <phoneticPr fontId="33"/>
  </si>
  <si>
    <t>D0</t>
    <phoneticPr fontId="33"/>
  </si>
  <si>
    <t>貯蔵・輸送段階：資本財</t>
    <rPh sb="8" eb="11">
      <t>シホンザイ</t>
    </rPh>
    <phoneticPr fontId="33"/>
  </si>
  <si>
    <r>
      <t>S</t>
    </r>
    <r>
      <rPr>
        <sz val="11"/>
        <color theme="1"/>
        <rFont val="ＭＳ Ｐゴシック"/>
        <family val="2"/>
        <charset val="128"/>
        <scheme val="minor"/>
      </rPr>
      <t>T</t>
    </r>
    <r>
      <rPr>
        <sz val="11"/>
        <color theme="1"/>
        <rFont val="ＭＳ Ｐゴシック"/>
        <family val="2"/>
        <charset val="128"/>
        <scheme val="minor"/>
      </rPr>
      <t>合計</t>
    </r>
    <rPh sb="2" eb="4">
      <t>ゴウケイ</t>
    </rPh>
    <phoneticPr fontId="33"/>
  </si>
  <si>
    <r>
      <t>S</t>
    </r>
    <r>
      <rPr>
        <sz val="11"/>
        <color theme="1"/>
        <rFont val="ＭＳ Ｐゴシック"/>
        <family val="2"/>
        <charset val="128"/>
        <scheme val="minor"/>
      </rPr>
      <t>T</t>
    </r>
    <r>
      <rPr>
        <sz val="11"/>
        <color theme="1"/>
        <rFont val="ＭＳ Ｐゴシック"/>
        <family val="2"/>
        <charset val="128"/>
        <scheme val="minor"/>
      </rPr>
      <t>01</t>
    </r>
    <phoneticPr fontId="33"/>
  </si>
  <si>
    <r>
      <t>S</t>
    </r>
    <r>
      <rPr>
        <sz val="11"/>
        <color theme="1"/>
        <rFont val="ＭＳ Ｐゴシック"/>
        <family val="2"/>
        <charset val="128"/>
        <scheme val="minor"/>
      </rPr>
      <t>T</t>
    </r>
    <r>
      <rPr>
        <sz val="11"/>
        <color theme="1"/>
        <rFont val="ＭＳ Ｐゴシック"/>
        <family val="2"/>
        <charset val="128"/>
        <scheme val="minor"/>
      </rPr>
      <t>02</t>
    </r>
    <phoneticPr fontId="33"/>
  </si>
  <si>
    <r>
      <t>ST</t>
    </r>
    <r>
      <rPr>
        <sz val="11"/>
        <color theme="1"/>
        <rFont val="ＭＳ Ｐゴシック"/>
        <family val="2"/>
        <charset val="128"/>
        <scheme val="minor"/>
      </rPr>
      <t>03</t>
    </r>
    <phoneticPr fontId="33"/>
  </si>
  <si>
    <r>
      <t>S</t>
    </r>
    <r>
      <rPr>
        <sz val="11"/>
        <color theme="1"/>
        <rFont val="ＭＳ Ｐゴシック"/>
        <family val="2"/>
        <charset val="128"/>
        <scheme val="minor"/>
      </rPr>
      <t>T</t>
    </r>
    <r>
      <rPr>
        <sz val="11"/>
        <color theme="1"/>
        <rFont val="ＭＳ Ｐゴシック"/>
        <family val="2"/>
        <charset val="128"/>
        <scheme val="minor"/>
      </rPr>
      <t>04</t>
    </r>
    <phoneticPr fontId="33"/>
  </si>
  <si>
    <r>
      <t>ST</t>
    </r>
    <r>
      <rPr>
        <sz val="11"/>
        <color theme="1"/>
        <rFont val="ＭＳ Ｐゴシック"/>
        <family val="2"/>
        <charset val="128"/>
        <scheme val="minor"/>
      </rPr>
      <t>05</t>
    </r>
    <phoneticPr fontId="33"/>
  </si>
  <si>
    <t>再生可能エネルギーに係る資本財[単位]</t>
    <rPh sb="0" eb="2">
      <t>サイセイ</t>
    </rPh>
    <rPh sb="2" eb="4">
      <t>カノウ</t>
    </rPh>
    <rPh sb="10" eb="11">
      <t>カカ</t>
    </rPh>
    <rPh sb="12" eb="15">
      <t>シホンザイ</t>
    </rPh>
    <rPh sb="16" eb="18">
      <t>タンイ</t>
    </rPh>
    <phoneticPr fontId="34"/>
  </si>
  <si>
    <t>路線バス</t>
    <rPh sb="0" eb="2">
      <t>ロセン</t>
    </rPh>
    <phoneticPr fontId="33"/>
  </si>
  <si>
    <t>電源種</t>
    <rPh sb="0" eb="2">
      <t>デンゲン</t>
    </rPh>
    <rPh sb="2" eb="3">
      <t>シュ</t>
    </rPh>
    <phoneticPr fontId="33"/>
  </si>
  <si>
    <t>再生可能エネルギー(運用・保守）[単位]</t>
    <rPh sb="0" eb="2">
      <t>サイセイ</t>
    </rPh>
    <rPh sb="2" eb="4">
      <t>カノウ</t>
    </rPh>
    <rPh sb="10" eb="12">
      <t>ウンヨウ</t>
    </rPh>
    <rPh sb="13" eb="15">
      <t>ホシュ</t>
    </rPh>
    <rPh sb="17" eb="19">
      <t>タンイ</t>
    </rPh>
    <phoneticPr fontId="34"/>
  </si>
  <si>
    <t>ｋWh</t>
    <phoneticPr fontId="33"/>
  </si>
  <si>
    <t>風力発電陸上（1,000kW級）</t>
  </si>
  <si>
    <t>風力発電陸上（300kW級）</t>
  </si>
  <si>
    <t>太陽光発電（事業用/1MW）</t>
  </si>
  <si>
    <t>太陽光発電（住宅用）</t>
  </si>
  <si>
    <t>地熱</t>
    <phoneticPr fontId="33"/>
  </si>
  <si>
    <t>合計(資本財抜き)</t>
    <rPh sb="0" eb="2">
      <t>ゴウケイ</t>
    </rPh>
    <rPh sb="3" eb="6">
      <t>シホンザイ</t>
    </rPh>
    <rPh sb="6" eb="7">
      <t>ヌ</t>
    </rPh>
    <phoneticPr fontId="34"/>
  </si>
  <si>
    <t>資本財</t>
    <rPh sb="0" eb="3">
      <t>シホンザイ</t>
    </rPh>
    <phoneticPr fontId="33"/>
  </si>
  <si>
    <t>合計</t>
    <rPh sb="0" eb="2">
      <t>ゴウケイ</t>
    </rPh>
    <phoneticPr fontId="33"/>
  </si>
  <si>
    <t>他の合計</t>
    <rPh sb="0" eb="1">
      <t>タ</t>
    </rPh>
    <rPh sb="2" eb="4">
      <t>ゴウケイ</t>
    </rPh>
    <phoneticPr fontId="33"/>
  </si>
  <si>
    <t>製造</t>
    <rPh sb="0" eb="2">
      <t>セイゾウ</t>
    </rPh>
    <phoneticPr fontId="33"/>
  </si>
  <si>
    <t>貯蔵・輸送</t>
    <rPh sb="0" eb="2">
      <t>チョゾウ</t>
    </rPh>
    <rPh sb="3" eb="5">
      <t>ユソウ</t>
    </rPh>
    <phoneticPr fontId="33"/>
  </si>
  <si>
    <t>供給</t>
    <rPh sb="0" eb="2">
      <t>キョウキュウ</t>
    </rPh>
    <phoneticPr fontId="33"/>
  </si>
  <si>
    <t>寄与率(サプライチェーン全体)</t>
    <rPh sb="0" eb="3">
      <t>キヨリツ</t>
    </rPh>
    <rPh sb="12" eb="14">
      <t>ゼンタイ</t>
    </rPh>
    <phoneticPr fontId="34"/>
  </si>
  <si>
    <t>ST01</t>
    <phoneticPr fontId="34"/>
  </si>
  <si>
    <t>D01</t>
    <phoneticPr fontId="34"/>
  </si>
  <si>
    <t>D02</t>
    <phoneticPr fontId="34"/>
  </si>
  <si>
    <t>重量　[kg]</t>
    <rPh sb="0" eb="2">
      <t>ジュウリョウ</t>
    </rPh>
    <phoneticPr fontId="33"/>
  </si>
  <si>
    <t xml:space="preserve">熱量　[MJ] </t>
    <rPh sb="0" eb="2">
      <t>ネツリョウ</t>
    </rPh>
    <phoneticPr fontId="33"/>
  </si>
  <si>
    <t xml:space="preserve">体積　[Nm3] </t>
    <rPh sb="0" eb="2">
      <t>タイセキ</t>
    </rPh>
    <phoneticPr fontId="33"/>
  </si>
  <si>
    <t>払出金額[円]</t>
    <rPh sb="0" eb="2">
      <t>ハライダシ</t>
    </rPh>
    <rPh sb="2" eb="4">
      <t>キンガク</t>
    </rPh>
    <rPh sb="5" eb="6">
      <t>エン</t>
    </rPh>
    <phoneticPr fontId="32"/>
  </si>
  <si>
    <t>水素荷卸量</t>
    <rPh sb="0" eb="2">
      <t>スイソ</t>
    </rPh>
    <rPh sb="2" eb="4">
      <t>ニオロ</t>
    </rPh>
    <rPh sb="4" eb="5">
      <t>リョウ</t>
    </rPh>
    <phoneticPr fontId="33"/>
  </si>
  <si>
    <t>卸売金額[円]</t>
    <rPh sb="0" eb="2">
      <t>オロシウリ</t>
    </rPh>
    <rPh sb="2" eb="4">
      <t>キンガク</t>
    </rPh>
    <rPh sb="5" eb="6">
      <t>エン</t>
    </rPh>
    <phoneticPr fontId="32"/>
  </si>
  <si>
    <t>水素販売量</t>
    <rPh sb="0" eb="2">
      <t>スイソ</t>
    </rPh>
    <rPh sb="2" eb="4">
      <t>ハンバイ</t>
    </rPh>
    <rPh sb="4" eb="5">
      <t>リョウ</t>
    </rPh>
    <phoneticPr fontId="33"/>
  </si>
  <si>
    <t>条件</t>
    <rPh sb="0" eb="2">
      <t>ジョウケン</t>
    </rPh>
    <phoneticPr fontId="51"/>
  </si>
  <si>
    <t>確認事項</t>
    <rPh sb="0" eb="2">
      <t>カクニン</t>
    </rPh>
    <rPh sb="2" eb="4">
      <t>ジコウ</t>
    </rPh>
    <phoneticPr fontId="51"/>
  </si>
  <si>
    <t>チェック</t>
    <phoneticPr fontId="51"/>
  </si>
  <si>
    <t>事業情報</t>
    <rPh sb="0" eb="2">
      <t>ジギョウ</t>
    </rPh>
    <rPh sb="2" eb="4">
      <t>ジョウホウ</t>
    </rPh>
    <phoneticPr fontId="51"/>
  </si>
  <si>
    <t>必須</t>
    <rPh sb="0" eb="2">
      <t>ヒッス</t>
    </rPh>
    <phoneticPr fontId="51"/>
  </si>
  <si>
    <t>記入者情報を記載したか。また製造・利用等のうち、自らの事業範囲の概要情報を記載したか？</t>
    <rPh sb="0" eb="3">
      <t>キニュウシャ</t>
    </rPh>
    <rPh sb="3" eb="5">
      <t>ジョウホウ</t>
    </rPh>
    <rPh sb="6" eb="8">
      <t>キサイ</t>
    </rPh>
    <rPh sb="14" eb="16">
      <t>セイゾウ</t>
    </rPh>
    <rPh sb="17" eb="19">
      <t>リヨウ</t>
    </rPh>
    <rPh sb="19" eb="20">
      <t>トウ</t>
    </rPh>
    <rPh sb="24" eb="25">
      <t>ミズカ</t>
    </rPh>
    <rPh sb="27" eb="29">
      <t>ジギョウ</t>
    </rPh>
    <rPh sb="29" eb="31">
      <t>ハンイ</t>
    </rPh>
    <rPh sb="32" eb="34">
      <t>ガイヨウ</t>
    </rPh>
    <rPh sb="34" eb="36">
      <t>ジョウホウ</t>
    </rPh>
    <rPh sb="37" eb="39">
      <t>キサイ</t>
    </rPh>
    <phoneticPr fontId="51"/>
  </si>
  <si>
    <t>情報源の欄には事業社内で一次情報の所在がトレース可能な記載となっているか？</t>
    <rPh sb="0" eb="3">
      <t>ジョウホウゲン</t>
    </rPh>
    <rPh sb="4" eb="5">
      <t>ラン</t>
    </rPh>
    <rPh sb="7" eb="9">
      <t>ジギョウ</t>
    </rPh>
    <rPh sb="9" eb="11">
      <t>シャナイ</t>
    </rPh>
    <rPh sb="12" eb="14">
      <t>イチジ</t>
    </rPh>
    <rPh sb="14" eb="16">
      <t>ジョウホウ</t>
    </rPh>
    <rPh sb="17" eb="19">
      <t>ショザイ</t>
    </rPh>
    <rPh sb="24" eb="26">
      <t>カノウ</t>
    </rPh>
    <rPh sb="27" eb="29">
      <t>キサイ</t>
    </rPh>
    <phoneticPr fontId="51"/>
  </si>
  <si>
    <t>資本財</t>
    <rPh sb="0" eb="3">
      <t>シホンザイ</t>
    </rPh>
    <phoneticPr fontId="51"/>
  </si>
  <si>
    <t>新設／耐用年数内の資本財データを入力したか？耐用年数を既に超過した資本財を利用している場合は省略可。</t>
    <rPh sb="0" eb="2">
      <t>シンセツ</t>
    </rPh>
    <rPh sb="3" eb="5">
      <t>タイヨウ</t>
    </rPh>
    <rPh sb="5" eb="7">
      <t>ネンスウ</t>
    </rPh>
    <rPh sb="7" eb="8">
      <t>ナイ</t>
    </rPh>
    <rPh sb="9" eb="12">
      <t>シホンザイ</t>
    </rPh>
    <rPh sb="16" eb="18">
      <t>ニュウリョク</t>
    </rPh>
    <rPh sb="22" eb="24">
      <t>タイヨウ</t>
    </rPh>
    <rPh sb="24" eb="26">
      <t>ネンスウ</t>
    </rPh>
    <rPh sb="27" eb="28">
      <t>スデ</t>
    </rPh>
    <rPh sb="29" eb="31">
      <t>チョウカ</t>
    </rPh>
    <rPh sb="33" eb="36">
      <t>シホンザイ</t>
    </rPh>
    <rPh sb="37" eb="39">
      <t>リヨウ</t>
    </rPh>
    <rPh sb="43" eb="45">
      <t>バアイ</t>
    </rPh>
    <rPh sb="46" eb="48">
      <t>ショウリャク</t>
    </rPh>
    <rPh sb="48" eb="49">
      <t>カ</t>
    </rPh>
    <phoneticPr fontId="51"/>
  </si>
  <si>
    <t>熱量でエネルギー使用量を入力した場合</t>
    <rPh sb="0" eb="2">
      <t>ネツリョウ</t>
    </rPh>
    <rPh sb="8" eb="11">
      <t>シヨウリョウ</t>
    </rPh>
    <rPh sb="12" eb="14">
      <t>ニュウリョク</t>
    </rPh>
    <rPh sb="16" eb="18">
      <t>バアイ</t>
    </rPh>
    <phoneticPr fontId="51"/>
  </si>
  <si>
    <t>使用した燃料の熱量は、低位発熱量（LHV)換算で入力したか？</t>
    <rPh sb="0" eb="2">
      <t>シヨウ</t>
    </rPh>
    <rPh sb="4" eb="6">
      <t>ネンリョウ</t>
    </rPh>
    <rPh sb="7" eb="9">
      <t>ネツリョウ</t>
    </rPh>
    <rPh sb="11" eb="13">
      <t>テイイ</t>
    </rPh>
    <rPh sb="13" eb="16">
      <t>ハツネツリョウ</t>
    </rPh>
    <rPh sb="21" eb="23">
      <t>カンザン</t>
    </rPh>
    <rPh sb="24" eb="26">
      <t>ニュウリョク</t>
    </rPh>
    <phoneticPr fontId="51"/>
  </si>
  <si>
    <t>配分機能を利用した場合</t>
    <rPh sb="2" eb="4">
      <t>キノウ</t>
    </rPh>
    <rPh sb="5" eb="7">
      <t>リヨウ</t>
    </rPh>
    <rPh sb="9" eb="11">
      <t>バアイ</t>
    </rPh>
    <phoneticPr fontId="51"/>
  </si>
  <si>
    <t>物質名、単位の列に異常な表記(#N/A)がないか？</t>
    <rPh sb="0" eb="3">
      <t>ブッシツメイ</t>
    </rPh>
    <rPh sb="4" eb="6">
      <t>タンイ</t>
    </rPh>
    <rPh sb="7" eb="8">
      <t>レツ</t>
    </rPh>
    <rPh sb="9" eb="11">
      <t>イジョウ</t>
    </rPh>
    <rPh sb="12" eb="14">
      <t>ヒョウキ</t>
    </rPh>
    <phoneticPr fontId="51"/>
  </si>
  <si>
    <t>圧倒的に寄与率の高いデータがある場合</t>
    <rPh sb="0" eb="3">
      <t>アットウテキ</t>
    </rPh>
    <rPh sb="4" eb="7">
      <t>キヨリツ</t>
    </rPh>
    <rPh sb="8" eb="9">
      <t>タカ</t>
    </rPh>
    <rPh sb="16" eb="18">
      <t>バアイ</t>
    </rPh>
    <phoneticPr fontId="51"/>
  </si>
  <si>
    <t>3桁間違いなどデータ加工のミスはしていないか？</t>
    <rPh sb="1" eb="2">
      <t>ケタ</t>
    </rPh>
    <rPh sb="2" eb="4">
      <t>マチガ</t>
    </rPh>
    <rPh sb="10" eb="12">
      <t>カコウ</t>
    </rPh>
    <phoneticPr fontId="51"/>
  </si>
  <si>
    <t>利用段階においてFCVを利用する場合</t>
    <rPh sb="0" eb="2">
      <t>リヨウ</t>
    </rPh>
    <rPh sb="2" eb="4">
      <t>ダンカイ</t>
    </rPh>
    <rPh sb="12" eb="14">
      <t>リヨウ</t>
    </rPh>
    <rPh sb="16" eb="18">
      <t>バアイ</t>
    </rPh>
    <phoneticPr fontId="51"/>
  </si>
  <si>
    <t>利用段階の評価をした場合</t>
    <rPh sb="0" eb="2">
      <t>リヨウ</t>
    </rPh>
    <rPh sb="2" eb="4">
      <t>ダンカイ</t>
    </rPh>
    <rPh sb="5" eb="7">
      <t>ヒョウカ</t>
    </rPh>
    <rPh sb="10" eb="12">
      <t>バアイ</t>
    </rPh>
    <phoneticPr fontId="51"/>
  </si>
  <si>
    <t>評価対象として選択した利用機器の結果がグラフ表示されているか？</t>
    <rPh sb="0" eb="2">
      <t>ヒョウカ</t>
    </rPh>
    <rPh sb="2" eb="4">
      <t>タイショウ</t>
    </rPh>
    <rPh sb="7" eb="9">
      <t>センタク</t>
    </rPh>
    <rPh sb="11" eb="13">
      <t>リヨウ</t>
    </rPh>
    <rPh sb="13" eb="15">
      <t>キキ</t>
    </rPh>
    <rPh sb="16" eb="18">
      <t>ケッカ</t>
    </rPh>
    <rPh sb="22" eb="24">
      <t>ヒョウジ</t>
    </rPh>
    <phoneticPr fontId="51"/>
  </si>
  <si>
    <t>8001～10000</t>
    <phoneticPr fontId="33"/>
  </si>
  <si>
    <t>変圧器・変成器</t>
    <phoneticPr fontId="33"/>
  </si>
  <si>
    <t>その他の産業用電気機器</t>
    <phoneticPr fontId="33"/>
  </si>
  <si>
    <t>水素圧縮機</t>
    <rPh sb="0" eb="1">
      <t>スイソ</t>
    </rPh>
    <rPh sb="1" eb="4">
      <t>アッシュクキ</t>
    </rPh>
    <phoneticPr fontId="33"/>
  </si>
  <si>
    <t>保安設備</t>
    <rPh sb="0" eb="1">
      <t>ホアン</t>
    </rPh>
    <rPh sb="1" eb="3">
      <t>セツビ</t>
    </rPh>
    <phoneticPr fontId="33"/>
  </si>
  <si>
    <t>段階</t>
    <rPh sb="0" eb="2">
      <t>ダンカイ</t>
    </rPh>
    <phoneticPr fontId="33"/>
  </si>
  <si>
    <t>一般炭</t>
    <rPh sb="0" eb="2">
      <t>イッパン</t>
    </rPh>
    <rPh sb="2" eb="3">
      <t>タン</t>
    </rPh>
    <phoneticPr fontId="34"/>
  </si>
  <si>
    <t>LNG</t>
    <phoneticPr fontId="34"/>
  </si>
  <si>
    <t>ガソリン</t>
    <phoneticPr fontId="34"/>
  </si>
  <si>
    <t>軽油</t>
    <rPh sb="0" eb="2">
      <t>ケイユ</t>
    </rPh>
    <phoneticPr fontId="34"/>
  </si>
  <si>
    <t>代替値</t>
    <rPh sb="0" eb="2">
      <t>ダイタイ</t>
    </rPh>
    <rPh sb="2" eb="3">
      <t>チ</t>
    </rPh>
    <phoneticPr fontId="47"/>
  </si>
  <si>
    <t>1日当たりの取扱水素量</t>
    <rPh sb="1" eb="2">
      <t>ニチ</t>
    </rPh>
    <rPh sb="2" eb="3">
      <t>ア</t>
    </rPh>
    <rPh sb="6" eb="8">
      <t>トリアツカイ</t>
    </rPh>
    <rPh sb="8" eb="10">
      <t>スイソ</t>
    </rPh>
    <rPh sb="10" eb="11">
      <t>リョウ</t>
    </rPh>
    <phoneticPr fontId="33"/>
  </si>
  <si>
    <t>資本財の機能単位当たりのCO2排出量に掛けるCO2量</t>
    <rPh sb="0" eb="3">
      <t>シホンザイ</t>
    </rPh>
    <rPh sb="4" eb="6">
      <t>キノウ</t>
    </rPh>
    <rPh sb="6" eb="8">
      <t>タンイ</t>
    </rPh>
    <rPh sb="8" eb="9">
      <t>ア</t>
    </rPh>
    <rPh sb="15" eb="17">
      <t>ハイシュツ</t>
    </rPh>
    <rPh sb="17" eb="18">
      <t>リョウ</t>
    </rPh>
    <rPh sb="19" eb="20">
      <t>カ</t>
    </rPh>
    <rPh sb="25" eb="26">
      <t>リョウ</t>
    </rPh>
    <phoneticPr fontId="47"/>
  </si>
  <si>
    <t>蓄圧器</t>
    <rPh sb="0" eb="1">
      <t>チクアツ</t>
    </rPh>
    <rPh sb="1" eb="2">
      <t>キ</t>
    </rPh>
    <phoneticPr fontId="33"/>
  </si>
  <si>
    <t>苛性ソーダプラント</t>
    <rPh sb="0" eb="1">
      <t>カセイ</t>
    </rPh>
    <phoneticPr fontId="33"/>
  </si>
  <si>
    <t>液化設備</t>
    <rPh sb="0" eb="1">
      <t>エキカ</t>
    </rPh>
    <rPh sb="1" eb="3">
      <t>セツビ</t>
    </rPh>
    <phoneticPr fontId="33"/>
  </si>
  <si>
    <t>液化ローリー</t>
    <rPh sb="0" eb="1">
      <t>エキカ</t>
    </rPh>
    <phoneticPr fontId="33"/>
  </si>
  <si>
    <t>液化貯蔵</t>
    <rPh sb="0" eb="1">
      <t>エキカ</t>
    </rPh>
    <rPh sb="1" eb="3">
      <t>チョゾウ</t>
    </rPh>
    <phoneticPr fontId="33"/>
  </si>
  <si>
    <t>プレクーラー</t>
    <phoneticPr fontId="33"/>
  </si>
  <si>
    <t>ディスペンサ</t>
    <phoneticPr fontId="33"/>
  </si>
  <si>
    <t>原料塩</t>
    <rPh sb="0" eb="1">
      <t>ゲンリョウ</t>
    </rPh>
    <rPh sb="1" eb="2">
      <t>シオ</t>
    </rPh>
    <phoneticPr fontId="33"/>
  </si>
  <si>
    <t>食塩精製設備からの産廃</t>
    <rPh sb="8" eb="10">
      <t>サンパイ</t>
    </rPh>
    <phoneticPr fontId="33"/>
  </si>
  <si>
    <t>食塩電解設備の純水</t>
    <rPh sb="7" eb="9">
      <t>ジュンスイ</t>
    </rPh>
    <phoneticPr fontId="33"/>
  </si>
  <si>
    <t>都市ガス</t>
    <phoneticPr fontId="33"/>
  </si>
  <si>
    <t>LPG</t>
    <phoneticPr fontId="33"/>
  </si>
  <si>
    <t>工業用排水</t>
    <rPh sb="0" eb="3">
      <t>コウギョウヨウ</t>
    </rPh>
    <rPh sb="3" eb="5">
      <t>ハイスイ</t>
    </rPh>
    <phoneticPr fontId="33"/>
  </si>
  <si>
    <t>工業排水処理</t>
    <phoneticPr fontId="33"/>
  </si>
  <si>
    <t>GLIO</t>
    <phoneticPr fontId="33"/>
  </si>
  <si>
    <t>受変電・電気設備</t>
    <rPh sb="0" eb="2">
      <t>ジュヘンデン</t>
    </rPh>
    <rPh sb="3" eb="5">
      <t>デンキ</t>
    </rPh>
    <rPh sb="5" eb="7">
      <t>セツビ</t>
    </rPh>
    <phoneticPr fontId="33"/>
  </si>
  <si>
    <t>水素貯蔵タンク</t>
    <rPh sb="0" eb="1">
      <t>スイソ</t>
    </rPh>
    <rPh sb="1" eb="3">
      <t>チョゾウ</t>
    </rPh>
    <phoneticPr fontId="33"/>
  </si>
  <si>
    <t>水道水</t>
    <rPh sb="0" eb="2">
      <t>スイドウスイ</t>
    </rPh>
    <phoneticPr fontId="33"/>
  </si>
  <si>
    <t>バイオガス精製装置</t>
    <rPh sb="4" eb="6">
      <t>セイセイ</t>
    </rPh>
    <rPh sb="6" eb="8">
      <t>ソウチ</t>
    </rPh>
    <phoneticPr fontId="33"/>
  </si>
  <si>
    <t>改質器</t>
    <rPh sb="0" eb="1">
      <t>カイシツ</t>
    </rPh>
    <rPh sb="1" eb="2">
      <t>キ</t>
    </rPh>
    <phoneticPr fontId="33"/>
  </si>
  <si>
    <t>圧縮水素トレーラ</t>
    <rPh sb="0" eb="1">
      <t>アッシュク</t>
    </rPh>
    <rPh sb="1" eb="3">
      <t>スイソ</t>
    </rPh>
    <phoneticPr fontId="33"/>
  </si>
  <si>
    <t>窒素</t>
    <rPh sb="0" eb="1">
      <t>チッソ</t>
    </rPh>
    <phoneticPr fontId="33"/>
  </si>
  <si>
    <t>酸素</t>
    <rPh sb="0" eb="1">
      <t>サンソ</t>
    </rPh>
    <phoneticPr fontId="33"/>
  </si>
  <si>
    <t>蓄電システム</t>
    <rPh sb="0" eb="1">
      <t>チクデン</t>
    </rPh>
    <phoneticPr fontId="33"/>
  </si>
  <si>
    <t>水電解装置</t>
    <rPh sb="3" eb="5">
      <t>ソウチ</t>
    </rPh>
    <phoneticPr fontId="33"/>
  </si>
  <si>
    <t>IDEAv2</t>
    <phoneticPr fontId="33"/>
  </si>
  <si>
    <t>km/kg</t>
    <phoneticPr fontId="33"/>
  </si>
  <si>
    <t>JE05</t>
    <phoneticPr fontId="33"/>
  </si>
  <si>
    <t>カットオフを実施した場合</t>
  </si>
  <si>
    <t>従来車</t>
    <rPh sb="0" eb="2">
      <t>ジュウライ</t>
    </rPh>
    <rPh sb="2" eb="3">
      <t>シャ</t>
    </rPh>
    <phoneticPr fontId="33"/>
  </si>
  <si>
    <r>
      <rPr>
        <sz val="11"/>
        <color rgb="FF7030A0"/>
        <rFont val="ＭＳ Ｐゴシック"/>
        <family val="3"/>
        <charset val="128"/>
      </rPr>
      <t>水素</t>
    </r>
    <rPh sb="0" eb="2">
      <t>スイソ</t>
    </rPh>
    <phoneticPr fontId="33"/>
  </si>
  <si>
    <r>
      <rPr>
        <sz val="11"/>
        <color rgb="FF7030A0"/>
        <rFont val="ＭＳ Ｐゴシック"/>
        <family val="3"/>
        <charset val="128"/>
      </rPr>
      <t>固体高分子型</t>
    </r>
    <rPh sb="0" eb="2">
      <t>コタイ</t>
    </rPh>
    <rPh sb="2" eb="6">
      <t>コウブンシガタ</t>
    </rPh>
    <phoneticPr fontId="33"/>
  </si>
  <si>
    <t>活動量</t>
    <rPh sb="0" eb="2">
      <t>カツドウ</t>
    </rPh>
    <rPh sb="2" eb="3">
      <t>リョウ</t>
    </rPh>
    <phoneticPr fontId="33"/>
  </si>
  <si>
    <t>水素払出単価</t>
    <rPh sb="0" eb="2">
      <t>スイソ</t>
    </rPh>
    <rPh sb="2" eb="4">
      <t>ハライダシ</t>
    </rPh>
    <rPh sb="4" eb="6">
      <t>タンカ</t>
    </rPh>
    <phoneticPr fontId="32"/>
  </si>
  <si>
    <t>水素卸売単価</t>
    <rPh sb="0" eb="2">
      <t>スイソ</t>
    </rPh>
    <rPh sb="2" eb="4">
      <t>オロシウリ</t>
    </rPh>
    <rPh sb="4" eb="6">
      <t>タンカ</t>
    </rPh>
    <phoneticPr fontId="32"/>
  </si>
  <si>
    <t>水素小売単価</t>
    <rPh sb="0" eb="2">
      <t>スイソ</t>
    </rPh>
    <rPh sb="2" eb="4">
      <t>コウリ</t>
    </rPh>
    <rPh sb="4" eb="6">
      <t>タンカ</t>
    </rPh>
    <phoneticPr fontId="32"/>
  </si>
  <si>
    <t>機能単位</t>
    <rPh sb="0" eb="2">
      <t>キノウ</t>
    </rPh>
    <rPh sb="2" eb="4">
      <t>タンイ</t>
    </rPh>
    <phoneticPr fontId="33"/>
  </si>
  <si>
    <t>水素利用システム</t>
    <rPh sb="0" eb="2">
      <t>スイソ</t>
    </rPh>
    <rPh sb="2" eb="4">
      <t>リヨウ</t>
    </rPh>
    <phoneticPr fontId="33"/>
  </si>
  <si>
    <t>燃料電池車</t>
    <rPh sb="0" eb="2">
      <t>ネンリョウ</t>
    </rPh>
    <rPh sb="2" eb="4">
      <t>デンチ</t>
    </rPh>
    <rPh sb="4" eb="5">
      <t>シャ</t>
    </rPh>
    <phoneticPr fontId="33"/>
  </si>
  <si>
    <t>燃料電池車</t>
    <rPh sb="0" eb="2">
      <t>ネンリョウ</t>
    </rPh>
    <rPh sb="2" eb="4">
      <t>デンチ</t>
    </rPh>
    <rPh sb="4" eb="5">
      <t>シャ</t>
    </rPh>
    <phoneticPr fontId="33"/>
  </si>
  <si>
    <t>燃料電池バス</t>
    <rPh sb="0" eb="2">
      <t>ネンリョウ</t>
    </rPh>
    <rPh sb="2" eb="4">
      <t>デンチ</t>
    </rPh>
    <phoneticPr fontId="33"/>
  </si>
  <si>
    <t>燃料電池フォークリフト</t>
    <rPh sb="0" eb="2">
      <t>ネンリョウ</t>
    </rPh>
    <rPh sb="2" eb="4">
      <t>デンチ</t>
    </rPh>
    <phoneticPr fontId="33"/>
  </si>
  <si>
    <t>[kgCO2/MJ-H2]</t>
    <phoneticPr fontId="33"/>
  </si>
  <si>
    <t>[km/台]</t>
    <rPh sb="4" eb="5">
      <t>ダイ</t>
    </rPh>
    <phoneticPr fontId="33"/>
  </si>
  <si>
    <t>燃料消費量（機能単位）</t>
    <rPh sb="0" eb="2">
      <t>ネンリョウ</t>
    </rPh>
    <rPh sb="2" eb="5">
      <t>ショウヒリョウ</t>
    </rPh>
    <rPh sb="6" eb="8">
      <t>キノウ</t>
    </rPh>
    <rPh sb="8" eb="10">
      <t>タンイ</t>
    </rPh>
    <phoneticPr fontId="33"/>
  </si>
  <si>
    <t>[kg-H2]</t>
    <phoneticPr fontId="33"/>
  </si>
  <si>
    <t>算定</t>
    <rPh sb="0" eb="2">
      <t>サンテイ</t>
    </rPh>
    <phoneticPr fontId="33"/>
  </si>
  <si>
    <t>燃料電池車及び比較対象の概要</t>
    <rPh sb="0" eb="2">
      <t>ネンリョウ</t>
    </rPh>
    <rPh sb="2" eb="4">
      <t>デンチ</t>
    </rPh>
    <rPh sb="4" eb="5">
      <t>シャ</t>
    </rPh>
    <rPh sb="5" eb="6">
      <t>オヨ</t>
    </rPh>
    <rPh sb="7" eb="9">
      <t>ヒカク</t>
    </rPh>
    <rPh sb="9" eb="11">
      <t>タイショウ</t>
    </rPh>
    <rPh sb="12" eb="14">
      <t>ガイヨウ</t>
    </rPh>
    <phoneticPr fontId="33"/>
  </si>
  <si>
    <t>燃料電池バス及び比較対象の概要</t>
    <rPh sb="0" eb="2">
      <t>ネンリョウ</t>
    </rPh>
    <rPh sb="2" eb="4">
      <t>デンチ</t>
    </rPh>
    <rPh sb="6" eb="7">
      <t>オヨ</t>
    </rPh>
    <rPh sb="8" eb="10">
      <t>ヒカク</t>
    </rPh>
    <rPh sb="10" eb="12">
      <t>タイショウ</t>
    </rPh>
    <rPh sb="13" eb="15">
      <t>ガイヨウ</t>
    </rPh>
    <phoneticPr fontId="33"/>
  </si>
  <si>
    <t>燃料電池バス</t>
    <rPh sb="0" eb="2">
      <t>ネンリョウ</t>
    </rPh>
    <rPh sb="2" eb="4">
      <t>デンチ</t>
    </rPh>
    <phoneticPr fontId="33"/>
  </si>
  <si>
    <t>従来バス</t>
    <rPh sb="0" eb="2">
      <t>ジュウライ</t>
    </rPh>
    <phoneticPr fontId="33"/>
  </si>
  <si>
    <t>[kg-H2]</t>
    <phoneticPr fontId="33"/>
  </si>
  <si>
    <t>[kgCO2/MJ]</t>
    <phoneticPr fontId="33"/>
  </si>
  <si>
    <t>燃料電池フォークリフト及び比較対象の概要</t>
    <rPh sb="0" eb="2">
      <t>ネンリョウ</t>
    </rPh>
    <rPh sb="2" eb="4">
      <t>デンチ</t>
    </rPh>
    <rPh sb="11" eb="12">
      <t>オヨ</t>
    </rPh>
    <rPh sb="13" eb="15">
      <t>ヒカク</t>
    </rPh>
    <rPh sb="15" eb="17">
      <t>タイショウ</t>
    </rPh>
    <rPh sb="18" eb="20">
      <t>ガイヨウ</t>
    </rPh>
    <phoneticPr fontId="33"/>
  </si>
  <si>
    <t>燃料電池フォークリフト</t>
    <phoneticPr fontId="33"/>
  </si>
  <si>
    <t>使用燃料種</t>
    <phoneticPr fontId="33"/>
  </si>
  <si>
    <t>形式</t>
    <phoneticPr fontId="33"/>
  </si>
  <si>
    <t>従来電力、熱供給</t>
    <rPh sb="0" eb="2">
      <t>ジュウライ</t>
    </rPh>
    <rPh sb="2" eb="4">
      <t>デンリョク</t>
    </rPh>
    <rPh sb="5" eb="6">
      <t>ネツ</t>
    </rPh>
    <rPh sb="6" eb="8">
      <t>キョウキュウ</t>
    </rPh>
    <phoneticPr fontId="33"/>
  </si>
  <si>
    <t>-</t>
    <phoneticPr fontId="33"/>
  </si>
  <si>
    <t>CO2削減効果</t>
    <rPh sb="3" eb="5">
      <t>サクゲン</t>
    </rPh>
    <rPh sb="5" eb="7">
      <t>コウカ</t>
    </rPh>
    <phoneticPr fontId="33"/>
  </si>
  <si>
    <t>[Nm3-H2]</t>
    <phoneticPr fontId="33"/>
  </si>
  <si>
    <t>燃料消費量</t>
    <rPh sb="0" eb="2">
      <t>ネンリョウ</t>
    </rPh>
    <rPh sb="2" eb="5">
      <t>ショウヒリョウ</t>
    </rPh>
    <phoneticPr fontId="33"/>
  </si>
  <si>
    <t>[kgCO2/MJ-H2]</t>
    <phoneticPr fontId="33"/>
  </si>
  <si>
    <t>使用熱量(給湯)</t>
    <rPh sb="0" eb="2">
      <t>シヨウ</t>
    </rPh>
    <rPh sb="2" eb="4">
      <t>ネツリョウ</t>
    </rPh>
    <rPh sb="5" eb="7">
      <t>キュウトウ</t>
    </rPh>
    <phoneticPr fontId="33"/>
  </si>
  <si>
    <t>[kW]</t>
    <phoneticPr fontId="33"/>
  </si>
  <si>
    <t>（例： 水、化石燃料、バイオガス、等）</t>
    <rPh sb="17" eb="18">
      <t>トウ</t>
    </rPh>
    <phoneticPr fontId="33"/>
  </si>
  <si>
    <t>（例：触媒等を用いた改質、○○化学品副生ガスを生成、風力発電由来電力による水電解、等。）</t>
    <rPh sb="3" eb="6">
      <t>ショクバイナド</t>
    </rPh>
    <rPh sb="7" eb="8">
      <t>モチ</t>
    </rPh>
    <rPh sb="10" eb="12">
      <t>カイシツ</t>
    </rPh>
    <rPh sb="15" eb="18">
      <t>カガクヒン</t>
    </rPh>
    <rPh sb="18" eb="20">
      <t>フクセイ</t>
    </rPh>
    <rPh sb="23" eb="25">
      <t>セイセイ</t>
    </rPh>
    <rPh sb="26" eb="28">
      <t>フウリョク</t>
    </rPh>
    <rPh sb="28" eb="30">
      <t>ハツデン</t>
    </rPh>
    <rPh sb="30" eb="32">
      <t>ユライ</t>
    </rPh>
    <rPh sb="32" eb="34">
      <t>デンリョク</t>
    </rPh>
    <rPh sb="37" eb="38">
      <t>ミズ</t>
    </rPh>
    <rPh sb="38" eb="40">
      <t>デンカイ</t>
    </rPh>
    <rPh sb="41" eb="42">
      <t>トウ</t>
    </rPh>
    <phoneticPr fontId="33"/>
  </si>
  <si>
    <t>（例：自動車用燃料電池）</t>
    <rPh sb="1" eb="2">
      <t>レイ</t>
    </rPh>
    <rPh sb="3" eb="5">
      <t>ジドウ</t>
    </rPh>
    <rPh sb="6" eb="7">
      <t>ヨウ</t>
    </rPh>
    <rPh sb="7" eb="9">
      <t>ネンリョウ</t>
    </rPh>
    <rPh sb="9" eb="11">
      <t>デンチ</t>
    </rPh>
    <phoneticPr fontId="33"/>
  </si>
  <si>
    <t>（例：家庭用燃料電池）</t>
    <rPh sb="1" eb="2">
      <t>レイ</t>
    </rPh>
    <rPh sb="3" eb="6">
      <t>カテイヨウ</t>
    </rPh>
    <rPh sb="6" eb="8">
      <t>ネンリョウ</t>
    </rPh>
    <rPh sb="8" eb="10">
      <t>デンチ</t>
    </rPh>
    <phoneticPr fontId="33"/>
  </si>
  <si>
    <t>（例：燃料電池フォークリフト）</t>
    <rPh sb="1" eb="2">
      <t>レイ</t>
    </rPh>
    <rPh sb="3" eb="5">
      <t>ネンリョウ</t>
    </rPh>
    <rPh sb="5" eb="7">
      <t>デンチ</t>
    </rPh>
    <phoneticPr fontId="33"/>
  </si>
  <si>
    <t>[MPa]</t>
    <phoneticPr fontId="33"/>
  </si>
  <si>
    <t>プロセスの概要</t>
    <rPh sb="5" eb="7">
      <t>ガイヨウ</t>
    </rPh>
    <phoneticPr fontId="33"/>
  </si>
  <si>
    <t>プロセス名称</t>
    <rPh sb="4" eb="6">
      <t>メイショウ</t>
    </rPh>
    <phoneticPr fontId="33"/>
  </si>
  <si>
    <t>概要</t>
    <rPh sb="0" eb="2">
      <t>ガイヨウ</t>
    </rPh>
    <phoneticPr fontId="33"/>
  </si>
  <si>
    <t>原材料[単位]</t>
    <rPh sb="0" eb="3">
      <t>ゲンザイリョウ</t>
    </rPh>
    <rPh sb="4" eb="6">
      <t>タンイ</t>
    </rPh>
    <phoneticPr fontId="34"/>
  </si>
  <si>
    <t>ユーティリティ[単位]</t>
    <rPh sb="8" eb="10">
      <t>タンイ</t>
    </rPh>
    <phoneticPr fontId="34"/>
  </si>
  <si>
    <t>輸送[単位]</t>
    <rPh sb="3" eb="5">
      <t>タンイ</t>
    </rPh>
    <phoneticPr fontId="34"/>
  </si>
  <si>
    <t>副資材[単位]</t>
    <rPh sb="0" eb="3">
      <t>フクシザイ</t>
    </rPh>
    <rPh sb="4" eb="6">
      <t>タンイ</t>
    </rPh>
    <phoneticPr fontId="34"/>
  </si>
  <si>
    <t>直接排出する温室効果ガス*[単位]</t>
    <rPh sb="0" eb="2">
      <t>チョクセツ</t>
    </rPh>
    <rPh sb="2" eb="4">
      <t>ハイシュツ</t>
    </rPh>
    <rPh sb="6" eb="8">
      <t>オンシツ</t>
    </rPh>
    <rPh sb="8" eb="10">
      <t>コウカ</t>
    </rPh>
    <rPh sb="14" eb="16">
      <t>タンイ</t>
    </rPh>
    <phoneticPr fontId="34"/>
  </si>
  <si>
    <t>構成（％）</t>
    <rPh sb="0" eb="2">
      <t>コウセイ</t>
    </rPh>
    <phoneticPr fontId="33"/>
  </si>
  <si>
    <t>製造段階：CO2排出量（総量）</t>
    <rPh sb="12" eb="14">
      <t>ソウリョウ</t>
    </rPh>
    <phoneticPr fontId="33"/>
  </si>
  <si>
    <t>CO2排出量</t>
    <rPh sb="3" eb="6">
      <t>ハイシュツリョウ</t>
    </rPh>
    <phoneticPr fontId="33"/>
  </si>
  <si>
    <t>製造段階：CO2排出量（払出量単位あたり）</t>
    <rPh sb="12" eb="14">
      <t>ハライダシ</t>
    </rPh>
    <rPh sb="14" eb="15">
      <t>リョウ</t>
    </rPh>
    <rPh sb="15" eb="17">
      <t>タンイ</t>
    </rPh>
    <phoneticPr fontId="33"/>
  </si>
  <si>
    <t>貯蔵・輸送段階：CO2排出量（総量）</t>
    <rPh sb="15" eb="17">
      <t>ソウリョウ</t>
    </rPh>
    <phoneticPr fontId="33"/>
  </si>
  <si>
    <t>活動量</t>
    <phoneticPr fontId="33"/>
  </si>
  <si>
    <t>活動量</t>
    <phoneticPr fontId="33"/>
  </si>
  <si>
    <t>活動量[kg]</t>
    <phoneticPr fontId="33"/>
  </si>
  <si>
    <t>製造～供給のCO2排出量：</t>
    <rPh sb="0" eb="2">
      <t>セイゾウ</t>
    </rPh>
    <rPh sb="3" eb="5">
      <t>キョウキュウ</t>
    </rPh>
    <rPh sb="9" eb="11">
      <t>ハイシュツ</t>
    </rPh>
    <rPh sb="11" eb="12">
      <t>リョウ</t>
    </rPh>
    <phoneticPr fontId="33"/>
  </si>
  <si>
    <t>供給段階：CO2排出量（総量）</t>
    <rPh sb="12" eb="14">
      <t>ソウリョウ</t>
    </rPh>
    <phoneticPr fontId="33"/>
  </si>
  <si>
    <t>副産物[単位]</t>
    <rPh sb="0" eb="3">
      <t>フクサンブツ</t>
    </rPh>
    <rPh sb="4" eb="6">
      <t>タンイ</t>
    </rPh>
    <phoneticPr fontId="34"/>
  </si>
  <si>
    <t>貯蔵・輸送段階：CO2排出量（荷卸量単位あたり）</t>
    <rPh sb="18" eb="20">
      <t>タンイ</t>
    </rPh>
    <phoneticPr fontId="47"/>
  </si>
  <si>
    <t>供給段階：CO2排出量（販売量単位あたり）</t>
    <rPh sb="12" eb="15">
      <t>ハンバイリョウ</t>
    </rPh>
    <phoneticPr fontId="33"/>
  </si>
  <si>
    <t>廃棄物[単位]</t>
    <rPh sb="0" eb="3">
      <t>ハイキブツ</t>
    </rPh>
    <rPh sb="4" eb="6">
      <t>タンイ</t>
    </rPh>
    <phoneticPr fontId="34"/>
  </si>
  <si>
    <t>供給段階：CO2排出量（配分後）</t>
    <rPh sb="8" eb="10">
      <t>ハイシュツ</t>
    </rPh>
    <rPh sb="10" eb="11">
      <t>リョウ</t>
    </rPh>
    <rPh sb="14" eb="15">
      <t>ゴ</t>
    </rPh>
    <phoneticPr fontId="33"/>
  </si>
  <si>
    <t>＝</t>
    <phoneticPr fontId="33"/>
  </si>
  <si>
    <t>水素払出量</t>
    <rPh sb="0" eb="2">
      <t>スイソ</t>
    </rPh>
    <rPh sb="2" eb="3">
      <t>ハラ</t>
    </rPh>
    <rPh sb="3" eb="4">
      <t>ダ</t>
    </rPh>
    <rPh sb="4" eb="5">
      <t>リョウ</t>
    </rPh>
    <phoneticPr fontId="33"/>
  </si>
  <si>
    <r>
      <t>[単位：kgCO</t>
    </r>
    <r>
      <rPr>
        <sz val="11"/>
        <color theme="1"/>
        <rFont val="ＭＳ Ｐゴシック"/>
        <family val="3"/>
        <charset val="128"/>
        <scheme val="minor"/>
      </rPr>
      <t>2]</t>
    </r>
    <rPh sb="1" eb="3">
      <t>タンイ</t>
    </rPh>
    <phoneticPr fontId="33"/>
  </si>
  <si>
    <t>P01</t>
    <phoneticPr fontId="33"/>
  </si>
  <si>
    <t>P02</t>
    <phoneticPr fontId="33"/>
  </si>
  <si>
    <t>P03</t>
    <phoneticPr fontId="33"/>
  </si>
  <si>
    <t>P04</t>
    <phoneticPr fontId="33"/>
  </si>
  <si>
    <t>P05</t>
    <phoneticPr fontId="33"/>
  </si>
  <si>
    <t>P01</t>
    <phoneticPr fontId="33"/>
  </si>
  <si>
    <t>P02</t>
    <phoneticPr fontId="33"/>
  </si>
  <si>
    <t>P03</t>
    <phoneticPr fontId="33"/>
  </si>
  <si>
    <t>P04</t>
    <phoneticPr fontId="33"/>
  </si>
  <si>
    <t>P05</t>
    <phoneticPr fontId="33"/>
  </si>
  <si>
    <t>ユーティリティ</t>
    <phoneticPr fontId="33"/>
  </si>
  <si>
    <t>廃棄物</t>
    <rPh sb="0" eb="3">
      <t>ハイキブツ</t>
    </rPh>
    <phoneticPr fontId="33"/>
  </si>
  <si>
    <t>直接排出</t>
    <rPh sb="0" eb="2">
      <t>チョクセツ</t>
    </rPh>
    <rPh sb="2" eb="4">
      <t>ハイシュツ</t>
    </rPh>
    <phoneticPr fontId="33"/>
  </si>
  <si>
    <t>代替効果</t>
    <phoneticPr fontId="33"/>
  </si>
  <si>
    <t>プロセス合計</t>
    <rPh sb="4" eb="6">
      <t>ゴウケイ</t>
    </rPh>
    <phoneticPr fontId="33"/>
  </si>
  <si>
    <t>ユーティリティ</t>
    <phoneticPr fontId="33"/>
  </si>
  <si>
    <t>代替効果</t>
    <phoneticPr fontId="33"/>
  </si>
  <si>
    <t>ST01</t>
    <phoneticPr fontId="33"/>
  </si>
  <si>
    <t>ST02</t>
    <phoneticPr fontId="33"/>
  </si>
  <si>
    <t>ST03</t>
    <phoneticPr fontId="33"/>
  </si>
  <si>
    <t>ST04</t>
    <phoneticPr fontId="33"/>
  </si>
  <si>
    <t>ST05</t>
    <phoneticPr fontId="33"/>
  </si>
  <si>
    <t>ST01</t>
    <phoneticPr fontId="33"/>
  </si>
  <si>
    <t>ST02</t>
    <phoneticPr fontId="33"/>
  </si>
  <si>
    <t>ST03</t>
    <phoneticPr fontId="33"/>
  </si>
  <si>
    <t>ST04</t>
    <phoneticPr fontId="33"/>
  </si>
  <si>
    <t>ST05</t>
    <phoneticPr fontId="33"/>
  </si>
  <si>
    <t>電力消費量</t>
    <rPh sb="0" eb="2">
      <t>デンリョク</t>
    </rPh>
    <rPh sb="2" eb="5">
      <t>ショウヒリョウ</t>
    </rPh>
    <phoneticPr fontId="33"/>
  </si>
  <si>
    <t>CO2排出係数（電力）</t>
    <rPh sb="3" eb="5">
      <t>ハイシュツ</t>
    </rPh>
    <rPh sb="5" eb="7">
      <t>ケイスウ</t>
    </rPh>
    <rPh sb="8" eb="10">
      <t>デンリョク</t>
    </rPh>
    <phoneticPr fontId="33"/>
  </si>
  <si>
    <t>CO2排出量（電力）</t>
    <rPh sb="3" eb="5">
      <t>ハイシュツ</t>
    </rPh>
    <rPh sb="5" eb="6">
      <t>リョウ</t>
    </rPh>
    <rPh sb="7" eb="9">
      <t>デンリョク</t>
    </rPh>
    <phoneticPr fontId="33"/>
  </si>
  <si>
    <t>CO2排出係数（燃料）</t>
    <rPh sb="3" eb="5">
      <t>ハイシュツ</t>
    </rPh>
    <rPh sb="5" eb="7">
      <t>ケイスウ</t>
    </rPh>
    <rPh sb="8" eb="10">
      <t>ネンリョウ</t>
    </rPh>
    <phoneticPr fontId="33"/>
  </si>
  <si>
    <t>CO2排出量（燃料）</t>
    <rPh sb="3" eb="5">
      <t>ハイシュツ</t>
    </rPh>
    <rPh sb="5" eb="6">
      <t>リョウ</t>
    </rPh>
    <rPh sb="7" eb="9">
      <t>ネンリョウ</t>
    </rPh>
    <phoneticPr fontId="33"/>
  </si>
  <si>
    <t>燃費/電費(8h)</t>
    <rPh sb="0" eb="2">
      <t>ネンピ</t>
    </rPh>
    <rPh sb="3" eb="4">
      <t>デン</t>
    </rPh>
    <rPh sb="4" eb="5">
      <t>ヒ</t>
    </rPh>
    <phoneticPr fontId="33"/>
  </si>
  <si>
    <t>プロセス</t>
    <phoneticPr fontId="33"/>
  </si>
  <si>
    <t>資本財名称</t>
    <rPh sb="0" eb="3">
      <t>シホンザイ</t>
    </rPh>
    <rPh sb="3" eb="5">
      <t>メイショウ</t>
    </rPh>
    <phoneticPr fontId="33"/>
  </si>
  <si>
    <t>耐用年数
[年]</t>
    <rPh sb="0" eb="2">
      <t>タイヨウ</t>
    </rPh>
    <rPh sb="2" eb="4">
      <t>ネンスウ</t>
    </rPh>
    <rPh sb="6" eb="7">
      <t>ネン</t>
    </rPh>
    <phoneticPr fontId="33"/>
  </si>
  <si>
    <t>総排出量
[kgCO2]</t>
    <rPh sb="0" eb="1">
      <t>ソウ</t>
    </rPh>
    <rPh sb="1" eb="3">
      <t>ハイシュツ</t>
    </rPh>
    <rPh sb="3" eb="4">
      <t>リョウ</t>
    </rPh>
    <phoneticPr fontId="33"/>
  </si>
  <si>
    <t>稼働日数
[日/年]</t>
    <rPh sb="0" eb="2">
      <t>カドウ</t>
    </rPh>
    <rPh sb="2" eb="4">
      <t>ニッスウ</t>
    </rPh>
    <rPh sb="6" eb="7">
      <t>ヒ</t>
    </rPh>
    <rPh sb="8" eb="9">
      <t>ネン</t>
    </rPh>
    <phoneticPr fontId="33"/>
  </si>
  <si>
    <t>データベース名称</t>
    <rPh sb="6" eb="8">
      <t>メイショウ</t>
    </rPh>
    <phoneticPr fontId="33"/>
  </si>
  <si>
    <t>補助リスト項目名</t>
    <rPh sb="0" eb="2">
      <t>ホジョ</t>
    </rPh>
    <rPh sb="5" eb="7">
      <t>コウモク</t>
    </rPh>
    <rPh sb="7" eb="8">
      <t>メイ</t>
    </rPh>
    <phoneticPr fontId="33"/>
  </si>
  <si>
    <r>
      <rPr>
        <sz val="11"/>
        <color theme="0"/>
        <rFont val="ＭＳ Ｐゴシック"/>
        <family val="3"/>
        <charset val="128"/>
      </rPr>
      <t>単位</t>
    </r>
    <rPh sb="0" eb="2">
      <t>タンイ</t>
    </rPh>
    <phoneticPr fontId="33"/>
  </si>
  <si>
    <r>
      <rPr>
        <sz val="11"/>
        <color theme="0"/>
        <rFont val="ＭＳ Ｐゴシック"/>
        <family val="3"/>
        <charset val="128"/>
      </rPr>
      <t xml:space="preserve">データベース
</t>
    </r>
    <r>
      <rPr>
        <sz val="11"/>
        <color theme="0"/>
        <rFont val="Arial"/>
        <family val="2"/>
      </rPr>
      <t>ID</t>
    </r>
    <phoneticPr fontId="33"/>
  </si>
  <si>
    <r>
      <rPr>
        <sz val="11"/>
        <rFont val="ＭＳ Ｐゴシック"/>
        <family val="3"/>
        <charset val="128"/>
      </rPr>
      <t>簡易物質名</t>
    </r>
    <rPh sb="0" eb="2">
      <t>カンイ</t>
    </rPh>
    <rPh sb="2" eb="4">
      <t>ブッシツ</t>
    </rPh>
    <rPh sb="4" eb="5">
      <t>メイ</t>
    </rPh>
    <phoneticPr fontId="33"/>
  </si>
  <si>
    <r>
      <rPr>
        <sz val="11"/>
        <rFont val="ＭＳ Ｐゴシック"/>
        <family val="3"/>
        <charset val="128"/>
      </rPr>
      <t>物質名</t>
    </r>
    <rPh sb="0" eb="2">
      <t>ブッシツ</t>
    </rPh>
    <rPh sb="2" eb="3">
      <t>メイ</t>
    </rPh>
    <phoneticPr fontId="33"/>
  </si>
  <si>
    <r>
      <rPr>
        <sz val="11"/>
        <rFont val="ＭＳ Ｐゴシック"/>
        <family val="3"/>
        <charset val="128"/>
      </rPr>
      <t>単位</t>
    </r>
    <rPh sb="0" eb="2">
      <t>タンイ</t>
    </rPh>
    <phoneticPr fontId="33"/>
  </si>
  <si>
    <t>[kgCO2]</t>
    <phoneticPr fontId="33"/>
  </si>
  <si>
    <t>A重油</t>
    <rPh sb="1" eb="3">
      <t>ジュウユ</t>
    </rPh>
    <phoneticPr fontId="33"/>
  </si>
  <si>
    <t>灯油</t>
    <rPh sb="0" eb="2">
      <t>トウユ</t>
    </rPh>
    <phoneticPr fontId="33"/>
  </si>
  <si>
    <t>製造段階：原材料由来CO2排出量</t>
    <rPh sb="8" eb="10">
      <t>ユライ</t>
    </rPh>
    <rPh sb="13" eb="16">
      <t>ハイシュツリョウ</t>
    </rPh>
    <phoneticPr fontId="33"/>
  </si>
  <si>
    <t>製造段階：原材料</t>
    <rPh sb="5" eb="8">
      <t>ゲンザイリョウ</t>
    </rPh>
    <phoneticPr fontId="33"/>
  </si>
  <si>
    <t>製造段階：ユーティリティ</t>
    <phoneticPr fontId="33"/>
  </si>
  <si>
    <t>製造段階：ユーティリティ由来CO2排出量</t>
    <phoneticPr fontId="33"/>
  </si>
  <si>
    <t>製造段階：副資材</t>
    <phoneticPr fontId="33"/>
  </si>
  <si>
    <t>製造段階：副資材由来CO2排出量</t>
    <phoneticPr fontId="33"/>
  </si>
  <si>
    <t>製造段階：輸送由来CO2排出量</t>
    <rPh sb="5" eb="7">
      <t>ユソウ</t>
    </rPh>
    <phoneticPr fontId="33"/>
  </si>
  <si>
    <t>製造段階：廃棄物処理由来CO2排出量</t>
    <rPh sb="5" eb="8">
      <t>ハイキブツ</t>
    </rPh>
    <rPh sb="8" eb="10">
      <t>ショリ</t>
    </rPh>
    <rPh sb="10" eb="12">
      <t>ユライ</t>
    </rPh>
    <rPh sb="15" eb="17">
      <t>ハイシュツ</t>
    </rPh>
    <rPh sb="17" eb="18">
      <t>リョウ</t>
    </rPh>
    <phoneticPr fontId="33"/>
  </si>
  <si>
    <t>製造段階：廃棄物処理</t>
    <rPh sb="5" eb="8">
      <t>ハイキブツ</t>
    </rPh>
    <rPh sb="8" eb="10">
      <t>ショリ</t>
    </rPh>
    <phoneticPr fontId="33"/>
  </si>
  <si>
    <t>製造段階：大気への直接排出（CO2換算）</t>
    <rPh sb="5" eb="7">
      <t>タイキ</t>
    </rPh>
    <rPh sb="9" eb="11">
      <t>チョクセツ</t>
    </rPh>
    <rPh sb="11" eb="13">
      <t>ハイシュツ</t>
    </rPh>
    <rPh sb="17" eb="19">
      <t>カンザン</t>
    </rPh>
    <phoneticPr fontId="33"/>
  </si>
  <si>
    <t>製造段階：資本財由来のCO2排出量</t>
    <rPh sb="5" eb="8">
      <t>シホンザイ</t>
    </rPh>
    <rPh sb="8" eb="10">
      <t>ユライ</t>
    </rPh>
    <rPh sb="14" eb="17">
      <t>ハイシュツリョウ</t>
    </rPh>
    <phoneticPr fontId="33"/>
  </si>
  <si>
    <t>副産物発生量（単位換算）</t>
    <rPh sb="0" eb="3">
      <t>フクサンブツ</t>
    </rPh>
    <rPh sb="3" eb="6">
      <t>ハッセイリョウ</t>
    </rPh>
    <rPh sb="7" eb="9">
      <t>タンイ</t>
    </rPh>
    <rPh sb="9" eb="11">
      <t>カンザン</t>
    </rPh>
    <phoneticPr fontId="33"/>
  </si>
  <si>
    <t>製造段階：副産物関係データ</t>
    <rPh sb="5" eb="8">
      <t>フクサンブツ</t>
    </rPh>
    <rPh sb="8" eb="10">
      <t>カンケイ</t>
    </rPh>
    <phoneticPr fontId="33"/>
  </si>
  <si>
    <t>[t]</t>
  </si>
  <si>
    <t>エネルギー源別標準発熱量･炭素排出係数改訂/ 2016 JAN 訂正版</t>
  </si>
  <si>
    <t>[L]</t>
  </si>
  <si>
    <t>出典：エネルギー源別標準発熱量･炭素排出係数改訂/ 2016 JAN 訂正版</t>
    <rPh sb="0" eb="2">
      <t>シュッテン</t>
    </rPh>
    <phoneticPr fontId="33"/>
  </si>
  <si>
    <r>
      <t>水力（</t>
    </r>
    <r>
      <rPr>
        <sz val="10"/>
        <color theme="1"/>
        <rFont val="Arial"/>
        <family val="2"/>
      </rPr>
      <t>10MW</t>
    </r>
    <r>
      <rPr>
        <sz val="10"/>
        <color theme="1"/>
        <rFont val="ＭＳ Ｐゴシック"/>
        <family val="3"/>
        <charset val="128"/>
      </rPr>
      <t>）</t>
    </r>
  </si>
  <si>
    <t>電力</t>
    <rPh sb="0" eb="2">
      <t>デンリョク</t>
    </rPh>
    <phoneticPr fontId="33"/>
  </si>
  <si>
    <t>運用・保守</t>
    <rPh sb="0" eb="2">
      <t>ウンヨウ</t>
    </rPh>
    <rPh sb="3" eb="5">
      <t>ホシュ</t>
    </rPh>
    <phoneticPr fontId="33"/>
  </si>
  <si>
    <t>初期（資本財）</t>
    <rPh sb="0" eb="2">
      <t>ショキ</t>
    </rPh>
    <rPh sb="3" eb="6">
      <t>シホンザイ</t>
    </rPh>
    <phoneticPr fontId="33"/>
  </si>
  <si>
    <t>kg-CO2/kWh</t>
    <phoneticPr fontId="33"/>
  </si>
  <si>
    <t>HHV（製造～燃焼）</t>
    <rPh sb="4" eb="6">
      <t>セイゾウ</t>
    </rPh>
    <rPh sb="7" eb="9">
      <t>ネンショウ</t>
    </rPh>
    <phoneticPr fontId="51"/>
  </si>
  <si>
    <t>製造出荷終了時から貯蔵・輸送出荷終了時までのロス率</t>
    <rPh sb="0" eb="2">
      <t>セイゾウ</t>
    </rPh>
    <rPh sb="2" eb="4">
      <t>シュッカ</t>
    </rPh>
    <rPh sb="4" eb="7">
      <t>シュウリョウジ</t>
    </rPh>
    <rPh sb="9" eb="11">
      <t>チョゾウ</t>
    </rPh>
    <rPh sb="12" eb="14">
      <t>ユソウ</t>
    </rPh>
    <rPh sb="14" eb="16">
      <t>シュッカ</t>
    </rPh>
    <rPh sb="16" eb="19">
      <t>シュウリョウジ</t>
    </rPh>
    <rPh sb="24" eb="25">
      <t>リツ</t>
    </rPh>
    <phoneticPr fontId="33"/>
  </si>
  <si>
    <t>貯蔵・輸送出荷終了時から販売までのロス率</t>
    <rPh sb="0" eb="2">
      <t>チョゾウ</t>
    </rPh>
    <rPh sb="3" eb="5">
      <t>ユソウ</t>
    </rPh>
    <rPh sb="5" eb="7">
      <t>シュッカ</t>
    </rPh>
    <rPh sb="7" eb="10">
      <t>シュウリョウジ</t>
    </rPh>
    <rPh sb="12" eb="14">
      <t>ハンバイ</t>
    </rPh>
    <rPh sb="19" eb="20">
      <t>リツ</t>
    </rPh>
    <phoneticPr fontId="33"/>
  </si>
  <si>
    <t>確認項目</t>
    <rPh sb="0" eb="2">
      <t>カクニン</t>
    </rPh>
    <rPh sb="2" eb="4">
      <t>コウモク</t>
    </rPh>
    <phoneticPr fontId="33"/>
  </si>
  <si>
    <t>分野（sheet名）</t>
    <rPh sb="0" eb="2">
      <t>ブンヤ</t>
    </rPh>
    <rPh sb="8" eb="9">
      <t>メイ</t>
    </rPh>
    <phoneticPr fontId="51"/>
  </si>
  <si>
    <t>原則、カットオフを行わず代替データ等を用いて算定を行っているか？</t>
    <phoneticPr fontId="51"/>
  </si>
  <si>
    <t>配分が回避されるよう、プロセスの細分化を十分に検討したか？</t>
    <phoneticPr fontId="51"/>
  </si>
  <si>
    <t>比較対象となるガソリン自動車等について、事業実施年度が適切に選択されているか？</t>
    <rPh sb="0" eb="2">
      <t>ヒカク</t>
    </rPh>
    <rPh sb="2" eb="4">
      <t>タイショウ</t>
    </rPh>
    <rPh sb="11" eb="14">
      <t>ジドウシャ</t>
    </rPh>
    <rPh sb="14" eb="15">
      <t>トウ</t>
    </rPh>
    <rPh sb="20" eb="22">
      <t>ジギョウ</t>
    </rPh>
    <rPh sb="22" eb="24">
      <t>ジッシ</t>
    </rPh>
    <rPh sb="24" eb="26">
      <t>ネンド</t>
    </rPh>
    <rPh sb="27" eb="29">
      <t>テキセツ</t>
    </rPh>
    <rPh sb="30" eb="32">
      <t>センタク</t>
    </rPh>
    <phoneticPr fontId="51"/>
  </si>
  <si>
    <t>補助リスト</t>
    <rPh sb="0" eb="2">
      <t>ホジョ</t>
    </rPh>
    <phoneticPr fontId="51"/>
  </si>
  <si>
    <t>補助リストを編集した場合</t>
    <rPh sb="0" eb="2">
      <t>ホジョ</t>
    </rPh>
    <rPh sb="6" eb="8">
      <t>ヘンシュウ</t>
    </rPh>
    <rPh sb="10" eb="12">
      <t>バアイ</t>
    </rPh>
    <phoneticPr fontId="51"/>
  </si>
  <si>
    <t>従来フォークリフト</t>
    <rPh sb="0" eb="2">
      <t>ジュウライ</t>
    </rPh>
    <phoneticPr fontId="33"/>
  </si>
  <si>
    <t>[kgCO2/MJ]</t>
    <phoneticPr fontId="33"/>
  </si>
  <si>
    <t>[kgCO2]</t>
    <phoneticPr fontId="33"/>
  </si>
  <si>
    <t>輸送種別</t>
    <rPh sb="0" eb="2">
      <t>ユソウ</t>
    </rPh>
    <rPh sb="2" eb="4">
      <t>シュベツ</t>
    </rPh>
    <phoneticPr fontId="34"/>
  </si>
  <si>
    <t>貯蔵・輸送段階：原材料由来CO2排出量</t>
    <rPh sb="0" eb="2">
      <t>チョゾウ</t>
    </rPh>
    <rPh sb="3" eb="5">
      <t>ユソウ</t>
    </rPh>
    <rPh sb="11" eb="13">
      <t>ユライ</t>
    </rPh>
    <rPh sb="16" eb="19">
      <t>ハイシュツリョウ</t>
    </rPh>
    <phoneticPr fontId="33"/>
  </si>
  <si>
    <t>貯蔵・輸送段階：ユーティリティ由来CO2排出量</t>
    <phoneticPr fontId="33"/>
  </si>
  <si>
    <t>貯蔵・輸送段階：副資材由来CO2排出量</t>
    <phoneticPr fontId="33"/>
  </si>
  <si>
    <t>貯蔵・輸送段階：輸送由来CO2排出量</t>
    <rPh sb="8" eb="10">
      <t>ユソウ</t>
    </rPh>
    <phoneticPr fontId="33"/>
  </si>
  <si>
    <t>貯蔵・輸送段階：廃棄物処理由来CO2排出量</t>
    <rPh sb="8" eb="11">
      <t>ハイキブツ</t>
    </rPh>
    <rPh sb="11" eb="13">
      <t>ショリ</t>
    </rPh>
    <rPh sb="13" eb="15">
      <t>ユライ</t>
    </rPh>
    <rPh sb="18" eb="20">
      <t>ハイシュツ</t>
    </rPh>
    <rPh sb="20" eb="21">
      <t>リョウ</t>
    </rPh>
    <phoneticPr fontId="33"/>
  </si>
  <si>
    <t>貯蔵・輸送段階：大気への直接排出（CO2換算）</t>
    <rPh sb="8" eb="10">
      <t>タイキ</t>
    </rPh>
    <rPh sb="12" eb="14">
      <t>チョクセツ</t>
    </rPh>
    <rPh sb="14" eb="16">
      <t>ハイシュツ</t>
    </rPh>
    <rPh sb="20" eb="22">
      <t>カンザン</t>
    </rPh>
    <phoneticPr fontId="33"/>
  </si>
  <si>
    <t>貯蔵・輸送段階：資本財由来のCO2排出量</t>
    <rPh sb="8" eb="11">
      <t>シホンザイ</t>
    </rPh>
    <rPh sb="11" eb="13">
      <t>ユライ</t>
    </rPh>
    <rPh sb="17" eb="20">
      <t>ハイシュツリョウ</t>
    </rPh>
    <phoneticPr fontId="33"/>
  </si>
  <si>
    <t>貯蔵・輸送段階：副産物関係データ</t>
    <rPh sb="8" eb="11">
      <t>フクサンブツ</t>
    </rPh>
    <rPh sb="11" eb="13">
      <t>カンケイ</t>
    </rPh>
    <phoneticPr fontId="33"/>
  </si>
  <si>
    <t>貯蔵・輸送段階：CO2排出量（配分後）</t>
    <rPh sb="11" eb="13">
      <t>ハイシュツ</t>
    </rPh>
    <rPh sb="13" eb="14">
      <t>リョウ</t>
    </rPh>
    <rPh sb="17" eb="18">
      <t>ゴ</t>
    </rPh>
    <phoneticPr fontId="33"/>
  </si>
  <si>
    <t>貯蔵・輸送段階：副産物発生量</t>
    <rPh sb="8" eb="11">
      <t>フクサンブツ</t>
    </rPh>
    <rPh sb="11" eb="14">
      <t>ハッセイリョウ</t>
    </rPh>
    <phoneticPr fontId="33"/>
  </si>
  <si>
    <t>貯蔵・輸送段階：大気への直接排出量</t>
    <rPh sb="8" eb="10">
      <t>タイキ</t>
    </rPh>
    <rPh sb="12" eb="14">
      <t>チョクセツ</t>
    </rPh>
    <rPh sb="14" eb="16">
      <t>ハイシュツ</t>
    </rPh>
    <rPh sb="16" eb="17">
      <t>リョウ</t>
    </rPh>
    <phoneticPr fontId="33"/>
  </si>
  <si>
    <t>貯蔵・輸送段階：廃棄物処理</t>
    <rPh sb="8" eb="11">
      <t>ハイキブツ</t>
    </rPh>
    <rPh sb="11" eb="13">
      <t>ショリ</t>
    </rPh>
    <phoneticPr fontId="33"/>
  </si>
  <si>
    <t>貯蔵・輸送段階：輸送</t>
    <phoneticPr fontId="47"/>
  </si>
  <si>
    <t>貯蔵・輸送段階：原材料</t>
    <rPh sb="8" eb="11">
      <t>ゲンザイリョウ</t>
    </rPh>
    <phoneticPr fontId="33"/>
  </si>
  <si>
    <t>貯蔵・輸送段階：ユーティリティ</t>
    <phoneticPr fontId="33"/>
  </si>
  <si>
    <t>供給段階：原材料</t>
    <rPh sb="0" eb="2">
      <t>キョウキュウ</t>
    </rPh>
    <rPh sb="5" eb="8">
      <t>ゲンザイリョウ</t>
    </rPh>
    <phoneticPr fontId="33"/>
  </si>
  <si>
    <t>供給段階：ユーティリティ</t>
    <phoneticPr fontId="33"/>
  </si>
  <si>
    <t>供給段階：副資材</t>
    <phoneticPr fontId="33"/>
  </si>
  <si>
    <t>供給段階：輸送</t>
    <phoneticPr fontId="33"/>
  </si>
  <si>
    <t>供給段階：廃棄物処理</t>
    <rPh sb="5" eb="8">
      <t>ハイキブツ</t>
    </rPh>
    <rPh sb="8" eb="10">
      <t>ショリ</t>
    </rPh>
    <phoneticPr fontId="33"/>
  </si>
  <si>
    <t>供給段階：大気への直接排出量</t>
    <rPh sb="5" eb="7">
      <t>タイキ</t>
    </rPh>
    <rPh sb="9" eb="11">
      <t>チョクセツ</t>
    </rPh>
    <rPh sb="11" eb="13">
      <t>ハイシュツ</t>
    </rPh>
    <rPh sb="13" eb="14">
      <t>リョウ</t>
    </rPh>
    <phoneticPr fontId="33"/>
  </si>
  <si>
    <t>供給段階：資本財</t>
    <rPh sb="5" eb="8">
      <t>シホンザイ</t>
    </rPh>
    <phoneticPr fontId="33"/>
  </si>
  <si>
    <t>供給段階：副産物発生量</t>
    <rPh sb="5" eb="8">
      <t>フクサンブツ</t>
    </rPh>
    <rPh sb="8" eb="11">
      <t>ハッセイリョウ</t>
    </rPh>
    <phoneticPr fontId="33"/>
  </si>
  <si>
    <t>供給段階：原材料由来CO2排出量</t>
    <rPh sb="8" eb="10">
      <t>ユライ</t>
    </rPh>
    <rPh sb="13" eb="16">
      <t>ハイシュツリョウ</t>
    </rPh>
    <phoneticPr fontId="33"/>
  </si>
  <si>
    <t>供給段階：ユーティリティ由来CO2排出量</t>
    <phoneticPr fontId="33"/>
  </si>
  <si>
    <t>供給段階：副資材由来CO2排出量</t>
    <phoneticPr fontId="33"/>
  </si>
  <si>
    <t>供給段階：輸送由来CO2排出量</t>
    <rPh sb="5" eb="7">
      <t>ユソウ</t>
    </rPh>
    <phoneticPr fontId="33"/>
  </si>
  <si>
    <t>供給段階：廃棄物処理由来CO2排出量</t>
    <rPh sb="5" eb="8">
      <t>ハイキブツ</t>
    </rPh>
    <rPh sb="8" eb="10">
      <t>ショリ</t>
    </rPh>
    <rPh sb="10" eb="12">
      <t>ユライ</t>
    </rPh>
    <rPh sb="15" eb="17">
      <t>ハイシュツ</t>
    </rPh>
    <rPh sb="17" eb="18">
      <t>リョウ</t>
    </rPh>
    <phoneticPr fontId="33"/>
  </si>
  <si>
    <t>供給段階：大気への直接排出（CO2換算）</t>
    <rPh sb="5" eb="7">
      <t>タイキ</t>
    </rPh>
    <rPh sb="9" eb="11">
      <t>チョクセツ</t>
    </rPh>
    <rPh sb="11" eb="13">
      <t>ハイシュツ</t>
    </rPh>
    <rPh sb="17" eb="19">
      <t>カンザン</t>
    </rPh>
    <phoneticPr fontId="33"/>
  </si>
  <si>
    <t>供給段階：資本財由来のCO2排出量</t>
    <rPh sb="5" eb="8">
      <t>シホンザイ</t>
    </rPh>
    <rPh sb="8" eb="10">
      <t>ユライ</t>
    </rPh>
    <rPh sb="14" eb="17">
      <t>ハイシュツリョウ</t>
    </rPh>
    <phoneticPr fontId="33"/>
  </si>
  <si>
    <t>供給段階：副産物関係データ</t>
    <rPh sb="5" eb="8">
      <t>フクサンブツ</t>
    </rPh>
    <rPh sb="8" eb="10">
      <t>カンケイ</t>
    </rPh>
    <phoneticPr fontId="33"/>
  </si>
  <si>
    <t>再エネ種別</t>
    <rPh sb="0" eb="1">
      <t>サイ</t>
    </rPh>
    <rPh sb="3" eb="5">
      <t>シュベツ</t>
    </rPh>
    <phoneticPr fontId="34"/>
  </si>
  <si>
    <t>ガソリン</t>
    <phoneticPr fontId="33"/>
  </si>
  <si>
    <t>軽油</t>
    <rPh sb="0" eb="2">
      <t>ケイユ</t>
    </rPh>
    <phoneticPr fontId="33"/>
  </si>
  <si>
    <t>系統電力</t>
    <rPh sb="0" eb="2">
      <t>ケイトウ</t>
    </rPh>
    <rPh sb="2" eb="4">
      <t>デンリョク</t>
    </rPh>
    <phoneticPr fontId="33"/>
  </si>
  <si>
    <t>効率指標</t>
    <rPh sb="0" eb="2">
      <t>コウリツ</t>
    </rPh>
    <rPh sb="2" eb="4">
      <t>シヒョウ</t>
    </rPh>
    <phoneticPr fontId="33"/>
  </si>
  <si>
    <t>単位</t>
    <rPh sb="0" eb="2">
      <t>タンイ</t>
    </rPh>
    <phoneticPr fontId="33"/>
  </si>
  <si>
    <t>[L/8h]</t>
    <phoneticPr fontId="33"/>
  </si>
  <si>
    <t>[kWh/8h]</t>
    <phoneticPr fontId="33"/>
  </si>
  <si>
    <t>[Nm3/8h]</t>
    <phoneticPr fontId="33"/>
  </si>
  <si>
    <t>LCAの実施目的</t>
    <rPh sb="4" eb="6">
      <t>ジッシ</t>
    </rPh>
    <rPh sb="6" eb="8">
      <t>モクテキ</t>
    </rPh>
    <phoneticPr fontId="33"/>
  </si>
  <si>
    <t>結果の用途</t>
    <rPh sb="0" eb="2">
      <t>ケッカ</t>
    </rPh>
    <rPh sb="3" eb="5">
      <t>ヨウト</t>
    </rPh>
    <phoneticPr fontId="33"/>
  </si>
  <si>
    <t>目的</t>
    <rPh sb="0" eb="2">
      <t>モクテキ</t>
    </rPh>
    <phoneticPr fontId="33"/>
  </si>
  <si>
    <t>No</t>
  </si>
  <si>
    <t>補助金事業等への活用</t>
  </si>
  <si>
    <t>貯蔵・輸送量</t>
    <rPh sb="0" eb="2">
      <t>チョゾウ</t>
    </rPh>
    <rPh sb="3" eb="5">
      <t>ユソウ</t>
    </rPh>
    <rPh sb="5" eb="6">
      <t>リョウ</t>
    </rPh>
    <phoneticPr fontId="47"/>
  </si>
  <si>
    <t>供給量</t>
    <rPh sb="0" eb="2">
      <t>キョウキュウ</t>
    </rPh>
    <rPh sb="2" eb="3">
      <t>リョウ</t>
    </rPh>
    <phoneticPr fontId="33"/>
  </si>
  <si>
    <t>製造量</t>
    <rPh sb="0" eb="2">
      <t>セイゾウ</t>
    </rPh>
    <rPh sb="2" eb="3">
      <t>リョウ</t>
    </rPh>
    <phoneticPr fontId="33"/>
  </si>
  <si>
    <t>[kg or Nm3]↓</t>
    <phoneticPr fontId="33"/>
  </si>
  <si>
    <t>[kg or Nm3]↓</t>
    <phoneticPr fontId="34"/>
  </si>
  <si>
    <t>[kg or Nm3]↓</t>
    <phoneticPr fontId="34"/>
  </si>
  <si>
    <t>値</t>
    <rPh sb="0" eb="1">
      <t>アタイ</t>
    </rPh>
    <phoneticPr fontId="33"/>
  </si>
  <si>
    <t>値</t>
    <rPh sb="0" eb="1">
      <t>アタイ</t>
    </rPh>
    <phoneticPr fontId="33"/>
  </si>
  <si>
    <t>値</t>
    <rPh sb="0" eb="1">
      <t>アタイ</t>
    </rPh>
    <phoneticPr fontId="47"/>
  </si>
  <si>
    <t>値</t>
    <rPh sb="0" eb="1">
      <t>アタイ</t>
    </rPh>
    <phoneticPr fontId="33"/>
  </si>
  <si>
    <t>製造
貯蔵・輸送
供給</t>
    <rPh sb="0" eb="2">
      <t>セイゾウ</t>
    </rPh>
    <rPh sb="3" eb="5">
      <t>チョゾウ</t>
    </rPh>
    <rPh sb="6" eb="8">
      <t>ユソウ</t>
    </rPh>
    <rPh sb="9" eb="11">
      <t>キョウキュウ</t>
    </rPh>
    <phoneticPr fontId="33"/>
  </si>
  <si>
    <t>利用</t>
    <rPh sb="0" eb="2">
      <t>リヨウ</t>
    </rPh>
    <phoneticPr fontId="51"/>
  </si>
  <si>
    <t>カットオフ項目は供給段階までのGHG排出量に対して1%未満であるか？</t>
    <phoneticPr fontId="33"/>
  </si>
  <si>
    <t>カットオフ項目を以下の「カットオフした項目」に記載しているか？</t>
    <rPh sb="8" eb="10">
      <t>イカ</t>
    </rPh>
    <rPh sb="19" eb="21">
      <t>コウモク</t>
    </rPh>
    <rPh sb="23" eb="25">
      <t>キサイ</t>
    </rPh>
    <phoneticPr fontId="33"/>
  </si>
  <si>
    <t>Sheet名</t>
    <rPh sb="5" eb="6">
      <t>メイ</t>
    </rPh>
    <phoneticPr fontId="51"/>
  </si>
  <si>
    <t>温室効果ガス排出量の影響度</t>
    <rPh sb="0" eb="2">
      <t>オンシツ</t>
    </rPh>
    <rPh sb="2" eb="4">
      <t>コウカ</t>
    </rPh>
    <rPh sb="6" eb="8">
      <t>ハイシュツ</t>
    </rPh>
    <rPh sb="8" eb="9">
      <t>リョウ</t>
    </rPh>
    <rPh sb="10" eb="13">
      <t>エイキョウド</t>
    </rPh>
    <phoneticPr fontId="51"/>
  </si>
  <si>
    <t>（例：1Nm3あたりの排出は○○以下でり、影響は○○%未満である。）</t>
    <rPh sb="1" eb="2">
      <t>レイ</t>
    </rPh>
    <rPh sb="11" eb="13">
      <t>ハイシュツ</t>
    </rPh>
    <rPh sb="16" eb="18">
      <t>イカ</t>
    </rPh>
    <rPh sb="21" eb="23">
      <t>エイキョウ</t>
    </rPh>
    <rPh sb="27" eb="29">
      <t>ミマン</t>
    </rPh>
    <phoneticPr fontId="33"/>
  </si>
  <si>
    <t>環境省　水素サプライチェーンにおける温室効果ガス削減効果に関する計算ツール　Ver1.0</t>
    <rPh sb="0" eb="3">
      <t>カンキョウショウ</t>
    </rPh>
    <phoneticPr fontId="33"/>
  </si>
  <si>
    <t>－</t>
    <phoneticPr fontId="33"/>
  </si>
  <si>
    <t>－</t>
    <phoneticPr fontId="33"/>
  </si>
  <si>
    <t>―</t>
  </si>
  <si>
    <t>―</t>
    <phoneticPr fontId="47"/>
  </si>
  <si>
    <t>補助リスト</t>
    <rPh sb="0" eb="2">
      <t>ホジョ</t>
    </rPh>
    <phoneticPr fontId="33"/>
  </si>
  <si>
    <t>Yes</t>
  </si>
  <si>
    <t>―</t>
    <phoneticPr fontId="33"/>
  </si>
  <si>
    <t>入力項目の選択</t>
    <rPh sb="0" eb="2">
      <t>ニュウリョク</t>
    </rPh>
    <rPh sb="2" eb="4">
      <t>コウモク</t>
    </rPh>
    <rPh sb="5" eb="7">
      <t>センタク</t>
    </rPh>
    <phoneticPr fontId="33"/>
  </si>
  <si>
    <t>ユーティリティ</t>
    <phoneticPr fontId="33"/>
  </si>
  <si>
    <t>直接排出する温室効果ガス</t>
    <rPh sb="0" eb="2">
      <t>チョクセツ</t>
    </rPh>
    <rPh sb="2" eb="4">
      <t>ハイシュツ</t>
    </rPh>
    <rPh sb="6" eb="8">
      <t>オンシツ</t>
    </rPh>
    <rPh sb="8" eb="10">
      <t>コウカ</t>
    </rPh>
    <phoneticPr fontId="33"/>
  </si>
  <si>
    <t>廃棄物処理</t>
    <rPh sb="0" eb="3">
      <t>ハイキブツ</t>
    </rPh>
    <rPh sb="3" eb="5">
      <t>ショリ</t>
    </rPh>
    <phoneticPr fontId="33"/>
  </si>
  <si>
    <t>副産物の発生</t>
    <rPh sb="0" eb="3">
      <t>フクサンブツ</t>
    </rPh>
    <rPh sb="4" eb="6">
      <t>ハッセイ</t>
    </rPh>
    <phoneticPr fontId="33"/>
  </si>
  <si>
    <t>例</t>
    <rPh sb="0" eb="1">
      <t>レイ</t>
    </rPh>
    <phoneticPr fontId="33"/>
  </si>
  <si>
    <t>廃棄物や排水処理</t>
    <rPh sb="0" eb="3">
      <t>ハイキブツ</t>
    </rPh>
    <rPh sb="4" eb="6">
      <t>ハイスイ</t>
    </rPh>
    <rPh sb="6" eb="8">
      <t>ショリ</t>
    </rPh>
    <phoneticPr fontId="33"/>
  </si>
  <si>
    <t>メタン等の直接排出</t>
    <rPh sb="3" eb="4">
      <t>トウ</t>
    </rPh>
    <rPh sb="5" eb="7">
      <t>チョクセツ</t>
    </rPh>
    <rPh sb="7" eb="9">
      <t>ハイシュツ</t>
    </rPh>
    <phoneticPr fontId="33"/>
  </si>
  <si>
    <t>苛性ソーダ、塩素ガス</t>
    <rPh sb="0" eb="2">
      <t>カセイ</t>
    </rPh>
    <rPh sb="6" eb="8">
      <t>エンソ</t>
    </rPh>
    <phoneticPr fontId="33"/>
  </si>
  <si>
    <t>トラック輸送</t>
    <rPh sb="4" eb="6">
      <t>ユソウ</t>
    </rPh>
    <phoneticPr fontId="33"/>
  </si>
  <si>
    <t>パージ窒素</t>
    <rPh sb="3" eb="5">
      <t>チッソ</t>
    </rPh>
    <phoneticPr fontId="33"/>
  </si>
  <si>
    <t>電力、都市ガス、工業用水</t>
    <rPh sb="0" eb="2">
      <t>デンリョク</t>
    </rPh>
    <rPh sb="3" eb="5">
      <t>トシ</t>
    </rPh>
    <rPh sb="8" eb="10">
      <t>コウギョウ</t>
    </rPh>
    <rPh sb="10" eb="12">
      <t>ヨウスイ</t>
    </rPh>
    <phoneticPr fontId="33"/>
  </si>
  <si>
    <t>原料塩</t>
    <rPh sb="0" eb="2">
      <t>ゲンリョウ</t>
    </rPh>
    <rPh sb="2" eb="3">
      <t>シオ</t>
    </rPh>
    <phoneticPr fontId="33"/>
  </si>
  <si>
    <t>ST01</t>
    <phoneticPr fontId="34"/>
  </si>
  <si>
    <t>―</t>
    <phoneticPr fontId="33"/>
  </si>
  <si>
    <t>ST02</t>
    <phoneticPr fontId="34"/>
  </si>
  <si>
    <t>―</t>
    <phoneticPr fontId="33"/>
  </si>
  <si>
    <t>ガソリン</t>
    <phoneticPr fontId="34"/>
  </si>
  <si>
    <t>―</t>
    <phoneticPr fontId="33"/>
  </si>
  <si>
    <t xml:space="preserve">[kgCO2/m3] </t>
    <phoneticPr fontId="33"/>
  </si>
  <si>
    <t>活動量</t>
    <phoneticPr fontId="33"/>
  </si>
  <si>
    <t>ST01</t>
    <phoneticPr fontId="34"/>
  </si>
  <si>
    <t>ST02</t>
    <phoneticPr fontId="34"/>
  </si>
  <si>
    <t>ｋWh</t>
    <phoneticPr fontId="33"/>
  </si>
  <si>
    <t>[kWh]</t>
    <phoneticPr fontId="33"/>
  </si>
  <si>
    <t xml:space="preserve">[kgCO2/kWh] </t>
    <phoneticPr fontId="33"/>
  </si>
  <si>
    <t>LPG</t>
    <phoneticPr fontId="34"/>
  </si>
  <si>
    <t>LNG</t>
    <phoneticPr fontId="47"/>
  </si>
  <si>
    <t>[m3]</t>
    <phoneticPr fontId="33"/>
  </si>
  <si>
    <t>―</t>
    <phoneticPr fontId="33"/>
  </si>
  <si>
    <r>
      <t>S</t>
    </r>
    <r>
      <rPr>
        <sz val="11"/>
        <color theme="1"/>
        <rFont val="ＭＳ Ｐゴシック"/>
        <family val="2"/>
        <charset val="128"/>
        <scheme val="minor"/>
      </rPr>
      <t>T</t>
    </r>
    <r>
      <rPr>
        <sz val="11"/>
        <color theme="1"/>
        <rFont val="ＭＳ Ｐゴシック"/>
        <family val="2"/>
        <charset val="128"/>
        <scheme val="minor"/>
      </rPr>
      <t>02</t>
    </r>
    <phoneticPr fontId="33"/>
  </si>
  <si>
    <t>ST01</t>
    <phoneticPr fontId="34"/>
  </si>
  <si>
    <t>―</t>
    <phoneticPr fontId="33"/>
  </si>
  <si>
    <t>―</t>
    <phoneticPr fontId="33"/>
  </si>
  <si>
    <t>ST01</t>
    <phoneticPr fontId="34"/>
  </si>
  <si>
    <t>情報源</t>
    <phoneticPr fontId="33"/>
  </si>
  <si>
    <t>ST01</t>
    <phoneticPr fontId="34"/>
  </si>
  <si>
    <t>ST02</t>
    <phoneticPr fontId="34"/>
  </si>
  <si>
    <t>ST01</t>
    <phoneticPr fontId="34"/>
  </si>
  <si>
    <t>ST02</t>
    <phoneticPr fontId="34"/>
  </si>
  <si>
    <t>ST01</t>
    <phoneticPr fontId="34"/>
  </si>
  <si>
    <t>［MJ］</t>
    <phoneticPr fontId="33"/>
  </si>
  <si>
    <t>［Nm3］</t>
    <phoneticPr fontId="33"/>
  </si>
  <si>
    <t>D01</t>
    <phoneticPr fontId="34"/>
  </si>
  <si>
    <t>D02</t>
    <phoneticPr fontId="34"/>
  </si>
  <si>
    <t>D01</t>
    <phoneticPr fontId="34"/>
  </si>
  <si>
    <t>D02</t>
    <phoneticPr fontId="34"/>
  </si>
  <si>
    <t>D02</t>
    <phoneticPr fontId="34"/>
  </si>
  <si>
    <t>ｋWh</t>
    <phoneticPr fontId="33"/>
  </si>
  <si>
    <t>D02</t>
    <phoneticPr fontId="34"/>
  </si>
  <si>
    <t>D01</t>
    <phoneticPr fontId="34"/>
  </si>
  <si>
    <t>―</t>
    <phoneticPr fontId="33"/>
  </si>
  <si>
    <t>D01</t>
    <phoneticPr fontId="33"/>
  </si>
  <si>
    <t>D02</t>
    <phoneticPr fontId="33"/>
  </si>
  <si>
    <t>D04</t>
    <phoneticPr fontId="33"/>
  </si>
  <si>
    <t>D05</t>
    <phoneticPr fontId="33"/>
  </si>
  <si>
    <t>D01</t>
    <phoneticPr fontId="34"/>
  </si>
  <si>
    <t>D02</t>
    <phoneticPr fontId="34"/>
  </si>
  <si>
    <t>D01</t>
    <phoneticPr fontId="34"/>
  </si>
  <si>
    <t>D02</t>
    <phoneticPr fontId="34"/>
  </si>
  <si>
    <t>D01</t>
    <phoneticPr fontId="34"/>
  </si>
  <si>
    <t>D02</t>
    <phoneticPr fontId="34"/>
  </si>
  <si>
    <t>[m3]</t>
    <phoneticPr fontId="33"/>
  </si>
  <si>
    <t>―</t>
    <phoneticPr fontId="33"/>
  </si>
  <si>
    <t xml:space="preserve">[kgCO2/m3] </t>
    <phoneticPr fontId="33"/>
  </si>
  <si>
    <t>―</t>
    <phoneticPr fontId="33"/>
  </si>
  <si>
    <t>―</t>
    <phoneticPr fontId="33"/>
  </si>
  <si>
    <t>―</t>
    <phoneticPr fontId="33"/>
  </si>
  <si>
    <t>D02</t>
    <phoneticPr fontId="34"/>
  </si>
  <si>
    <t>D01</t>
    <phoneticPr fontId="34"/>
  </si>
  <si>
    <t>D02</t>
    <phoneticPr fontId="34"/>
  </si>
  <si>
    <t>［kg］</t>
    <phoneticPr fontId="33"/>
  </si>
  <si>
    <t>D02</t>
    <phoneticPr fontId="34"/>
  </si>
  <si>
    <t>シート構成</t>
    <rPh sb="3" eb="5">
      <t>コウセイ</t>
    </rPh>
    <phoneticPr fontId="33"/>
  </si>
  <si>
    <t>―</t>
    <phoneticPr fontId="33"/>
  </si>
  <si>
    <t>ライフサイクルフロー図</t>
    <rPh sb="10" eb="11">
      <t>ズ</t>
    </rPh>
    <phoneticPr fontId="33"/>
  </si>
  <si>
    <r>
      <rPr>
        <sz val="11"/>
        <color theme="1"/>
        <rFont val="ＭＳ Ｐゴシック"/>
        <family val="3"/>
        <charset val="128"/>
      </rPr>
      <t>＜再エネ（風力）由来水素／水電解・オンサイト・</t>
    </r>
    <r>
      <rPr>
        <sz val="11"/>
        <color theme="1"/>
        <rFont val="Arial"/>
        <family val="2"/>
      </rPr>
      <t>FCV</t>
    </r>
    <r>
      <rPr>
        <sz val="11"/>
        <color theme="1"/>
        <rFont val="ＭＳ Ｐゴシック"/>
        <family val="3"/>
        <charset val="128"/>
      </rPr>
      <t>の水素サプライチェーンの例＞</t>
    </r>
    <phoneticPr fontId="33"/>
  </si>
  <si>
    <t>＜苛性ソーダ由来水素／液化輸送・定置用燃料電池の水素サプライチェーンの例＞</t>
    <phoneticPr fontId="33"/>
  </si>
  <si>
    <r>
      <rPr>
        <sz val="11"/>
        <color theme="1"/>
        <rFont val="ＭＳ Ｐゴシック"/>
        <family val="3"/>
        <charset val="128"/>
      </rPr>
      <t>＜バイオ由来水素／改質・オンサイト・</t>
    </r>
    <r>
      <rPr>
        <sz val="11"/>
        <color theme="1"/>
        <rFont val="Arial"/>
        <family val="2"/>
      </rPr>
      <t>FC</t>
    </r>
    <r>
      <rPr>
        <sz val="11"/>
        <color theme="1"/>
        <rFont val="ＭＳ Ｐゴシック"/>
        <family val="3"/>
        <charset val="128"/>
      </rPr>
      <t>フォークリフトの水素サプライチェーンの例＞</t>
    </r>
    <phoneticPr fontId="33"/>
  </si>
  <si>
    <t>貯蔵・輸送量</t>
    <rPh sb="0" eb="2">
      <t>チョゾウ</t>
    </rPh>
    <rPh sb="3" eb="5">
      <t>ユソウ</t>
    </rPh>
    <rPh sb="5" eb="6">
      <t>リョウ</t>
    </rPh>
    <phoneticPr fontId="33"/>
  </si>
  <si>
    <t>サプライチェーン寄与率のための配分</t>
    <rPh sb="8" eb="11">
      <t>キヨリツ</t>
    </rPh>
    <rPh sb="15" eb="17">
      <t>ハイブン</t>
    </rPh>
    <phoneticPr fontId="33"/>
  </si>
  <si>
    <t>未利用水素の場合</t>
    <rPh sb="0" eb="3">
      <t>ミリヨウ</t>
    </rPh>
    <rPh sb="3" eb="5">
      <t>スイソ</t>
    </rPh>
    <rPh sb="6" eb="8">
      <t>バアイ</t>
    </rPh>
    <phoneticPr fontId="51"/>
  </si>
  <si>
    <t>未利用水素であったというエビデンスがあるか？</t>
    <rPh sb="0" eb="3">
      <t>ミリヨウ</t>
    </rPh>
    <rPh sb="3" eb="5">
      <t>スイソ</t>
    </rPh>
    <phoneticPr fontId="51"/>
  </si>
  <si>
    <t>カットオフ検討項目</t>
    <rPh sb="5" eb="7">
      <t>ケントウ</t>
    </rPh>
    <rPh sb="7" eb="9">
      <t>コウモク</t>
    </rPh>
    <phoneticPr fontId="33"/>
  </si>
  <si>
    <t>Yes</t>
    <phoneticPr fontId="33"/>
  </si>
  <si>
    <t>カットオフ検討項目</t>
    <rPh sb="5" eb="7">
      <t>ケントウ</t>
    </rPh>
    <rPh sb="7" eb="9">
      <t>コウモク</t>
    </rPh>
    <phoneticPr fontId="33"/>
  </si>
  <si>
    <t>P01</t>
    <phoneticPr fontId="34"/>
  </si>
  <si>
    <t>P02</t>
    <phoneticPr fontId="33"/>
  </si>
  <si>
    <t>P03</t>
    <phoneticPr fontId="33"/>
  </si>
  <si>
    <t>P05</t>
    <phoneticPr fontId="33"/>
  </si>
  <si>
    <t>二酸化炭素 (CO2)</t>
  </si>
  <si>
    <t>カットオフ候補項目</t>
    <rPh sb="5" eb="7">
      <t>コウホ</t>
    </rPh>
    <rPh sb="7" eb="9">
      <t>コウモク</t>
    </rPh>
    <phoneticPr fontId="33"/>
  </si>
  <si>
    <t>カットオフ候補項目</t>
    <rPh sb="5" eb="7">
      <t>コウホ</t>
    </rPh>
    <rPh sb="7" eb="9">
      <t>コウモク</t>
    </rPh>
    <phoneticPr fontId="51"/>
  </si>
  <si>
    <t>項目名</t>
    <rPh sb="0" eb="2">
      <t>コウモク</t>
    </rPh>
    <rPh sb="2" eb="3">
      <t>メイ</t>
    </rPh>
    <phoneticPr fontId="33"/>
  </si>
  <si>
    <t>原単位(kg-CO2)</t>
    <rPh sb="0" eb="3">
      <t>ゲンタンイ</t>
    </rPh>
    <phoneticPr fontId="33"/>
  </si>
  <si>
    <t>(/単位)</t>
    <rPh sb="2" eb="4">
      <t>タンイ</t>
    </rPh>
    <phoneticPr fontId="33"/>
  </si>
  <si>
    <t>その他</t>
    <rPh sb="2" eb="3">
      <t>タ</t>
    </rPh>
    <phoneticPr fontId="33"/>
  </si>
  <si>
    <t>貯蔵・輸送段階</t>
    <rPh sb="5" eb="7">
      <t>ダンカイ</t>
    </rPh>
    <phoneticPr fontId="33"/>
  </si>
  <si>
    <t>供給段階</t>
    <rPh sb="2" eb="4">
      <t>ダンカイ</t>
    </rPh>
    <phoneticPr fontId="33"/>
  </si>
  <si>
    <r>
      <t>Yes</t>
    </r>
    <r>
      <rPr>
        <sz val="11"/>
        <color theme="1"/>
        <rFont val="ＭＳ Ｐゴシック"/>
        <family val="3"/>
        <charset val="128"/>
      </rPr>
      <t>のカウント</t>
    </r>
    <phoneticPr fontId="33"/>
  </si>
  <si>
    <t>材料名</t>
    <rPh sb="0" eb="3">
      <t>ザイリョウメイ</t>
    </rPh>
    <phoneticPr fontId="33"/>
  </si>
  <si>
    <t>寄与率</t>
    <rPh sb="0" eb="3">
      <t>キヨリツ</t>
    </rPh>
    <phoneticPr fontId="33"/>
  </si>
  <si>
    <t>カットオフ候補</t>
    <rPh sb="5" eb="7">
      <t>コウホ</t>
    </rPh>
    <phoneticPr fontId="33"/>
  </si>
  <si>
    <t>合計</t>
    <rPh sb="0" eb="2">
      <t>ゴウケイ</t>
    </rPh>
    <phoneticPr fontId="33"/>
  </si>
  <si>
    <t>寄与率</t>
    <rPh sb="0" eb="3">
      <t>キヨリツ</t>
    </rPh>
    <phoneticPr fontId="51"/>
  </si>
  <si>
    <t>配分方法</t>
    <rPh sb="0" eb="2">
      <t>ハイブン</t>
    </rPh>
    <rPh sb="2" eb="4">
      <t>ホウホウ</t>
    </rPh>
    <phoneticPr fontId="33"/>
  </si>
  <si>
    <t>自社購入電力</t>
    <rPh sb="0" eb="2">
      <t>ジシャ</t>
    </rPh>
    <rPh sb="2" eb="4">
      <t>コウニュウ</t>
    </rPh>
    <rPh sb="4" eb="6">
      <t>デンリョク</t>
    </rPh>
    <phoneticPr fontId="33"/>
  </si>
  <si>
    <t>プレクーラー</t>
  </si>
  <si>
    <t>ディスペンサ</t>
  </si>
  <si>
    <t>水電解</t>
    <rPh sb="0" eb="1">
      <t>ミズ</t>
    </rPh>
    <rPh sb="1" eb="3">
      <t>デンカイ</t>
    </rPh>
    <phoneticPr fontId="33"/>
  </si>
  <si>
    <t>水道水</t>
  </si>
  <si>
    <t>圧縮</t>
    <rPh sb="0" eb="2">
      <t>アッシュク</t>
    </rPh>
    <phoneticPr fontId="33"/>
  </si>
  <si>
    <t>ディスペンサ</t>
    <phoneticPr fontId="33"/>
  </si>
  <si>
    <t>保安設備</t>
    <rPh sb="0" eb="2">
      <t>ホアン</t>
    </rPh>
    <rPh sb="2" eb="4">
      <t>セツビ</t>
    </rPh>
    <phoneticPr fontId="33"/>
  </si>
  <si>
    <t>その他原単位</t>
    <rPh sb="2" eb="3">
      <t>タ</t>
    </rPh>
    <rPh sb="3" eb="6">
      <t>ゲンタンイ</t>
    </rPh>
    <phoneticPr fontId="33"/>
  </si>
  <si>
    <t>データベースID</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</si>
</sst>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0;[Red]\-#,##0.0"/>
    <numFmt numFmtId="178" formatCode="#,##0.0000"/>
    <numFmt numFmtId="179" formatCode="0.00_ "/>
    <numFmt numFmtId="180" formatCode="0.0000"/>
    <numFmt numFmtId="181" formatCode="0.0"/>
    <numFmt numFmtId="182" formatCode="0.000"/>
    <numFmt numFmtId="183" formatCode="#,##0.000;[Red]\-#,##0.000"/>
    <numFmt numFmtId="184" formatCode="0_);[Red]\(0\)"/>
    <numFmt numFmtId="185" formatCode="0.00_);[Red]\(0.00\)"/>
    <numFmt numFmtId="186" formatCode="#,##0.0000;[Red]\-#,##0.0000"/>
    <numFmt numFmtId="187" formatCode="#,##0.000000;[Red]\-#,##0.000000"/>
    <numFmt numFmtId="188" formatCode="0_ ;[Red]\-0\ "/>
    <numFmt numFmtId="189" formatCode="#,##0.000000_ ;[Red]\-#,##0.000000\ "/>
    <numFmt numFmtId="190" formatCode="0.000E+00"/>
    <numFmt numFmtId="191" formatCode="0.00.E+00"/>
    <numFmt numFmtId="192" formatCode="0.0%"/>
  </numFmts>
  <fonts count="143">
    <font>
      <sz val="11"/>
      <color theme="1"/>
      <name val="Arial"/>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Arial"/>
      <family val="2"/>
      <charset val="128"/>
    </font>
    <font>
      <sz val="6"/>
      <name val="ＭＳ Ｐゴシック"/>
      <family val="3"/>
      <charset val="128"/>
    </font>
    <font>
      <sz val="11"/>
      <name val="Arial"/>
      <family val="2"/>
    </font>
    <font>
      <b/>
      <sz val="11"/>
      <name val="Arial"/>
      <family val="2"/>
    </font>
    <font>
      <sz val="11"/>
      <color theme="1"/>
      <name val="Arial"/>
      <family val="2"/>
      <charset val="128"/>
    </font>
    <font>
      <sz val="11"/>
      <color theme="1"/>
      <name val="Arial"/>
      <family val="2"/>
    </font>
    <font>
      <b/>
      <sz val="12"/>
      <name val="ＭＳ Ｐゴシック"/>
      <family val="3"/>
      <charset val="128"/>
    </font>
    <font>
      <u/>
      <sz val="11"/>
      <color indexed="12"/>
      <name val="ＭＳ Ｐゴシック"/>
      <family val="3"/>
      <charset val="128"/>
    </font>
    <font>
      <sz val="11"/>
      <color theme="0"/>
      <name val="Arial"/>
      <family val="2"/>
    </font>
    <font>
      <sz val="11"/>
      <color theme="0"/>
      <name val="ＭＳ Ｐゴシック"/>
      <family val="3"/>
      <charset val="128"/>
    </font>
    <font>
      <b/>
      <sz val="14"/>
      <color theme="0"/>
      <name val="ＭＳ Ｐゴシック"/>
      <family val="3"/>
      <charset val="128"/>
    </font>
    <font>
      <sz val="11"/>
      <color theme="1"/>
      <name val="ＭＳ Ｐゴシック"/>
      <family val="3"/>
      <charset val="128"/>
    </font>
    <font>
      <sz val="11"/>
      <color theme="0"/>
      <name val="ＭＳ Ｐゴシック"/>
      <family val="3"/>
      <charset val="128"/>
      <scheme val="minor"/>
    </font>
    <font>
      <sz val="11"/>
      <name val="ＭＳ Ｐゴシック"/>
      <family val="3"/>
      <charset val="128"/>
      <scheme val="minor"/>
    </font>
    <font>
      <sz val="6"/>
      <name val="ＭＳ Ｐゴシック"/>
      <family val="3"/>
      <charset val="128"/>
      <scheme val="minor"/>
    </font>
    <font>
      <sz val="11"/>
      <color theme="0"/>
      <name val="Arial"/>
      <family val="2"/>
      <charset val="128"/>
    </font>
    <font>
      <sz val="11"/>
      <name val="ＭＳ Ｐゴシック"/>
      <family val="3"/>
      <charset val="128"/>
    </font>
    <font>
      <b/>
      <sz val="11"/>
      <color theme="1"/>
      <name val="ＭＳ Ｐゴシック"/>
      <family val="3"/>
      <charset val="128"/>
    </font>
    <font>
      <sz val="6"/>
      <name val="ＭＳ Ｐゴシック"/>
      <family val="2"/>
      <charset val="128"/>
      <scheme val="minor"/>
    </font>
    <font>
      <u/>
      <sz val="11"/>
      <color theme="10"/>
      <name val="ＭＳ Ｐゴシック"/>
      <family val="2"/>
      <charset val="128"/>
      <scheme val="minor"/>
    </font>
    <font>
      <sz val="11"/>
      <color indexed="10"/>
      <name val="ＭＳ Ｐゴシック"/>
      <family val="3"/>
      <charset val="128"/>
    </font>
    <font>
      <sz val="11"/>
      <color theme="1"/>
      <name val="ＭＳ Ｐゴシック"/>
      <family val="3"/>
      <charset val="128"/>
      <scheme val="minor"/>
    </font>
    <font>
      <u/>
      <sz val="11"/>
      <color indexed="4"/>
      <name val="ＭＳ Ｐゴシック"/>
      <family val="3"/>
      <charset val="128"/>
    </font>
    <font>
      <u/>
      <sz val="10"/>
      <color theme="10"/>
      <name val="ＭＳ Ｐゴシック"/>
      <family val="3"/>
      <charset val="128"/>
    </font>
    <font>
      <u/>
      <sz val="12"/>
      <color theme="10"/>
      <name val="ＭＳ Ｐゴシック"/>
      <family val="3"/>
      <charset val="128"/>
    </font>
    <font>
      <sz val="11"/>
      <color indexed="8"/>
      <name val="ＭＳ Ｐゴシック"/>
      <family val="3"/>
      <charset val="128"/>
    </font>
    <font>
      <sz val="12"/>
      <name val="ＭＳ Ｐゴシック"/>
      <family val="3"/>
      <charset val="128"/>
    </font>
    <font>
      <sz val="10"/>
      <name val="ＭＳ Ｐゴシック"/>
      <family val="3"/>
      <charset val="128"/>
    </font>
    <font>
      <sz val="10"/>
      <name val="Arial"/>
      <family val="2"/>
    </font>
    <font>
      <sz val="11"/>
      <color theme="1"/>
      <name val="ＭＳ Ｐゴシック"/>
      <family val="2"/>
      <scheme val="minor"/>
    </font>
    <font>
      <sz val="14"/>
      <name val="ＭＳ 明朝"/>
      <family val="1"/>
      <charset val="128"/>
    </font>
    <font>
      <sz val="11"/>
      <color theme="6"/>
      <name val="Arial"/>
      <family val="2"/>
      <charset val="128"/>
    </font>
    <font>
      <u/>
      <sz val="11"/>
      <color theme="11"/>
      <name val="Arial"/>
      <family val="2"/>
      <charset val="128"/>
    </font>
    <font>
      <sz val="11"/>
      <color theme="6"/>
      <name val="ＭＳ Ｐゴシック"/>
      <family val="3"/>
      <charset val="128"/>
      <scheme val="minor"/>
    </font>
    <font>
      <b/>
      <sz val="11"/>
      <color theme="1"/>
      <name val="ＭＳ Ｐゴシック"/>
      <family val="3"/>
      <charset val="128"/>
      <scheme val="minor"/>
    </font>
    <font>
      <sz val="11"/>
      <color rgb="FF00A1DE"/>
      <name val="ＭＳ Ｐゴシック"/>
      <family val="3"/>
      <charset val="128"/>
      <scheme val="minor"/>
    </font>
    <font>
      <sz val="11"/>
      <color theme="5"/>
      <name val="Arial"/>
      <family val="2"/>
      <charset val="128"/>
    </font>
    <font>
      <sz val="9"/>
      <name val="Times New Roman"/>
      <family val="1"/>
    </font>
    <font>
      <b/>
      <sz val="9"/>
      <name val="Times New Roman"/>
      <family val="1"/>
    </font>
    <font>
      <sz val="9"/>
      <color indexed="8"/>
      <name val="Times New Roman"/>
      <family val="1"/>
    </font>
    <font>
      <sz val="12"/>
      <color indexed="8"/>
      <name val="Times New Roman"/>
      <family val="1"/>
    </font>
    <font>
      <b/>
      <sz val="12"/>
      <name val="Times New Roman"/>
      <family val="1"/>
    </font>
    <font>
      <b/>
      <sz val="12"/>
      <color indexed="8"/>
      <name val="Times New Roman"/>
      <family val="1"/>
    </font>
    <font>
      <sz val="8"/>
      <name val="Helvetica"/>
      <family val="2"/>
    </font>
    <font>
      <u/>
      <sz val="10"/>
      <color indexed="12"/>
      <name val="Times New Roman"/>
      <family val="1"/>
    </font>
    <font>
      <sz val="11"/>
      <color rgb="FFFFFFFF"/>
      <name val="ＭＳ Ｐゴシック"/>
      <family val="3"/>
      <charset val="128"/>
    </font>
    <font>
      <sz val="11"/>
      <color theme="0"/>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rgb="FF81BC00"/>
      <name val="ＭＳ Ｐゴシック"/>
      <family val="2"/>
      <charset val="128"/>
      <scheme val="minor"/>
    </font>
    <font>
      <sz val="8"/>
      <color theme="0"/>
      <name val="ＭＳ Ｐゴシック"/>
      <family val="3"/>
      <charset val="128"/>
      <scheme val="minor"/>
    </font>
    <font>
      <sz val="11"/>
      <color rgb="FF8C8C8C"/>
      <name val="ＭＳ Ｐゴシック"/>
      <family val="2"/>
      <charset val="128"/>
      <scheme val="minor"/>
    </font>
    <font>
      <sz val="11"/>
      <color rgb="FF8C8C8C"/>
      <name val="ＭＳ Ｐゴシック"/>
      <family val="3"/>
      <charset val="128"/>
      <scheme val="minor"/>
    </font>
    <font>
      <sz val="11"/>
      <color theme="6"/>
      <name val="ＭＳ Ｐゴシック"/>
      <family val="3"/>
      <charset val="128"/>
    </font>
    <font>
      <sz val="11"/>
      <color theme="6"/>
      <name val="ＭＳ Ｐゴシック"/>
      <family val="3"/>
      <charset val="128"/>
      <scheme val="minor"/>
    </font>
    <font>
      <sz val="11"/>
      <color theme="4" tint="0.39997558519241921"/>
      <name val="ＭＳ Ｐゴシック"/>
      <family val="3"/>
      <charset val="128"/>
      <scheme val="minor"/>
    </font>
    <font>
      <sz val="11"/>
      <color theme="6"/>
      <name val="Arial"/>
      <family val="2"/>
    </font>
    <font>
      <u/>
      <sz val="11"/>
      <color theme="6"/>
      <name val="ＭＳ Ｐゴシック"/>
      <family val="3"/>
      <charset val="128"/>
      <scheme val="minor"/>
    </font>
    <font>
      <sz val="10"/>
      <color theme="1"/>
      <name val="ＭＳ Ｐゴシック"/>
      <family val="3"/>
      <charset val="128"/>
      <scheme val="minor"/>
    </font>
    <font>
      <b/>
      <sz val="10"/>
      <color theme="0"/>
      <name val="ＭＳ Ｐゴシック"/>
      <family val="3"/>
      <charset val="128"/>
      <scheme val="minor"/>
    </font>
    <font>
      <sz val="11"/>
      <color theme="5"/>
      <name val="ＭＳ Ｐゴシック"/>
      <family val="2"/>
      <charset val="128"/>
      <scheme val="minor"/>
    </font>
    <font>
      <sz val="11"/>
      <name val="Arial"/>
      <family val="2"/>
      <charset val="128"/>
    </font>
    <font>
      <sz val="11"/>
      <color theme="4" tint="0.39997558519241921"/>
      <name val="ＭＳ Ｐゴシック"/>
      <family val="2"/>
      <charset val="128"/>
      <scheme val="minor"/>
    </font>
    <font>
      <b/>
      <sz val="11"/>
      <color theme="0"/>
      <name val="ＭＳ Ｐゴシック"/>
      <family val="3"/>
      <charset val="128"/>
    </font>
    <font>
      <b/>
      <sz val="11"/>
      <color theme="0"/>
      <name val="Arial"/>
      <family val="2"/>
    </font>
    <font>
      <vertAlign val="superscript"/>
      <sz val="11"/>
      <color theme="1"/>
      <name val="ＭＳ Ｐゴシック"/>
      <family val="3"/>
      <charset val="128"/>
    </font>
    <font>
      <sz val="11"/>
      <color theme="0"/>
      <name val="Arial Unicode MS"/>
      <family val="3"/>
      <charset val="128"/>
    </font>
    <font>
      <sz val="11"/>
      <color rgb="FFFF0000"/>
      <name val="ＭＳ Ｐゴシック"/>
      <family val="2"/>
      <charset val="128"/>
      <scheme val="minor"/>
    </font>
    <font>
      <sz val="11"/>
      <color rgb="FFFF0000"/>
      <name val="ＭＳ Ｐゴシック"/>
      <family val="3"/>
      <charset val="128"/>
      <scheme val="minor"/>
    </font>
    <font>
      <sz val="10"/>
      <color indexed="8"/>
      <name val="ＭＳ Ｐゴシック"/>
      <family val="3"/>
      <charset val="128"/>
    </font>
    <font>
      <sz val="11"/>
      <color rgb="FF0000FF"/>
      <name val="ＭＳ Ｐゴシック"/>
      <family val="2"/>
      <scheme val="minor"/>
    </font>
    <font>
      <sz val="11"/>
      <name val="ＭＳ Ｐゴシック"/>
      <family val="2"/>
      <scheme val="minor"/>
    </font>
    <font>
      <sz val="11"/>
      <color indexed="9"/>
      <name val="ＭＳ Ｐゴシック"/>
      <family val="2"/>
      <scheme val="minor"/>
    </font>
    <font>
      <sz val="11"/>
      <color theme="0"/>
      <name val="ＭＳ Ｐゴシック"/>
      <family val="2"/>
      <scheme val="minor"/>
    </font>
    <font>
      <vertAlign val="subscript"/>
      <sz val="11"/>
      <name val="ＭＳ Ｐゴシック"/>
      <family val="2"/>
      <scheme val="minor"/>
    </font>
    <font>
      <sz val="10"/>
      <color indexed="8"/>
      <name val="Arial"/>
      <family val="2"/>
    </font>
    <font>
      <sz val="6"/>
      <name val="Century"/>
      <family val="2"/>
      <charset val="128"/>
    </font>
    <font>
      <sz val="11"/>
      <name val="ＭＳ Ｐゴシック"/>
      <family val="2"/>
      <charset val="128"/>
      <scheme val="minor"/>
    </font>
    <font>
      <b/>
      <sz val="11"/>
      <name val="ＭＳ Ｐゴシック"/>
      <family val="3"/>
      <charset val="128"/>
      <scheme val="minor"/>
    </font>
    <font>
      <sz val="12"/>
      <color theme="1"/>
      <name val="Arial"/>
      <family val="2"/>
    </font>
    <font>
      <sz val="11"/>
      <color theme="1"/>
      <name val="Times New Roman"/>
      <family val="1"/>
    </font>
    <font>
      <sz val="12"/>
      <color theme="1"/>
      <name val="Arial"/>
      <family val="2"/>
      <charset val="128"/>
    </font>
    <font>
      <sz val="12"/>
      <color theme="1"/>
      <name val="ＭＳ Ｐゴシック"/>
      <family val="3"/>
      <charset val="128"/>
    </font>
    <font>
      <sz val="11"/>
      <color theme="6" tint="0.39997558519241921"/>
      <name val="Arial"/>
      <family val="2"/>
    </font>
    <font>
      <sz val="11"/>
      <name val="¥"/>
      <family val="3"/>
      <charset val="128"/>
    </font>
    <font>
      <sz val="9"/>
      <color theme="1"/>
      <name val="ＭＳ Ｐゴシック"/>
      <family val="2"/>
      <charset val="128"/>
      <scheme val="minor"/>
    </font>
    <font>
      <sz val="11"/>
      <color theme="6" tint="0.39997558519241921"/>
      <name val="ＭＳ Ｐゴシック"/>
      <family val="3"/>
      <charset val="128"/>
    </font>
    <font>
      <sz val="11"/>
      <color theme="8" tint="-0.249977111117893"/>
      <name val="Arial"/>
      <family val="2"/>
      <charset val="128"/>
    </font>
    <font>
      <sz val="11"/>
      <color rgb="FF00A1DE"/>
      <name val="ＭＳ Ｐゴシック"/>
      <family val="2"/>
      <charset val="128"/>
      <scheme val="minor"/>
    </font>
    <font>
      <sz val="11"/>
      <color rgb="FF81BC00"/>
      <name val="ＭＳ Ｐゴシック"/>
      <family val="3"/>
      <charset val="128"/>
      <scheme val="minor"/>
    </font>
    <font>
      <sz val="11"/>
      <color rgb="FF81BC00"/>
      <name val="Arial"/>
      <family val="2"/>
    </font>
    <font>
      <sz val="11"/>
      <color rgb="FF00B0F0"/>
      <name val="ＭＳ Ｐゴシック"/>
      <family val="3"/>
      <charset val="128"/>
      <scheme val="minor"/>
    </font>
    <font>
      <sz val="11"/>
      <color theme="4" tint="0.39997558519241921"/>
      <name val="Arial"/>
      <family val="2"/>
      <charset val="128"/>
    </font>
    <font>
      <b/>
      <sz val="11"/>
      <color theme="0"/>
      <name val="ＭＳ Ｐゴシック"/>
      <family val="3"/>
      <charset val="128"/>
      <scheme val="minor"/>
    </font>
    <font>
      <sz val="11"/>
      <color rgb="FF9273CF"/>
      <name val="Arial"/>
      <family val="2"/>
    </font>
    <font>
      <b/>
      <sz val="11"/>
      <color theme="1"/>
      <name val="Arial"/>
      <family val="2"/>
    </font>
    <font>
      <b/>
      <sz val="11"/>
      <color rgb="FF7030A0"/>
      <name val="ＭＳ Ｐゴシック"/>
      <family val="3"/>
      <charset val="128"/>
    </font>
    <font>
      <sz val="11"/>
      <color rgb="FF7030A0"/>
      <name val="Arial"/>
      <family val="2"/>
    </font>
    <font>
      <sz val="11"/>
      <color rgb="FF7030A0"/>
      <name val="Arial"/>
      <family val="2"/>
      <charset val="128"/>
    </font>
    <font>
      <sz val="11"/>
      <color rgb="FF7030A0"/>
      <name val="ＭＳ Ｐゴシック"/>
      <family val="3"/>
      <charset val="128"/>
    </font>
    <font>
      <sz val="11"/>
      <color rgb="FF7030A0"/>
      <name val="ＭＳ Ｐゴシック"/>
      <family val="3"/>
      <charset val="128"/>
      <scheme val="minor"/>
    </font>
    <font>
      <b/>
      <sz val="11"/>
      <name val="ＭＳ Ｐゴシック"/>
      <family val="2"/>
      <charset val="128"/>
      <scheme val="minor"/>
    </font>
    <font>
      <sz val="10"/>
      <color theme="1"/>
      <name val="ＭＳ Ｐゴシック"/>
      <family val="3"/>
      <charset val="128"/>
    </font>
    <font>
      <sz val="10"/>
      <color theme="1"/>
      <name val="Arial"/>
      <family val="2"/>
    </font>
    <font>
      <sz val="10"/>
      <color theme="0"/>
      <name val="ＭＳ Ｐゴシック"/>
      <family val="3"/>
      <charset val="128"/>
      <scheme val="minor"/>
    </font>
    <font>
      <sz val="10"/>
      <color theme="0"/>
      <name val="ＭＳ Ｐゴシック"/>
      <family val="3"/>
      <charset val="128"/>
    </font>
    <font>
      <sz val="10"/>
      <color theme="1"/>
      <name val="ＭＳ Ｐゴシック"/>
      <family val="2"/>
      <charset val="128"/>
      <scheme val="minor"/>
    </font>
    <font>
      <b/>
      <sz val="11"/>
      <color theme="4" tint="0.39997558519241921"/>
      <name val="ＭＳ Ｐゴシック"/>
      <family val="3"/>
      <charset val="128"/>
      <scheme val="minor"/>
    </font>
    <font>
      <sz val="9"/>
      <color theme="0"/>
      <name val="ＭＳ Ｐゴシック"/>
      <family val="3"/>
      <charset val="128"/>
    </font>
    <font>
      <sz val="9"/>
      <color theme="0"/>
      <name val="Arial"/>
      <family val="2"/>
    </font>
  </fonts>
  <fills count="48">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1"/>
        <bgColor indexed="64"/>
      </patternFill>
    </fill>
    <fill>
      <patternFill patternType="solid">
        <fgColor theme="0"/>
        <bgColor indexed="64"/>
      </patternFill>
    </fill>
    <fill>
      <patternFill patternType="solid">
        <fgColor theme="8"/>
        <bgColor indexed="64"/>
      </patternFill>
    </fill>
    <fill>
      <patternFill patternType="solid">
        <fgColor theme="3"/>
        <bgColor indexed="64"/>
      </patternFill>
    </fill>
    <fill>
      <patternFill patternType="solid">
        <fgColor theme="9"/>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575757"/>
        <bgColor indexed="64"/>
      </patternFill>
    </fill>
    <fill>
      <patternFill patternType="solid">
        <fgColor rgb="FF8C8C8C"/>
        <bgColor indexed="64"/>
      </patternFill>
    </fill>
    <fill>
      <patternFill patternType="solid">
        <fgColor rgb="FFB4B4B4"/>
        <bgColor indexed="64"/>
      </patternFill>
    </fill>
    <fill>
      <patternFill patternType="solid">
        <fgColor rgb="FFDCDCDC"/>
        <bgColor indexed="64"/>
      </patternFill>
    </fill>
    <fill>
      <patternFill patternType="solid">
        <fgColor rgb="FFFFC000"/>
        <bgColor indexed="64"/>
      </patternFill>
    </fill>
    <fill>
      <patternFill patternType="solid">
        <fgColor theme="2"/>
        <bgColor indexed="64"/>
      </patternFill>
    </fill>
    <fill>
      <patternFill patternType="solid">
        <fgColor rgb="FF00A1DE"/>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darkTrellis"/>
    </fill>
    <fill>
      <patternFill patternType="solid">
        <fgColor rgb="FF81BC00"/>
        <bgColor indexed="64"/>
      </patternFill>
    </fill>
    <fill>
      <patternFill patternType="solid">
        <fgColor rgb="FF8C8C8C"/>
        <bgColor rgb="FF000000"/>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12"/>
        <bgColor indexed="64"/>
      </patternFill>
    </fill>
    <fill>
      <patternFill patternType="solid">
        <fgColor rgb="FFFF0000"/>
        <bgColor indexed="64"/>
      </patternFill>
    </fill>
    <fill>
      <patternFill patternType="solid">
        <fgColor indexed="9"/>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7" tint="0.79998168889431442"/>
        <bgColor indexed="65"/>
      </patternFill>
    </fill>
    <fill>
      <patternFill patternType="solid">
        <fgColor rgb="FFFFCCCC"/>
        <bgColor indexed="64"/>
      </patternFill>
    </fill>
    <fill>
      <patternFill patternType="solid">
        <fgColor theme="1" tint="0.499984740745262"/>
        <bgColor indexed="64"/>
      </patternFill>
    </fill>
  </fills>
  <borders count="20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indexed="8"/>
      </top>
      <bottom style="hair">
        <color auto="1"/>
      </bottom>
      <diagonal/>
    </border>
    <border>
      <left/>
      <right style="thin">
        <color indexed="8"/>
      </right>
      <top style="thin">
        <color indexed="8"/>
      </top>
      <bottom style="hair">
        <color auto="1"/>
      </bottom>
      <diagonal/>
    </border>
    <border>
      <left style="thin">
        <color indexed="8"/>
      </left>
      <right/>
      <top style="thin">
        <color indexed="8"/>
      </top>
      <bottom style="hair">
        <color auto="1"/>
      </bottom>
      <diagonal/>
    </border>
    <border>
      <left/>
      <right/>
      <top style="thin">
        <color indexed="8"/>
      </top>
      <bottom style="hair">
        <color auto="1"/>
      </bottom>
      <diagonal/>
    </border>
    <border>
      <left style="thin">
        <color auto="1"/>
      </left>
      <right/>
      <top/>
      <bottom/>
      <diagonal/>
    </border>
    <border>
      <left style="thin">
        <color auto="1"/>
      </left>
      <right/>
      <top style="hair">
        <color auto="1"/>
      </top>
      <bottom style="hair">
        <color auto="1"/>
      </bottom>
      <diagonal/>
    </border>
    <border>
      <left/>
      <right style="thin">
        <color indexed="8"/>
      </right>
      <top style="hair">
        <color auto="1"/>
      </top>
      <bottom style="hair">
        <color auto="1"/>
      </bottom>
      <diagonal/>
    </border>
    <border>
      <left style="thin">
        <color indexed="8"/>
      </left>
      <right/>
      <top style="hair">
        <color auto="1"/>
      </top>
      <bottom style="hair">
        <color auto="1"/>
      </bottom>
      <diagonal/>
    </border>
    <border>
      <left/>
      <right/>
      <top style="hair">
        <color auto="1"/>
      </top>
      <bottom style="hair">
        <color auto="1"/>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style="thin">
        <color auto="1"/>
      </bottom>
      <diagonal/>
    </border>
    <border>
      <left/>
      <right style="thin">
        <color indexed="8"/>
      </right>
      <top style="hair">
        <color auto="1"/>
      </top>
      <bottom style="thin">
        <color auto="1"/>
      </bottom>
      <diagonal/>
    </border>
    <border>
      <left style="thin">
        <color indexed="8"/>
      </left>
      <right/>
      <top style="hair">
        <color auto="1"/>
      </top>
      <bottom style="thin">
        <color auto="1"/>
      </bottom>
      <diagonal/>
    </border>
    <border>
      <left/>
      <right/>
      <top style="hair">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diagonalUp="1">
      <left style="thin">
        <color auto="1"/>
      </left>
      <right/>
      <top style="thin">
        <color auto="1"/>
      </top>
      <bottom style="thin">
        <color auto="1"/>
      </bottom>
      <diagonal style="thin">
        <color auto="1"/>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theme="5"/>
      </left>
      <right/>
      <top style="thick">
        <color theme="5"/>
      </top>
      <bottom style="thick">
        <color theme="5"/>
      </bottom>
      <diagonal/>
    </border>
    <border>
      <left/>
      <right/>
      <top style="thick">
        <color theme="5"/>
      </top>
      <bottom style="thick">
        <color theme="5"/>
      </bottom>
      <diagonal/>
    </border>
    <border>
      <left/>
      <right style="thick">
        <color theme="5"/>
      </right>
      <top style="thick">
        <color theme="5"/>
      </top>
      <bottom style="thick">
        <color theme="5"/>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auto="1"/>
      </bottom>
      <diagonal/>
    </border>
    <border>
      <left style="medium">
        <color theme="6"/>
      </left>
      <right/>
      <top style="medium">
        <color theme="6"/>
      </top>
      <bottom style="medium">
        <color theme="6"/>
      </bottom>
      <diagonal/>
    </border>
    <border>
      <left/>
      <right style="medium">
        <color theme="6"/>
      </right>
      <top style="medium">
        <color theme="6"/>
      </top>
      <bottom style="medium">
        <color theme="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theme="6"/>
      </right>
      <top/>
      <bottom style="medium">
        <color theme="6"/>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theme="1"/>
      </right>
      <top style="thin">
        <color theme="1"/>
      </top>
      <bottom style="thin">
        <color theme="1"/>
      </bottom>
      <diagonal/>
    </border>
    <border>
      <left style="medium">
        <color rgb="FF00A1DE"/>
      </left>
      <right style="medium">
        <color rgb="FF00A1DE"/>
      </right>
      <top style="medium">
        <color rgb="FF00A1DE"/>
      </top>
      <bottom style="medium">
        <color rgb="FF00A1DE"/>
      </bottom>
      <diagonal/>
    </border>
    <border>
      <left style="medium">
        <color rgb="FF00A1DE"/>
      </left>
      <right/>
      <top style="medium">
        <color rgb="FF00A1DE"/>
      </top>
      <bottom style="medium">
        <color rgb="FF00A1DE"/>
      </bottom>
      <diagonal/>
    </border>
    <border>
      <left/>
      <right style="medium">
        <color rgb="FF00A1DE"/>
      </right>
      <top style="medium">
        <color rgb="FF00A1DE"/>
      </top>
      <bottom style="medium">
        <color rgb="FF00A1DE"/>
      </bottom>
      <diagonal/>
    </border>
    <border>
      <left style="thin">
        <color indexed="64"/>
      </left>
      <right style="thin">
        <color indexed="64"/>
      </right>
      <top style="thin">
        <color indexed="64"/>
      </top>
      <bottom/>
      <diagonal/>
    </border>
    <border>
      <left/>
      <right/>
      <top style="medium">
        <color theme="6"/>
      </top>
      <bottom style="medium">
        <color theme="6"/>
      </bottom>
      <diagonal/>
    </border>
    <border>
      <left style="thin">
        <color indexed="64"/>
      </left>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auto="1"/>
      </right>
      <top style="thin">
        <color auto="1"/>
      </top>
      <bottom/>
      <diagonal/>
    </border>
    <border>
      <left style="medium">
        <color rgb="FF00A1DE"/>
      </left>
      <right style="medium">
        <color rgb="FF00A1DE"/>
      </right>
      <top style="medium">
        <color rgb="FF00A1DE"/>
      </top>
      <bottom style="medium">
        <color theme="6"/>
      </bottom>
      <diagonal/>
    </border>
    <border>
      <left style="medium">
        <color rgb="FF00A1DE"/>
      </left>
      <right style="medium">
        <color rgb="FF00A1DE"/>
      </right>
      <top style="medium">
        <color theme="6"/>
      </top>
      <bottom style="medium">
        <color theme="6"/>
      </bottom>
      <diagonal/>
    </border>
    <border>
      <left style="medium">
        <color rgb="FF00A1DE"/>
      </left>
      <right style="medium">
        <color rgb="FF00A1DE"/>
      </right>
      <top style="medium">
        <color theme="6"/>
      </top>
      <bottom style="medium">
        <color rgb="FF00A1DE"/>
      </bottom>
      <diagonal/>
    </border>
    <border>
      <left style="medium">
        <color rgb="FF00A1DE"/>
      </left>
      <right style="medium">
        <color theme="6"/>
      </right>
      <top style="medium">
        <color theme="6"/>
      </top>
      <bottom style="medium">
        <color theme="6"/>
      </bottom>
      <diagonal/>
    </border>
    <border>
      <left style="medium">
        <color rgb="FF00A1DE"/>
      </left>
      <right style="medium">
        <color theme="6"/>
      </right>
      <top style="medium">
        <color theme="6"/>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00A1DE"/>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auto="1"/>
      </right>
      <top style="thin">
        <color auto="1"/>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auto="1"/>
      </bottom>
      <diagonal/>
    </border>
    <border>
      <left style="medium">
        <color theme="6"/>
      </left>
      <right style="medium">
        <color theme="6"/>
      </right>
      <top style="medium">
        <color theme="6"/>
      </top>
      <bottom style="medium">
        <color theme="6"/>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A1DE"/>
      </left>
      <right style="medium">
        <color theme="6"/>
      </right>
      <top/>
      <bottom style="medium">
        <color theme="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thin">
        <color indexed="64"/>
      </left>
      <right style="thin">
        <color indexed="64"/>
      </right>
      <top style="thin">
        <color indexed="64"/>
      </top>
      <bottom style="medium">
        <color indexed="64"/>
      </bottom>
      <diagonal/>
    </border>
    <border>
      <left/>
      <right style="medium">
        <color theme="6"/>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left>
      <right style="thin">
        <color theme="6"/>
      </right>
      <top style="thin">
        <color theme="6"/>
      </top>
      <bottom style="thin">
        <color theme="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theme="4" tint="0.59996337778862885"/>
      </left>
      <right style="medium">
        <color theme="4" tint="0.59996337778862885"/>
      </right>
      <top style="medium">
        <color theme="4" tint="0.59996337778862885"/>
      </top>
      <bottom style="medium">
        <color theme="4" tint="0.5999633777886288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11">
    <xf numFmtId="0" fontId="0" fillId="0" borderId="0">
      <alignment vertical="center"/>
    </xf>
    <xf numFmtId="9" fontId="37" fillId="0" borderId="0" applyFont="0" applyFill="0" applyBorder="0" applyAlignment="0" applyProtection="0">
      <alignment vertical="center"/>
    </xf>
    <xf numFmtId="0" fontId="40" fillId="0" borderId="0" applyNumberFormat="0" applyFill="0" applyBorder="0" applyAlignment="0" applyProtection="0">
      <alignment vertical="top"/>
      <protection locked="0"/>
    </xf>
    <xf numFmtId="0" fontId="32" fillId="0" borderId="0">
      <alignment vertical="center"/>
    </xf>
    <xf numFmtId="38" fontId="32" fillId="0" borderId="0" applyFont="0" applyFill="0" applyBorder="0" applyAlignment="0" applyProtection="0">
      <alignment vertical="center"/>
    </xf>
    <xf numFmtId="9" fontId="32" fillId="0" borderId="0" applyFont="0" applyFill="0" applyBorder="0" applyAlignment="0" applyProtection="0">
      <alignment vertical="center"/>
    </xf>
    <xf numFmtId="0" fontId="52" fillId="0" borderId="0" applyNumberFormat="0" applyFill="0" applyBorder="0" applyAlignment="0" applyProtection="0">
      <alignment vertical="center"/>
    </xf>
    <xf numFmtId="0" fontId="53" fillId="0" borderId="42">
      <alignment horizontal="center" vertical="center"/>
    </xf>
    <xf numFmtId="9" fontId="54" fillId="0" borderId="0" applyFont="0" applyFill="0" applyBorder="0" applyAlignment="0" applyProtection="0">
      <alignment vertical="center"/>
    </xf>
    <xf numFmtId="9" fontId="49" fillId="0" borderId="0" applyFon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0" fillId="0" borderId="0" applyNumberFormat="0" applyFill="0" applyBorder="0" applyAlignment="0" applyProtection="0">
      <alignment vertical="top"/>
      <protection locked="0"/>
    </xf>
    <xf numFmtId="38" fontId="49" fillId="0" borderId="0" applyFont="0" applyFill="0" applyBorder="0" applyAlignment="0" applyProtection="0"/>
    <xf numFmtId="0" fontId="54" fillId="0" borderId="0">
      <alignment vertical="center"/>
    </xf>
    <xf numFmtId="0" fontId="58" fillId="0" borderId="0">
      <alignment vertical="center"/>
    </xf>
    <xf numFmtId="0" fontId="59" fillId="0" borderId="0">
      <alignment vertical="center"/>
    </xf>
    <xf numFmtId="0" fontId="32" fillId="0" borderId="0">
      <alignment vertical="center"/>
    </xf>
    <xf numFmtId="0" fontId="49" fillId="0" borderId="0"/>
    <xf numFmtId="0" fontId="54" fillId="0" borderId="0">
      <alignment vertical="center"/>
    </xf>
    <xf numFmtId="0" fontId="60" fillId="0" borderId="0"/>
    <xf numFmtId="0" fontId="61" fillId="0" borderId="0"/>
    <xf numFmtId="0" fontId="49" fillId="0" borderId="0">
      <alignment vertical="center"/>
    </xf>
    <xf numFmtId="0" fontId="32" fillId="0" borderId="0">
      <alignment vertical="center"/>
    </xf>
    <xf numFmtId="0" fontId="62" fillId="0" borderId="0"/>
    <xf numFmtId="0" fontId="54" fillId="0" borderId="0">
      <alignment vertical="center"/>
    </xf>
    <xf numFmtId="1" fontId="63" fillId="0" borderId="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49" fontId="70" fillId="0" borderId="1" applyNumberFormat="0" applyFont="0" applyFill="0" applyBorder="0" applyProtection="0">
      <alignment horizontal="left" vertical="center" indent="2"/>
    </xf>
    <xf numFmtId="49" fontId="70" fillId="0" borderId="34" applyNumberFormat="0" applyFont="0" applyFill="0" applyBorder="0" applyProtection="0">
      <alignment horizontal="left" vertical="center" indent="5"/>
    </xf>
    <xf numFmtId="0" fontId="71" fillId="30" borderId="0" applyBorder="0" applyAlignment="0"/>
    <xf numFmtId="4" fontId="71" fillId="30" borderId="0" applyBorder="0" applyAlignment="0"/>
    <xf numFmtId="0" fontId="70" fillId="30" borderId="0" applyBorder="0">
      <alignment horizontal="right" vertical="center"/>
    </xf>
    <xf numFmtId="4" fontId="70" fillId="30" borderId="0" applyBorder="0">
      <alignment horizontal="right" vertical="center"/>
    </xf>
    <xf numFmtId="0" fontId="70" fillId="30" borderId="1">
      <alignment horizontal="right" vertical="center"/>
    </xf>
    <xf numFmtId="4" fontId="70" fillId="31" borderId="0" applyBorder="0">
      <alignment horizontal="right" vertical="center"/>
    </xf>
    <xf numFmtId="4" fontId="70" fillId="31" borderId="0" applyBorder="0">
      <alignment horizontal="right" vertical="center"/>
    </xf>
    <xf numFmtId="0" fontId="72" fillId="31" borderId="1">
      <alignment horizontal="right" vertical="center"/>
    </xf>
    <xf numFmtId="4" fontId="72" fillId="31" borderId="1">
      <alignment horizontal="right" vertical="center"/>
    </xf>
    <xf numFmtId="0" fontId="73" fillId="31" borderId="1">
      <alignment horizontal="right" vertical="center"/>
    </xf>
    <xf numFmtId="4" fontId="73" fillId="31" borderId="1">
      <alignment horizontal="right" vertical="center"/>
    </xf>
    <xf numFmtId="0" fontId="73" fillId="31" borderId="1">
      <alignment horizontal="right" vertical="center"/>
    </xf>
    <xf numFmtId="0" fontId="72" fillId="31" borderId="1">
      <alignment horizontal="right" vertical="center"/>
    </xf>
    <xf numFmtId="0" fontId="72" fillId="32" borderId="1">
      <alignment horizontal="right" vertical="center"/>
    </xf>
    <xf numFmtId="4" fontId="72" fillId="32" borderId="1">
      <alignment horizontal="right" vertical="center"/>
    </xf>
    <xf numFmtId="0" fontId="72" fillId="32" borderId="1">
      <alignment horizontal="right" vertical="center"/>
    </xf>
    <xf numFmtId="4" fontId="72" fillId="32" borderId="1">
      <alignment horizontal="right" vertical="center"/>
    </xf>
    <xf numFmtId="0" fontId="72" fillId="32" borderId="1">
      <alignment horizontal="right" vertical="center"/>
    </xf>
    <xf numFmtId="0" fontId="72" fillId="32" borderId="30">
      <alignment horizontal="right" vertical="center"/>
    </xf>
    <xf numFmtId="0" fontId="72" fillId="32" borderId="29">
      <alignment horizontal="right" vertical="center"/>
    </xf>
    <xf numFmtId="0" fontId="72" fillId="32" borderId="34">
      <alignment horizontal="right" vertical="center"/>
    </xf>
    <xf numFmtId="4" fontId="72" fillId="32" borderId="34">
      <alignment horizontal="right" vertical="center"/>
    </xf>
    <xf numFmtId="0" fontId="72" fillId="32" borderId="34">
      <alignment horizontal="right" vertical="center"/>
    </xf>
    <xf numFmtId="0" fontId="72" fillId="32" borderId="35">
      <alignment horizontal="right" vertical="center"/>
    </xf>
    <xf numFmtId="4" fontId="72" fillId="32" borderId="35">
      <alignment horizontal="right" vertical="center"/>
    </xf>
    <xf numFmtId="0" fontId="72" fillId="32" borderId="35">
      <alignment horizontal="right" vertical="center"/>
    </xf>
    <xf numFmtId="4" fontId="71" fillId="0" borderId="46" applyFill="0" applyBorder="0" applyProtection="0">
      <alignment horizontal="right" vertical="center"/>
    </xf>
    <xf numFmtId="0" fontId="72" fillId="0" borderId="0" applyNumberFormat="0">
      <alignment horizontal="right"/>
    </xf>
    <xf numFmtId="0" fontId="70" fillId="32" borderId="50">
      <alignment horizontal="left" vertical="center" wrapText="1" indent="2"/>
    </xf>
    <xf numFmtId="0" fontId="70" fillId="0" borderId="50">
      <alignment horizontal="left" vertical="center" wrapText="1" indent="2"/>
    </xf>
    <xf numFmtId="0" fontId="70" fillId="31" borderId="34">
      <alignment horizontal="left" vertical="center"/>
    </xf>
    <xf numFmtId="0" fontId="72" fillId="0" borderId="51">
      <alignment horizontal="left" vertical="top" wrapText="1"/>
    </xf>
    <xf numFmtId="0" fontId="61" fillId="0" borderId="52"/>
    <xf numFmtId="0" fontId="74" fillId="0" borderId="0" applyNumberFormat="0" applyFill="0" applyBorder="0" applyAlignment="0" applyProtection="0"/>
    <xf numFmtId="4" fontId="70" fillId="0" borderId="0" applyBorder="0">
      <alignment horizontal="right" vertical="center"/>
    </xf>
    <xf numFmtId="0" fontId="70" fillId="0" borderId="1">
      <alignment horizontal="right" vertical="center"/>
    </xf>
    <xf numFmtId="4" fontId="70" fillId="0" borderId="1">
      <alignment horizontal="right" vertical="center"/>
    </xf>
    <xf numFmtId="0" fontId="70" fillId="0" borderId="1">
      <alignment horizontal="right" vertical="center"/>
    </xf>
    <xf numFmtId="1" fontId="75" fillId="31" borderId="0" applyBorder="0">
      <alignment horizontal="right" vertical="center"/>
    </xf>
    <xf numFmtId="4" fontId="70" fillId="0" borderId="1" applyFill="0" applyBorder="0" applyProtection="0">
      <alignment horizontal="right" vertical="center"/>
    </xf>
    <xf numFmtId="49" fontId="71" fillId="0" borderId="1" applyNumberFormat="0" applyFill="0" applyBorder="0" applyProtection="0">
      <alignment horizontal="left" vertical="center"/>
    </xf>
    <xf numFmtId="0" fontId="70" fillId="0" borderId="1" applyNumberFormat="0" applyFill="0" applyAlignment="0" applyProtection="0"/>
    <xf numFmtId="0" fontId="76" fillId="33" borderId="0" applyNumberFormat="0" applyFont="0" applyBorder="0" applyAlignment="0" applyProtection="0"/>
    <xf numFmtId="4" fontId="61" fillId="34" borderId="0" applyNumberFormat="0" applyFont="0" applyBorder="0" applyAlignment="0" applyProtection="0"/>
    <xf numFmtId="0" fontId="61" fillId="34" borderId="0" applyNumberFormat="0" applyFont="0" applyBorder="0" applyAlignment="0" applyProtection="0"/>
    <xf numFmtId="178" fontId="70" fillId="35" borderId="1" applyNumberFormat="0" applyFont="0" applyBorder="0" applyAlignment="0" applyProtection="0">
      <alignment horizontal="right" vertical="center"/>
    </xf>
    <xf numFmtId="0" fontId="70" fillId="34" borderId="1"/>
    <xf numFmtId="0" fontId="77" fillId="0" borderId="0" applyNumberFormat="0" applyFill="0" applyBorder="0" applyAlignment="0" applyProtection="0"/>
    <xf numFmtId="0" fontId="70"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38" fontId="37" fillId="0" borderId="0" applyFont="0" applyFill="0" applyBorder="0" applyAlignment="0" applyProtection="0">
      <alignment vertical="center"/>
    </xf>
    <xf numFmtId="0" fontId="29" fillId="0" borderId="0">
      <alignment vertical="center"/>
    </xf>
    <xf numFmtId="38" fontId="28" fillId="0" borderId="0" applyFont="0" applyFill="0" applyBorder="0" applyAlignment="0" applyProtection="0">
      <alignment vertical="center"/>
    </xf>
    <xf numFmtId="0" fontId="49" fillId="0" borderId="0"/>
    <xf numFmtId="0" fontId="18" fillId="45" borderId="0" applyNumberFormat="0" applyBorder="0" applyAlignment="0" applyProtection="0">
      <alignment vertical="center"/>
    </xf>
    <xf numFmtId="0" fontId="15" fillId="0" borderId="0">
      <alignment vertical="center"/>
    </xf>
    <xf numFmtId="0" fontId="9" fillId="0" borderId="0">
      <alignment vertical="center"/>
    </xf>
    <xf numFmtId="4" fontId="72" fillId="32" borderId="190">
      <alignment horizontal="righ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4" fontId="73" fillId="31" borderId="188">
      <alignment horizontal="right" vertical="center"/>
    </xf>
    <xf numFmtId="0" fontId="73" fillId="31" borderId="188">
      <alignment horizontal="right" vertical="center"/>
    </xf>
    <xf numFmtId="4" fontId="72" fillId="31" borderId="188">
      <alignment horizontal="right" vertical="center"/>
    </xf>
    <xf numFmtId="0" fontId="72" fillId="31" borderId="188">
      <alignment horizontal="right" vertical="center"/>
    </xf>
    <xf numFmtId="0" fontId="3" fillId="0" borderId="0">
      <alignment vertical="center"/>
    </xf>
    <xf numFmtId="0" fontId="3" fillId="0" borderId="0">
      <alignment vertical="center"/>
    </xf>
    <xf numFmtId="49" fontId="70" fillId="0" borderId="181" applyNumberFormat="0" applyFont="0" applyFill="0" applyBorder="0" applyProtection="0">
      <alignment horizontal="left" vertical="center" indent="2"/>
    </xf>
    <xf numFmtId="49" fontId="70" fillId="0" borderId="185" applyNumberFormat="0" applyFont="0" applyFill="0" applyBorder="0" applyProtection="0">
      <alignment horizontal="left" vertical="center" indent="5"/>
    </xf>
    <xf numFmtId="4" fontId="70" fillId="0" borderId="188" applyFill="0" applyBorder="0" applyProtection="0">
      <alignment horizontal="right" vertical="center"/>
    </xf>
    <xf numFmtId="4" fontId="70" fillId="0" borderId="188">
      <alignment horizontal="right" vertical="center"/>
    </xf>
    <xf numFmtId="0" fontId="70" fillId="0" borderId="188">
      <alignment horizontal="right" vertical="center"/>
    </xf>
    <xf numFmtId="0" fontId="72" fillId="31" borderId="181">
      <alignment horizontal="right" vertical="center"/>
    </xf>
    <xf numFmtId="4" fontId="72" fillId="31" borderId="181">
      <alignment horizontal="right" vertical="center"/>
    </xf>
    <xf numFmtId="0" fontId="73" fillId="31" borderId="181">
      <alignment horizontal="right" vertical="center"/>
    </xf>
    <xf numFmtId="4" fontId="73" fillId="31" borderId="181">
      <alignment horizontal="right" vertical="center"/>
    </xf>
    <xf numFmtId="0" fontId="72" fillId="32" borderId="181">
      <alignment horizontal="right" vertical="center"/>
    </xf>
    <xf numFmtId="4" fontId="72" fillId="32" borderId="181">
      <alignment horizontal="right" vertical="center"/>
    </xf>
    <xf numFmtId="0" fontId="72" fillId="32" borderId="181">
      <alignment horizontal="right" vertical="center"/>
    </xf>
    <xf numFmtId="4" fontId="72" fillId="32" borderId="181">
      <alignment horizontal="right" vertical="center"/>
    </xf>
    <xf numFmtId="0" fontId="72" fillId="32" borderId="185">
      <alignment horizontal="right" vertical="center"/>
    </xf>
    <xf numFmtId="4" fontId="72" fillId="32" borderId="185">
      <alignment horizontal="right" vertical="center"/>
    </xf>
    <xf numFmtId="0" fontId="72" fillId="32" borderId="186">
      <alignment horizontal="right" vertical="center"/>
    </xf>
    <xf numFmtId="4" fontId="72" fillId="32" borderId="186">
      <alignment horizontal="right" vertical="center"/>
    </xf>
    <xf numFmtId="0" fontId="70" fillId="32" borderId="187">
      <alignment horizontal="left" vertical="center" wrapText="1" indent="2"/>
    </xf>
    <xf numFmtId="0" fontId="70" fillId="0" borderId="187">
      <alignment horizontal="left" vertical="center" wrapText="1" indent="2"/>
    </xf>
    <xf numFmtId="0" fontId="70" fillId="31" borderId="185">
      <alignment horizontal="left" vertical="center"/>
    </xf>
    <xf numFmtId="0" fontId="70" fillId="31" borderId="190">
      <alignment horizontal="left" vertical="center"/>
    </xf>
    <xf numFmtId="0" fontId="70" fillId="0" borderId="193">
      <alignment horizontal="left" vertical="center" wrapText="1" indent="2"/>
    </xf>
    <xf numFmtId="0" fontId="70" fillId="0" borderId="181">
      <alignment horizontal="right" vertical="center"/>
    </xf>
    <xf numFmtId="4" fontId="70" fillId="0" borderId="181">
      <alignment horizontal="right" vertical="center"/>
    </xf>
    <xf numFmtId="0" fontId="70" fillId="32" borderId="193">
      <alignment horizontal="left" vertical="center" wrapText="1" indent="2"/>
    </xf>
    <xf numFmtId="4" fontId="70" fillId="0" borderId="181" applyFill="0" applyBorder="0" applyProtection="0">
      <alignment horizontal="right" vertical="center"/>
    </xf>
    <xf numFmtId="49" fontId="71" fillId="0" borderId="181" applyNumberFormat="0" applyFill="0" applyBorder="0" applyProtection="0">
      <alignment horizontal="left" vertical="center"/>
    </xf>
    <xf numFmtId="0" fontId="70" fillId="0" borderId="181" applyNumberFormat="0" applyFill="0" applyAlignment="0" applyProtection="0"/>
    <xf numFmtId="178" fontId="70" fillId="35" borderId="181" applyNumberFormat="0" applyFont="0" applyBorder="0" applyAlignment="0" applyProtection="0">
      <alignment horizontal="right" vertical="center"/>
    </xf>
    <xf numFmtId="0" fontId="70" fillId="34" borderId="181"/>
    <xf numFmtId="4" fontId="72" fillId="32" borderId="191">
      <alignment horizontal="right" vertical="center"/>
    </xf>
    <xf numFmtId="0" fontId="72" fillId="32" borderId="191">
      <alignment horizontal="right" vertical="center"/>
    </xf>
    <xf numFmtId="0" fontId="72" fillId="32" borderId="190">
      <alignment horizontal="right" vertical="center"/>
    </xf>
    <xf numFmtId="4" fontId="72" fillId="32" borderId="188">
      <alignment horizontal="right" vertical="center"/>
    </xf>
    <xf numFmtId="0" fontId="72" fillId="32" borderId="188">
      <alignment horizontal="right" vertical="center"/>
    </xf>
    <xf numFmtId="4" fontId="72" fillId="32" borderId="188">
      <alignment horizontal="right" vertical="center"/>
    </xf>
    <xf numFmtId="0" fontId="72" fillId="32" borderId="188">
      <alignment horizontal="right" vertical="center"/>
    </xf>
    <xf numFmtId="49" fontId="70" fillId="0" borderId="190" applyNumberFormat="0" applyFont="0" applyFill="0" applyBorder="0" applyProtection="0">
      <alignment horizontal="left" vertical="center" indent="5"/>
    </xf>
    <xf numFmtId="49" fontId="70" fillId="0" borderId="188" applyNumberFormat="0" applyFont="0" applyFill="0" applyBorder="0" applyProtection="0">
      <alignment horizontal="left" vertical="center" indent="2"/>
    </xf>
    <xf numFmtId="0" fontId="3" fillId="0" borderId="0">
      <alignment vertical="center"/>
    </xf>
    <xf numFmtId="38" fontId="3" fillId="0" borderId="0" applyFont="0" applyFill="0" applyBorder="0" applyAlignment="0" applyProtection="0">
      <alignment vertical="center"/>
    </xf>
    <xf numFmtId="0" fontId="3" fillId="45" borderId="0" applyNumberFormat="0" applyBorder="0" applyAlignment="0" applyProtection="0">
      <alignment vertical="center"/>
    </xf>
    <xf numFmtId="0" fontId="3" fillId="0" borderId="0">
      <alignment vertical="center"/>
    </xf>
    <xf numFmtId="0" fontId="3" fillId="0" borderId="0">
      <alignment vertical="center"/>
    </xf>
    <xf numFmtId="49" fontId="71" fillId="0" borderId="188" applyNumberFormat="0" applyFill="0" applyBorder="0" applyProtection="0">
      <alignment horizontal="left" vertical="center"/>
    </xf>
    <xf numFmtId="0" fontId="70" fillId="0" borderId="188" applyNumberFormat="0" applyFill="0" applyAlignment="0" applyProtection="0"/>
    <xf numFmtId="178" fontId="70" fillId="35" borderId="188" applyNumberFormat="0" applyFont="0" applyBorder="0" applyAlignment="0" applyProtection="0">
      <alignment horizontal="right" vertical="center"/>
    </xf>
    <xf numFmtId="0" fontId="70" fillId="34" borderId="188"/>
    <xf numFmtId="49" fontId="70" fillId="0" borderId="190" applyNumberFormat="0" applyFont="0" applyFill="0" applyBorder="0" applyProtection="0">
      <alignment horizontal="left" vertical="center" indent="5"/>
    </xf>
    <xf numFmtId="0" fontId="72" fillId="32" borderId="190">
      <alignment horizontal="right" vertical="center"/>
    </xf>
    <xf numFmtId="4" fontId="72" fillId="32" borderId="190">
      <alignment horizontal="right" vertical="center"/>
    </xf>
    <xf numFmtId="0" fontId="72" fillId="32" borderId="191">
      <alignment horizontal="right" vertical="center"/>
    </xf>
    <xf numFmtId="4" fontId="72" fillId="32" borderId="191">
      <alignment horizontal="right" vertical="center"/>
    </xf>
    <xf numFmtId="0" fontId="70" fillId="32" borderId="193">
      <alignment horizontal="left" vertical="center" wrapText="1" indent="2"/>
    </xf>
    <xf numFmtId="0" fontId="70" fillId="0" borderId="193">
      <alignment horizontal="left" vertical="center" wrapText="1" indent="2"/>
    </xf>
    <xf numFmtId="0" fontId="70" fillId="31" borderId="190">
      <alignment horizontal="left" vertical="center"/>
    </xf>
  </cellStyleXfs>
  <cellXfs count="1182">
    <xf numFmtId="0" fontId="0" fillId="0" borderId="0" xfId="0">
      <alignment vertical="center"/>
    </xf>
    <xf numFmtId="0" fontId="35" fillId="0" borderId="0" xfId="0" applyFont="1">
      <alignment vertical="center"/>
    </xf>
    <xf numFmtId="0" fontId="36" fillId="0" borderId="0" xfId="0" applyFont="1">
      <alignment vertical="center"/>
    </xf>
    <xf numFmtId="0" fontId="35" fillId="0" borderId="0" xfId="0" applyFont="1" applyFill="1">
      <alignment vertical="center"/>
    </xf>
    <xf numFmtId="0" fontId="35" fillId="5" borderId="0" xfId="0" applyFont="1" applyFill="1">
      <alignment vertical="center"/>
    </xf>
    <xf numFmtId="0" fontId="35" fillId="6" borderId="0" xfId="0" applyFont="1" applyFill="1">
      <alignment vertical="center"/>
    </xf>
    <xf numFmtId="0" fontId="35" fillId="0" borderId="0" xfId="0" applyFont="1" applyBorder="1">
      <alignment vertical="center"/>
    </xf>
    <xf numFmtId="0" fontId="38" fillId="0" borderId="0" xfId="0" applyFont="1">
      <alignment vertical="center"/>
    </xf>
    <xf numFmtId="3" fontId="38" fillId="0" borderId="0" xfId="0" applyNumberFormat="1" applyFont="1">
      <alignment vertical="center"/>
    </xf>
    <xf numFmtId="0" fontId="35" fillId="3" borderId="0" xfId="0" applyFont="1" applyFill="1">
      <alignment vertical="center"/>
    </xf>
    <xf numFmtId="0" fontId="35" fillId="10" borderId="0" xfId="0" applyFont="1" applyFill="1">
      <alignment vertical="center"/>
    </xf>
    <xf numFmtId="0" fontId="36" fillId="0" borderId="0" xfId="0" applyFont="1" applyBorder="1">
      <alignment vertical="center"/>
    </xf>
    <xf numFmtId="0" fontId="35" fillId="11" borderId="0" xfId="0" applyFont="1" applyFill="1" applyBorder="1">
      <alignment vertical="center"/>
    </xf>
    <xf numFmtId="0" fontId="35" fillId="12" borderId="0" xfId="0" applyFont="1" applyFill="1" applyBorder="1">
      <alignment vertical="center"/>
    </xf>
    <xf numFmtId="0" fontId="35" fillId="9" borderId="0" xfId="0" applyFont="1" applyFill="1" applyBorder="1">
      <alignment vertical="center"/>
    </xf>
    <xf numFmtId="0" fontId="35" fillId="13" borderId="0" xfId="0" applyFont="1" applyFill="1" applyBorder="1">
      <alignment vertical="center"/>
    </xf>
    <xf numFmtId="0" fontId="35" fillId="14" borderId="0" xfId="0" applyFont="1" applyFill="1" applyBorder="1">
      <alignment vertical="center"/>
    </xf>
    <xf numFmtId="0" fontId="35" fillId="15" borderId="0" xfId="0" applyFont="1" applyFill="1" applyBorder="1">
      <alignment vertical="center"/>
    </xf>
    <xf numFmtId="0" fontId="35" fillId="16" borderId="0" xfId="0" applyFont="1" applyFill="1" applyBorder="1">
      <alignment vertical="center"/>
    </xf>
    <xf numFmtId="0" fontId="35" fillId="17" borderId="0" xfId="0" applyFont="1" applyFill="1" applyBorder="1">
      <alignment vertical="center"/>
    </xf>
    <xf numFmtId="0" fontId="35" fillId="18" borderId="0" xfId="0" applyFont="1" applyFill="1" applyBorder="1">
      <alignment vertical="center"/>
    </xf>
    <xf numFmtId="0" fontId="35" fillId="19" borderId="0" xfId="0" applyFont="1" applyFill="1" applyBorder="1">
      <alignment vertical="center"/>
    </xf>
    <xf numFmtId="0" fontId="35" fillId="20" borderId="0" xfId="0" applyFont="1" applyFill="1" applyBorder="1">
      <alignment vertical="center"/>
    </xf>
    <xf numFmtId="0" fontId="35" fillId="21" borderId="0" xfId="0" applyFont="1" applyFill="1" applyBorder="1">
      <alignment vertical="center"/>
    </xf>
    <xf numFmtId="0" fontId="35" fillId="22" borderId="0" xfId="0" applyFont="1" applyFill="1" applyBorder="1">
      <alignment vertical="center"/>
    </xf>
    <xf numFmtId="0" fontId="35" fillId="0" borderId="0" xfId="0" applyFont="1" applyFill="1" applyBorder="1">
      <alignment vertical="center"/>
    </xf>
    <xf numFmtId="0" fontId="35" fillId="23" borderId="0" xfId="0" applyFont="1" applyFill="1" applyBorder="1">
      <alignment vertical="center"/>
    </xf>
    <xf numFmtId="0" fontId="35" fillId="24" borderId="0" xfId="0" applyFont="1" applyFill="1" applyBorder="1">
      <alignment vertical="center"/>
    </xf>
    <xf numFmtId="0" fontId="35" fillId="25" borderId="0" xfId="0" applyFont="1" applyFill="1" applyBorder="1">
      <alignment vertical="center"/>
    </xf>
    <xf numFmtId="0" fontId="35" fillId="26" borderId="0" xfId="0" applyFont="1" applyFill="1" applyBorder="1">
      <alignment vertical="center"/>
    </xf>
    <xf numFmtId="0" fontId="35" fillId="27" borderId="0" xfId="0" applyFont="1" applyFill="1" applyBorder="1">
      <alignment vertical="center"/>
    </xf>
    <xf numFmtId="0" fontId="39" fillId="0" borderId="0" xfId="0" applyFont="1">
      <alignment vertical="center"/>
    </xf>
    <xf numFmtId="0" fontId="35" fillId="2" borderId="0" xfId="0" applyFont="1" applyFill="1">
      <alignment vertical="center"/>
    </xf>
    <xf numFmtId="0" fontId="35" fillId="4" borderId="0" xfId="0" applyFont="1" applyFill="1">
      <alignment vertical="center"/>
    </xf>
    <xf numFmtId="0" fontId="35" fillId="8" borderId="0" xfId="0" applyFont="1" applyFill="1">
      <alignment vertical="center"/>
    </xf>
    <xf numFmtId="0" fontId="35" fillId="7" borderId="1" xfId="0" applyFont="1" applyFill="1" applyBorder="1">
      <alignment vertical="center"/>
    </xf>
    <xf numFmtId="0" fontId="44" fillId="0" borderId="0" xfId="0" applyFont="1">
      <alignment vertical="center"/>
    </xf>
    <xf numFmtId="0" fontId="41" fillId="24" borderId="14" xfId="0" applyFont="1" applyFill="1" applyBorder="1">
      <alignment vertical="center"/>
    </xf>
    <xf numFmtId="0" fontId="41" fillId="24" borderId="21" xfId="0" applyFont="1" applyFill="1" applyBorder="1">
      <alignment vertical="center"/>
    </xf>
    <xf numFmtId="0" fontId="42" fillId="24" borderId="13" xfId="0" applyFont="1" applyFill="1" applyBorder="1">
      <alignment vertical="center"/>
    </xf>
    <xf numFmtId="0" fontId="41" fillId="24" borderId="0" xfId="0" applyFont="1" applyFill="1" applyBorder="1">
      <alignment vertical="center"/>
    </xf>
    <xf numFmtId="0" fontId="42" fillId="24" borderId="20" xfId="0" applyFont="1" applyFill="1" applyBorder="1">
      <alignment vertical="center"/>
    </xf>
    <xf numFmtId="0" fontId="42" fillId="24" borderId="2" xfId="0" applyFont="1" applyFill="1" applyBorder="1">
      <alignment vertical="center"/>
    </xf>
    <xf numFmtId="0" fontId="42" fillId="24" borderId="8" xfId="0" applyFont="1" applyFill="1" applyBorder="1">
      <alignment vertical="center"/>
    </xf>
    <xf numFmtId="0" fontId="49" fillId="0" borderId="0" xfId="0" applyFont="1" applyFill="1">
      <alignment vertical="center"/>
    </xf>
    <xf numFmtId="0" fontId="41" fillId="24" borderId="3" xfId="0" applyFont="1" applyFill="1" applyBorder="1">
      <alignment vertical="center"/>
    </xf>
    <xf numFmtId="0" fontId="38" fillId="7" borderId="0" xfId="0" applyFont="1" applyFill="1">
      <alignment vertical="center"/>
    </xf>
    <xf numFmtId="0" fontId="38" fillId="7" borderId="21" xfId="0" applyFont="1" applyFill="1" applyBorder="1">
      <alignment vertical="center"/>
    </xf>
    <xf numFmtId="0" fontId="38" fillId="7" borderId="22" xfId="0" applyFont="1" applyFill="1" applyBorder="1">
      <alignment vertical="center"/>
    </xf>
    <xf numFmtId="0" fontId="44" fillId="7" borderId="3" xfId="0" applyFont="1" applyFill="1" applyBorder="1">
      <alignment vertical="center"/>
    </xf>
    <xf numFmtId="0" fontId="38" fillId="7" borderId="3" xfId="0" applyFont="1" applyFill="1" applyBorder="1">
      <alignment vertical="center"/>
    </xf>
    <xf numFmtId="0" fontId="38" fillId="7" borderId="19" xfId="0" applyFont="1" applyFill="1" applyBorder="1">
      <alignment vertical="center"/>
    </xf>
    <xf numFmtId="0" fontId="38" fillId="24" borderId="22" xfId="0" applyFont="1" applyFill="1" applyBorder="1">
      <alignment vertical="center"/>
    </xf>
    <xf numFmtId="0" fontId="42" fillId="24" borderId="19" xfId="0" applyFont="1" applyFill="1" applyBorder="1">
      <alignment vertical="center"/>
    </xf>
    <xf numFmtId="0" fontId="42" fillId="24" borderId="22" xfId="0" applyFont="1" applyFill="1" applyBorder="1">
      <alignment vertical="center"/>
    </xf>
    <xf numFmtId="0" fontId="42" fillId="24" borderId="37" xfId="0" applyFont="1" applyFill="1" applyBorder="1">
      <alignment vertical="center"/>
    </xf>
    <xf numFmtId="0" fontId="48" fillId="24" borderId="8" xfId="0" applyFont="1" applyFill="1" applyBorder="1">
      <alignment vertical="center"/>
    </xf>
    <xf numFmtId="0" fontId="48" fillId="24" borderId="13" xfId="0" applyFont="1" applyFill="1" applyBorder="1">
      <alignment vertical="center"/>
    </xf>
    <xf numFmtId="0" fontId="42" fillId="24" borderId="1" xfId="0" applyFont="1" applyFill="1" applyBorder="1">
      <alignment vertical="center"/>
    </xf>
    <xf numFmtId="0" fontId="32" fillId="0" borderId="0" xfId="0" applyFont="1">
      <alignment vertical="center"/>
    </xf>
    <xf numFmtId="0" fontId="45" fillId="24" borderId="13" xfId="0" applyFont="1" applyFill="1" applyBorder="1">
      <alignment vertical="center"/>
    </xf>
    <xf numFmtId="0" fontId="45" fillId="24" borderId="8" xfId="0" applyFont="1" applyFill="1" applyBorder="1">
      <alignment vertical="center"/>
    </xf>
    <xf numFmtId="0" fontId="45" fillId="24" borderId="20" xfId="0" applyFont="1" applyFill="1" applyBorder="1">
      <alignment vertical="center"/>
    </xf>
    <xf numFmtId="0" fontId="45" fillId="24" borderId="14" xfId="0" applyFont="1" applyFill="1" applyBorder="1">
      <alignment vertical="center"/>
    </xf>
    <xf numFmtId="0" fontId="45" fillId="24" borderId="21" xfId="0" applyFont="1" applyFill="1" applyBorder="1">
      <alignment vertical="center"/>
    </xf>
    <xf numFmtId="0" fontId="45" fillId="24" borderId="0" xfId="0" applyFont="1" applyFill="1">
      <alignment vertical="center"/>
    </xf>
    <xf numFmtId="0" fontId="45" fillId="24" borderId="22" xfId="0" applyFont="1" applyFill="1" applyBorder="1">
      <alignment vertical="center"/>
    </xf>
    <xf numFmtId="0" fontId="45" fillId="24" borderId="37" xfId="0" applyFont="1" applyFill="1" applyBorder="1">
      <alignment vertical="center"/>
    </xf>
    <xf numFmtId="0" fontId="45" fillId="24" borderId="1" xfId="0" applyFont="1" applyFill="1" applyBorder="1">
      <alignment vertical="center"/>
    </xf>
    <xf numFmtId="0" fontId="45" fillId="24" borderId="46" xfId="0" applyFont="1" applyFill="1" applyBorder="1">
      <alignment vertical="center"/>
    </xf>
    <xf numFmtId="0" fontId="32" fillId="24" borderId="13" xfId="0" applyFont="1" applyFill="1" applyBorder="1">
      <alignment vertical="center"/>
    </xf>
    <xf numFmtId="0" fontId="42" fillId="24" borderId="1" xfId="0" applyFont="1" applyFill="1" applyBorder="1" applyAlignment="1">
      <alignment horizontal="center" vertical="center"/>
    </xf>
    <xf numFmtId="0" fontId="78" fillId="37" borderId="1" xfId="0" applyFont="1" applyFill="1" applyBorder="1">
      <alignment vertical="center"/>
    </xf>
    <xf numFmtId="0" fontId="83" fillId="24" borderId="22" xfId="0" applyFont="1" applyFill="1" applyBorder="1">
      <alignment vertical="center"/>
    </xf>
    <xf numFmtId="0" fontId="41" fillId="24" borderId="19" xfId="0" applyFont="1" applyFill="1" applyBorder="1">
      <alignment vertical="center"/>
    </xf>
    <xf numFmtId="0" fontId="41" fillId="24" borderId="43" xfId="0" applyFont="1" applyFill="1" applyBorder="1">
      <alignment vertical="center"/>
    </xf>
    <xf numFmtId="0" fontId="79" fillId="24" borderId="1" xfId="0" applyFont="1" applyFill="1" applyBorder="1">
      <alignment vertical="center"/>
    </xf>
    <xf numFmtId="0" fontId="79" fillId="24" borderId="37" xfId="0" applyFont="1" applyFill="1" applyBorder="1">
      <alignment vertical="center"/>
    </xf>
    <xf numFmtId="0" fontId="84" fillId="24" borderId="45" xfId="0" applyFont="1" applyFill="1" applyBorder="1">
      <alignment vertical="center"/>
    </xf>
    <xf numFmtId="0" fontId="85" fillId="24" borderId="45" xfId="0" applyFont="1" applyFill="1" applyBorder="1">
      <alignment vertical="center"/>
    </xf>
    <xf numFmtId="0" fontId="85" fillId="24" borderId="46" xfId="0" applyFont="1" applyFill="1" applyBorder="1">
      <alignment vertical="center"/>
    </xf>
    <xf numFmtId="0" fontId="45" fillId="24" borderId="1" xfId="0" applyFont="1" applyFill="1" applyBorder="1" applyAlignment="1">
      <alignment horizontal="center" vertical="center" shrinkToFit="1"/>
    </xf>
    <xf numFmtId="0" fontId="49" fillId="7" borderId="22" xfId="0" applyFont="1" applyFill="1" applyBorder="1">
      <alignment vertical="center"/>
    </xf>
    <xf numFmtId="0" fontId="42" fillId="24" borderId="56" xfId="0" applyFont="1" applyFill="1" applyBorder="1">
      <alignment vertical="center"/>
    </xf>
    <xf numFmtId="0" fontId="48" fillId="24" borderId="57" xfId="0" applyFont="1" applyFill="1" applyBorder="1">
      <alignment vertical="center"/>
    </xf>
    <xf numFmtId="0" fontId="45" fillId="24" borderId="56" xfId="0" applyFont="1" applyFill="1" applyBorder="1">
      <alignment vertical="center"/>
    </xf>
    <xf numFmtId="0" fontId="45" fillId="24" borderId="57" xfId="0" applyFont="1" applyFill="1" applyBorder="1">
      <alignment vertical="center"/>
    </xf>
    <xf numFmtId="0" fontId="42" fillId="24" borderId="58" xfId="0" applyFont="1" applyFill="1" applyBorder="1">
      <alignment vertical="center"/>
    </xf>
    <xf numFmtId="0" fontId="48" fillId="24" borderId="59" xfId="0" applyFont="1" applyFill="1" applyBorder="1">
      <alignment vertical="center"/>
    </xf>
    <xf numFmtId="0" fontId="0" fillId="7" borderId="0" xfId="0" applyFill="1">
      <alignment vertical="center"/>
    </xf>
    <xf numFmtId="0" fontId="44" fillId="7" borderId="0" xfId="0" applyFont="1" applyFill="1">
      <alignment vertical="center"/>
    </xf>
    <xf numFmtId="0" fontId="0" fillId="28" borderId="0" xfId="0" applyFill="1">
      <alignment vertical="center"/>
    </xf>
    <xf numFmtId="0" fontId="67" fillId="28" borderId="62" xfId="0" applyFont="1" applyFill="1" applyBorder="1" applyAlignment="1">
      <alignment horizontal="center" vertical="center"/>
    </xf>
    <xf numFmtId="0" fontId="30" fillId="28" borderId="63" xfId="0" applyFont="1" applyFill="1" applyBorder="1">
      <alignment vertical="center"/>
    </xf>
    <xf numFmtId="0" fontId="91" fillId="0" borderId="0" xfId="3" applyFont="1">
      <alignment vertical="center"/>
    </xf>
    <xf numFmtId="0" fontId="92" fillId="2" borderId="25" xfId="3" applyFont="1" applyFill="1" applyBorder="1">
      <alignment vertical="center"/>
    </xf>
    <xf numFmtId="0" fontId="91" fillId="28" borderId="29" xfId="3" applyFont="1" applyFill="1" applyBorder="1">
      <alignment vertical="center"/>
    </xf>
    <xf numFmtId="0" fontId="91" fillId="28" borderId="30" xfId="3" applyFont="1" applyFill="1" applyBorder="1">
      <alignment vertical="center"/>
    </xf>
    <xf numFmtId="0" fontId="91" fillId="28" borderId="31" xfId="3" applyFont="1" applyFill="1" applyBorder="1">
      <alignment vertical="center"/>
    </xf>
    <xf numFmtId="0" fontId="91" fillId="0" borderId="32" xfId="3" applyFont="1" applyBorder="1">
      <alignment vertical="center"/>
    </xf>
    <xf numFmtId="0" fontId="91" fillId="0" borderId="25" xfId="3" applyFont="1" applyBorder="1">
      <alignment vertical="center"/>
    </xf>
    <xf numFmtId="0" fontId="91" fillId="0" borderId="25" xfId="3" applyFont="1" applyBorder="1" applyAlignment="1">
      <alignment horizontal="center" vertical="center"/>
    </xf>
    <xf numFmtId="0" fontId="91" fillId="0" borderId="33" xfId="3" applyFont="1" applyBorder="1">
      <alignment vertical="center"/>
    </xf>
    <xf numFmtId="0" fontId="91" fillId="0" borderId="34" xfId="3" applyFont="1" applyBorder="1">
      <alignment vertical="center"/>
    </xf>
    <xf numFmtId="0" fontId="91" fillId="0" borderId="1" xfId="3" applyFont="1" applyBorder="1">
      <alignment vertical="center"/>
    </xf>
    <xf numFmtId="0" fontId="91" fillId="0" borderId="1" xfId="3" applyFont="1" applyBorder="1" applyAlignment="1">
      <alignment horizontal="center" vertical="center"/>
    </xf>
    <xf numFmtId="0" fontId="91" fillId="0" borderId="35" xfId="3" applyFont="1" applyBorder="1">
      <alignment vertical="center"/>
    </xf>
    <xf numFmtId="0" fontId="91" fillId="0" borderId="36" xfId="3" applyFont="1" applyBorder="1">
      <alignment vertical="center"/>
    </xf>
    <xf numFmtId="0" fontId="91" fillId="0" borderId="37" xfId="3" applyFont="1" applyBorder="1">
      <alignment vertical="center"/>
    </xf>
    <xf numFmtId="0" fontId="91" fillId="0" borderId="37" xfId="3" applyFont="1" applyBorder="1" applyAlignment="1">
      <alignment horizontal="center" vertical="center"/>
    </xf>
    <xf numFmtId="0" fontId="91" fillId="0" borderId="38" xfId="3" applyFont="1" applyBorder="1">
      <alignment vertical="center"/>
    </xf>
    <xf numFmtId="0" fontId="91" fillId="0" borderId="39" xfId="3" applyFont="1" applyBorder="1">
      <alignment vertical="center"/>
    </xf>
    <xf numFmtId="0" fontId="91" fillId="0" borderId="40" xfId="3" applyFont="1" applyBorder="1">
      <alignment vertical="center"/>
    </xf>
    <xf numFmtId="0" fontId="91" fillId="0" borderId="41" xfId="3" applyFont="1" applyBorder="1">
      <alignment vertical="center"/>
    </xf>
    <xf numFmtId="0" fontId="91" fillId="0" borderId="29" xfId="3" applyFont="1" applyBorder="1">
      <alignment vertical="center"/>
    </xf>
    <xf numFmtId="0" fontId="91" fillId="0" borderId="30" xfId="3" applyFont="1" applyBorder="1">
      <alignment vertical="center"/>
    </xf>
    <xf numFmtId="0" fontId="91" fillId="0" borderId="31" xfId="3" applyFont="1" applyBorder="1">
      <alignment vertical="center"/>
    </xf>
    <xf numFmtId="0" fontId="91" fillId="0" borderId="30" xfId="3" applyFont="1" applyBorder="1" applyAlignment="1">
      <alignment horizontal="center" vertical="center"/>
    </xf>
    <xf numFmtId="0" fontId="91" fillId="0" borderId="33" xfId="3" applyFont="1" applyBorder="1" applyAlignment="1">
      <alignment horizontal="center" vertical="center"/>
    </xf>
    <xf numFmtId="10" fontId="91" fillId="0" borderId="0" xfId="5" applyNumberFormat="1" applyFont="1">
      <alignment vertical="center"/>
    </xf>
    <xf numFmtId="38" fontId="91" fillId="0" borderId="0" xfId="4" applyFont="1">
      <alignment vertical="center"/>
    </xf>
    <xf numFmtId="0" fontId="49" fillId="0" borderId="0" xfId="0" applyFont="1">
      <alignment vertical="center"/>
    </xf>
    <xf numFmtId="0" fontId="44" fillId="0" borderId="64" xfId="0" applyFont="1" applyBorder="1">
      <alignment vertical="center"/>
    </xf>
    <xf numFmtId="0" fontId="42" fillId="24" borderId="64" xfId="0" applyFont="1" applyFill="1" applyBorder="1">
      <alignment vertical="center"/>
    </xf>
    <xf numFmtId="0" fontId="42" fillId="24" borderId="67" xfId="0" applyFont="1" applyFill="1" applyBorder="1">
      <alignment vertical="center"/>
    </xf>
    <xf numFmtId="0" fontId="42" fillId="24" borderId="65" xfId="0" applyFont="1" applyFill="1" applyBorder="1">
      <alignment vertical="center"/>
    </xf>
    <xf numFmtId="0" fontId="48" fillId="24" borderId="45" xfId="0" applyFont="1" applyFill="1" applyBorder="1">
      <alignment vertical="center"/>
    </xf>
    <xf numFmtId="0" fontId="48" fillId="24" borderId="46" xfId="0" applyFont="1" applyFill="1" applyBorder="1">
      <alignment vertical="center"/>
    </xf>
    <xf numFmtId="0" fontId="44" fillId="0" borderId="65" xfId="0" applyFont="1" applyBorder="1">
      <alignment vertical="center"/>
    </xf>
    <xf numFmtId="0" fontId="0" fillId="0" borderId="64" xfId="0" applyBorder="1">
      <alignment vertical="center"/>
    </xf>
    <xf numFmtId="0" fontId="46" fillId="0" borderId="65" xfId="0" applyFont="1" applyBorder="1">
      <alignment vertical="center"/>
    </xf>
    <xf numFmtId="0" fontId="42" fillId="24" borderId="45" xfId="0" applyFont="1" applyFill="1" applyBorder="1">
      <alignment vertical="center"/>
    </xf>
    <xf numFmtId="38" fontId="49" fillId="0" borderId="1" xfId="138" applyFont="1" applyBorder="1">
      <alignment vertical="center"/>
    </xf>
    <xf numFmtId="0" fontId="42" fillId="24" borderId="66" xfId="0" applyFont="1" applyFill="1" applyBorder="1">
      <alignment vertical="center"/>
    </xf>
    <xf numFmtId="0" fontId="44" fillId="7" borderId="65" xfId="0" applyFont="1" applyFill="1" applyBorder="1">
      <alignment vertical="center"/>
    </xf>
    <xf numFmtId="0" fontId="44" fillId="7" borderId="67" xfId="0" applyFont="1" applyFill="1" applyBorder="1">
      <alignment vertical="center"/>
    </xf>
    <xf numFmtId="0" fontId="0" fillId="7" borderId="65" xfId="0" applyFill="1" applyBorder="1">
      <alignment vertical="center"/>
    </xf>
    <xf numFmtId="0" fontId="0" fillId="7" borderId="67" xfId="0" applyFill="1" applyBorder="1">
      <alignment vertical="center"/>
    </xf>
    <xf numFmtId="0" fontId="54" fillId="7" borderId="67" xfId="0" applyFont="1" applyFill="1" applyBorder="1">
      <alignment vertical="center"/>
    </xf>
    <xf numFmtId="0" fontId="44" fillId="7" borderId="13" xfId="0" applyFont="1" applyFill="1" applyBorder="1" applyAlignment="1">
      <alignment horizontal="right" vertical="center"/>
    </xf>
    <xf numFmtId="0" fontId="0" fillId="7" borderId="14" xfId="0" applyFill="1" applyBorder="1">
      <alignment vertical="center"/>
    </xf>
    <xf numFmtId="0" fontId="48" fillId="24" borderId="65" xfId="0" applyFont="1" applyFill="1" applyBorder="1">
      <alignment vertical="center"/>
    </xf>
    <xf numFmtId="38" fontId="38" fillId="0" borderId="66" xfId="138" applyFont="1" applyBorder="1">
      <alignment vertical="center"/>
    </xf>
    <xf numFmtId="0" fontId="32" fillId="28" borderId="0" xfId="0" applyFont="1" applyFill="1">
      <alignment vertical="center"/>
    </xf>
    <xf numFmtId="0" fontId="44" fillId="28" borderId="0" xfId="0" applyFont="1" applyFill="1">
      <alignment vertical="center"/>
    </xf>
    <xf numFmtId="0" fontId="50" fillId="28" borderId="47" xfId="0" applyFont="1" applyFill="1" applyBorder="1">
      <alignment vertical="center"/>
    </xf>
    <xf numFmtId="0" fontId="0" fillId="28" borderId="48" xfId="0" applyFill="1" applyBorder="1">
      <alignment vertical="center"/>
    </xf>
    <xf numFmtId="0" fontId="45" fillId="24" borderId="65" xfId="0" applyFont="1" applyFill="1" applyBorder="1">
      <alignment vertical="center"/>
    </xf>
    <xf numFmtId="0" fontId="45" fillId="24" borderId="67" xfId="0" applyFont="1" applyFill="1" applyBorder="1">
      <alignment vertical="center"/>
    </xf>
    <xf numFmtId="0" fontId="32" fillId="7" borderId="0" xfId="0" applyFont="1" applyFill="1">
      <alignment vertical="center"/>
    </xf>
    <xf numFmtId="0" fontId="45" fillId="7" borderId="0" xfId="0" applyFont="1" applyFill="1" applyBorder="1">
      <alignment vertical="center"/>
    </xf>
    <xf numFmtId="0" fontId="68" fillId="7" borderId="0" xfId="0" applyFont="1" applyFill="1" applyBorder="1">
      <alignment vertical="center"/>
    </xf>
    <xf numFmtId="0" fontId="67" fillId="7" borderId="0" xfId="0" applyFont="1" applyFill="1" applyBorder="1">
      <alignment vertical="center"/>
    </xf>
    <xf numFmtId="0" fontId="32" fillId="7" borderId="0" xfId="0" applyFont="1" applyFill="1" applyBorder="1">
      <alignment vertical="center"/>
    </xf>
    <xf numFmtId="0" fontId="44" fillId="7" borderId="14" xfId="0" applyFont="1" applyFill="1" applyBorder="1">
      <alignment vertical="center"/>
    </xf>
    <xf numFmtId="0" fontId="44" fillId="7" borderId="59" xfId="0" applyFont="1" applyFill="1" applyBorder="1">
      <alignment vertical="center"/>
    </xf>
    <xf numFmtId="0" fontId="86" fillId="7" borderId="0" xfId="0" applyFont="1" applyFill="1" applyAlignment="1">
      <alignment horizontal="center" vertical="center"/>
    </xf>
    <xf numFmtId="0" fontId="48" fillId="7" borderId="0" xfId="0" applyFont="1" applyFill="1" applyBorder="1">
      <alignment vertical="center"/>
    </xf>
    <xf numFmtId="0" fontId="42" fillId="7" borderId="0" xfId="0" applyFont="1" applyFill="1" applyBorder="1">
      <alignment vertical="center"/>
    </xf>
    <xf numFmtId="183" fontId="99" fillId="7" borderId="0" xfId="0" applyNumberFormat="1" applyFont="1" applyFill="1" applyBorder="1">
      <alignment vertical="center"/>
    </xf>
    <xf numFmtId="0" fontId="48" fillId="7" borderId="0" xfId="0" applyFont="1" applyFill="1">
      <alignment vertical="center"/>
    </xf>
    <xf numFmtId="183" fontId="48" fillId="7" borderId="0" xfId="0" applyNumberFormat="1" applyFont="1" applyFill="1">
      <alignment vertical="center"/>
    </xf>
    <xf numFmtId="0" fontId="48" fillId="0" borderId="0" xfId="0" applyFont="1">
      <alignment vertical="center"/>
    </xf>
    <xf numFmtId="0" fontId="45" fillId="24" borderId="66" xfId="0" applyFont="1" applyFill="1" applyBorder="1">
      <alignment vertical="center"/>
    </xf>
    <xf numFmtId="38" fontId="35" fillId="0" borderId="66" xfId="138" applyFont="1" applyBorder="1">
      <alignment vertical="center"/>
    </xf>
    <xf numFmtId="0" fontId="42" fillId="0" borderId="0" xfId="0" applyFont="1">
      <alignment vertical="center"/>
    </xf>
    <xf numFmtId="38" fontId="48" fillId="0" borderId="0" xfId="138" applyFont="1">
      <alignment vertical="center"/>
    </xf>
    <xf numFmtId="182" fontId="48" fillId="0" borderId="0" xfId="0" applyNumberFormat="1" applyFont="1">
      <alignment vertical="center"/>
    </xf>
    <xf numFmtId="181" fontId="48" fillId="0" borderId="0" xfId="0" applyNumberFormat="1" applyFont="1">
      <alignment vertical="center"/>
    </xf>
    <xf numFmtId="38" fontId="0" fillId="7" borderId="65" xfId="138" applyFont="1" applyFill="1" applyBorder="1">
      <alignment vertical="center"/>
    </xf>
    <xf numFmtId="0" fontId="42" fillId="7" borderId="0" xfId="0" applyFont="1" applyFill="1">
      <alignment vertical="center"/>
    </xf>
    <xf numFmtId="0" fontId="29" fillId="7" borderId="0" xfId="0" applyFont="1" applyFill="1" applyAlignment="1">
      <alignment horizontal="right" vertical="center"/>
    </xf>
    <xf numFmtId="0" fontId="101" fillId="7" borderId="0" xfId="0" applyFont="1" applyFill="1">
      <alignment vertical="center"/>
    </xf>
    <xf numFmtId="0" fontId="101" fillId="7" borderId="0" xfId="0" applyFont="1" applyFill="1" applyBorder="1">
      <alignment vertical="center"/>
    </xf>
    <xf numFmtId="0" fontId="0" fillId="0" borderId="0" xfId="0" applyFont="1" applyAlignment="1"/>
    <xf numFmtId="0" fontId="0" fillId="0" borderId="0" xfId="0" applyAlignment="1"/>
    <xf numFmtId="3" fontId="0" fillId="0" borderId="64" xfId="0" applyNumberFormat="1" applyBorder="1">
      <alignment vertical="center"/>
    </xf>
    <xf numFmtId="0" fontId="103" fillId="7" borderId="0" xfId="24" applyFont="1" applyFill="1">
      <alignment vertical="center"/>
    </xf>
    <xf numFmtId="0" fontId="104" fillId="7" borderId="0" xfId="24" applyFont="1" applyFill="1">
      <alignment vertical="center"/>
    </xf>
    <xf numFmtId="0" fontId="104" fillId="7" borderId="0" xfId="24" applyFont="1" applyFill="1" applyBorder="1">
      <alignment vertical="center"/>
    </xf>
    <xf numFmtId="0" fontId="105" fillId="40" borderId="0" xfId="141" applyFont="1" applyFill="1" applyAlignment="1">
      <alignment horizontal="left"/>
    </xf>
    <xf numFmtId="0" fontId="106" fillId="41" borderId="0" xfId="24" applyFont="1" applyFill="1">
      <alignment vertical="center"/>
    </xf>
    <xf numFmtId="0" fontId="104" fillId="7" borderId="14" xfId="24" applyFont="1" applyFill="1" applyBorder="1">
      <alignment vertical="center"/>
    </xf>
    <xf numFmtId="0" fontId="104" fillId="7" borderId="0" xfId="140" applyNumberFormat="1" applyFont="1" applyFill="1">
      <alignment vertical="center"/>
    </xf>
    <xf numFmtId="0" fontId="104" fillId="7" borderId="0" xfId="140" quotePrefix="1" applyNumberFormat="1" applyFont="1" applyFill="1" applyAlignment="1"/>
    <xf numFmtId="177" fontId="104" fillId="7" borderId="0" xfId="140" quotePrefix="1" applyNumberFormat="1" applyFont="1" applyFill="1" applyAlignment="1"/>
    <xf numFmtId="177" fontId="104" fillId="7" borderId="0" xfId="140" applyNumberFormat="1" applyFont="1" applyFill="1" applyAlignment="1"/>
    <xf numFmtId="177" fontId="104" fillId="7" borderId="0" xfId="140" applyNumberFormat="1" applyFont="1" applyFill="1">
      <alignment vertical="center"/>
    </xf>
    <xf numFmtId="0" fontId="104" fillId="7" borderId="0" xfId="24" quotePrefix="1" applyNumberFormat="1" applyFont="1" applyFill="1" applyAlignment="1"/>
    <xf numFmtId="0" fontId="104" fillId="7" borderId="0" xfId="141" applyFont="1" applyFill="1"/>
    <xf numFmtId="0" fontId="104" fillId="42" borderId="0" xfId="141" applyFont="1" applyFill="1"/>
    <xf numFmtId="0" fontId="85" fillId="24" borderId="8" xfId="0" applyFont="1" applyFill="1" applyBorder="1">
      <alignment vertical="center"/>
    </xf>
    <xf numFmtId="0" fontId="85" fillId="24" borderId="13" xfId="0" applyFont="1" applyFill="1" applyBorder="1">
      <alignment vertical="center"/>
    </xf>
    <xf numFmtId="0" fontId="27" fillId="7" borderId="0" xfId="0" applyFont="1" applyFill="1">
      <alignment vertical="center"/>
    </xf>
    <xf numFmtId="0" fontId="104" fillId="7" borderId="0" xfId="0" applyFont="1" applyFill="1">
      <alignment vertical="center"/>
    </xf>
    <xf numFmtId="0" fontId="104" fillId="7" borderId="0" xfId="0" quotePrefix="1" applyNumberFormat="1" applyFont="1" applyFill="1" applyAlignment="1"/>
    <xf numFmtId="0" fontId="104" fillId="7" borderId="0" xfId="0" quotePrefix="1" applyNumberFormat="1" applyFont="1" applyFill="1" applyBorder="1" applyAlignment="1"/>
    <xf numFmtId="0" fontId="104" fillId="7" borderId="14" xfId="0" applyNumberFormat="1" applyFont="1" applyFill="1" applyBorder="1" applyAlignment="1"/>
    <xf numFmtId="11" fontId="104" fillId="7" borderId="0" xfId="0" applyNumberFormat="1" applyFont="1" applyFill="1" applyAlignment="1">
      <alignment horizontal="right" vertical="center"/>
    </xf>
    <xf numFmtId="0" fontId="38" fillId="39" borderId="68" xfId="0" applyFont="1" applyFill="1" applyBorder="1" applyAlignment="1">
      <alignment horizontal="center" vertical="center" wrapText="1"/>
    </xf>
    <xf numFmtId="0" fontId="108" fillId="39" borderId="68" xfId="0" applyFont="1" applyFill="1" applyBorder="1" applyAlignment="1">
      <alignment horizontal="center" vertical="center" wrapText="1"/>
    </xf>
    <xf numFmtId="0" fontId="61" fillId="39" borderId="68" xfId="0" applyFont="1" applyFill="1" applyBorder="1" applyAlignment="1">
      <alignment horizontal="center" vertical="center" wrapText="1"/>
    </xf>
    <xf numFmtId="49" fontId="38" fillId="39" borderId="68" xfId="0" applyNumberFormat="1" applyFont="1" applyFill="1" applyBorder="1">
      <alignment vertical="center"/>
    </xf>
    <xf numFmtId="49" fontId="38" fillId="39" borderId="68" xfId="0" applyNumberFormat="1" applyFont="1" applyFill="1" applyBorder="1" applyAlignment="1">
      <alignment horizontal="center"/>
    </xf>
    <xf numFmtId="0" fontId="38" fillId="39" borderId="68" xfId="0" applyFont="1" applyFill="1" applyBorder="1" applyAlignment="1">
      <alignment horizontal="center"/>
    </xf>
    <xf numFmtId="11" fontId="38" fillId="0" borderId="68" xfId="0" applyNumberFormat="1" applyFont="1" applyBorder="1">
      <alignment vertical="center"/>
    </xf>
    <xf numFmtId="0" fontId="110" fillId="0" borderId="0" xfId="0" applyFont="1" applyBorder="1">
      <alignment vertical="center"/>
    </xf>
    <xf numFmtId="0" fontId="46" fillId="24" borderId="0" xfId="0" applyFont="1" applyFill="1" applyBorder="1">
      <alignment vertical="center"/>
    </xf>
    <xf numFmtId="184" fontId="0" fillId="0" borderId="0" xfId="0" applyNumberFormat="1" applyFont="1" applyAlignment="1"/>
    <xf numFmtId="184" fontId="38" fillId="39" borderId="68" xfId="0" applyNumberFormat="1" applyFont="1" applyFill="1" applyBorder="1" applyAlignment="1">
      <alignment horizontal="center" vertical="center" wrapText="1"/>
    </xf>
    <xf numFmtId="0" fontId="38" fillId="39" borderId="68" xfId="0" applyNumberFormat="1" applyFont="1" applyFill="1" applyBorder="1">
      <alignment vertical="center"/>
    </xf>
    <xf numFmtId="179" fontId="32" fillId="28" borderId="0" xfId="0" applyNumberFormat="1" applyFont="1" applyFill="1" applyAlignment="1">
      <alignment horizontal="center" vertical="center"/>
    </xf>
    <xf numFmtId="0" fontId="32" fillId="7" borderId="68" xfId="0" applyFont="1" applyFill="1" applyBorder="1">
      <alignment vertical="center"/>
    </xf>
    <xf numFmtId="0" fontId="32" fillId="0" borderId="68" xfId="0" applyFont="1" applyBorder="1">
      <alignment vertical="center"/>
    </xf>
    <xf numFmtId="0" fontId="46" fillId="24" borderId="68" xfId="0" applyFont="1" applyFill="1" applyBorder="1">
      <alignment vertical="center"/>
    </xf>
    <xf numFmtId="176" fontId="0" fillId="0" borderId="0" xfId="0" applyNumberFormat="1" applyAlignment="1"/>
    <xf numFmtId="0" fontId="0" fillId="0" borderId="0" xfId="0" applyNumberFormat="1" applyAlignment="1"/>
    <xf numFmtId="184" fontId="0" fillId="0" borderId="0" xfId="0" applyNumberFormat="1" applyAlignment="1"/>
    <xf numFmtId="0" fontId="100" fillId="24" borderId="58" xfId="0" applyFont="1" applyFill="1" applyBorder="1">
      <alignment vertical="center"/>
    </xf>
    <xf numFmtId="49" fontId="44" fillId="39" borderId="68" xfId="0" applyNumberFormat="1" applyFont="1" applyFill="1" applyBorder="1">
      <alignment vertical="center"/>
    </xf>
    <xf numFmtId="38" fontId="32" fillId="7" borderId="0" xfId="138" applyFont="1" applyFill="1">
      <alignment vertical="center"/>
    </xf>
    <xf numFmtId="38" fontId="32" fillId="0" borderId="0" xfId="138" applyFont="1">
      <alignment vertical="center"/>
    </xf>
    <xf numFmtId="185" fontId="32" fillId="7" borderId="0" xfId="138" applyNumberFormat="1" applyFont="1" applyFill="1">
      <alignment vertical="center"/>
    </xf>
    <xf numFmtId="185" fontId="45" fillId="36" borderId="0" xfId="0" applyNumberFormat="1" applyFont="1" applyFill="1" applyAlignment="1">
      <alignment horizontal="center" vertical="center"/>
    </xf>
    <xf numFmtId="185" fontId="32" fillId="0" borderId="0" xfId="138" applyNumberFormat="1" applyFont="1" applyBorder="1">
      <alignment vertical="center"/>
    </xf>
    <xf numFmtId="38" fontId="66" fillId="7" borderId="0" xfId="138" applyFont="1" applyFill="1" applyBorder="1">
      <alignment vertical="center"/>
    </xf>
    <xf numFmtId="0" fontId="79" fillId="24" borderId="68" xfId="0" applyFont="1" applyFill="1" applyBorder="1" applyAlignment="1">
      <alignment horizontal="center" vertical="center"/>
    </xf>
    <xf numFmtId="0" fontId="26" fillId="0" borderId="68" xfId="0" applyFont="1" applyBorder="1">
      <alignment vertical="center"/>
    </xf>
    <xf numFmtId="0" fontId="54" fillId="7" borderId="12" xfId="0" applyFont="1" applyFill="1" applyBorder="1" applyAlignment="1">
      <alignment horizontal="center" vertical="center" wrapText="1"/>
    </xf>
    <xf numFmtId="0" fontId="45" fillId="24" borderId="68" xfId="0" applyFont="1" applyFill="1" applyBorder="1" applyAlignment="1">
      <alignment horizontal="center" vertical="center"/>
    </xf>
    <xf numFmtId="38" fontId="32" fillId="0" borderId="68" xfId="138" applyFont="1" applyBorder="1">
      <alignment vertical="center"/>
    </xf>
    <xf numFmtId="185" fontId="32" fillId="7" borderId="0" xfId="138" applyNumberFormat="1" applyFont="1" applyFill="1" applyBorder="1">
      <alignment vertical="center"/>
    </xf>
    <xf numFmtId="0" fontId="25" fillId="7" borderId="68" xfId="0" applyFont="1" applyFill="1" applyBorder="1" applyAlignment="1">
      <alignment horizontal="center" vertical="center"/>
    </xf>
    <xf numFmtId="179" fontId="32" fillId="7" borderId="0" xfId="0" applyNumberFormat="1" applyFont="1" applyFill="1" applyBorder="1" applyAlignment="1">
      <alignment horizontal="center" vertical="center"/>
    </xf>
    <xf numFmtId="0" fontId="32" fillId="7" borderId="37" xfId="0" applyFont="1" applyFill="1" applyBorder="1">
      <alignment vertical="center"/>
    </xf>
    <xf numFmtId="0" fontId="32" fillId="0" borderId="0" xfId="0" applyFont="1" applyBorder="1">
      <alignment vertical="center"/>
    </xf>
    <xf numFmtId="0" fontId="100" fillId="7" borderId="0" xfId="0" applyFont="1" applyFill="1" applyBorder="1">
      <alignment vertical="center"/>
    </xf>
    <xf numFmtId="185" fontId="45" fillId="36" borderId="0" xfId="0" applyNumberFormat="1" applyFont="1" applyFill="1" applyBorder="1" applyAlignment="1">
      <alignment horizontal="center" vertical="center"/>
    </xf>
    <xf numFmtId="185" fontId="32" fillId="7" borderId="0" xfId="0" applyNumberFormat="1" applyFont="1" applyFill="1" applyBorder="1" applyAlignment="1">
      <alignment horizontal="center" vertical="center"/>
    </xf>
    <xf numFmtId="185" fontId="67" fillId="7" borderId="0" xfId="138" applyNumberFormat="1" applyFont="1" applyFill="1" applyBorder="1">
      <alignment vertical="center"/>
    </xf>
    <xf numFmtId="185" fontId="80" fillId="7" borderId="0" xfId="138" applyNumberFormat="1" applyFont="1" applyFill="1" applyBorder="1">
      <alignment vertical="center"/>
    </xf>
    <xf numFmtId="38" fontId="67" fillId="7" borderId="0" xfId="138" applyFont="1" applyFill="1" applyBorder="1">
      <alignment vertical="center"/>
    </xf>
    <xf numFmtId="0" fontId="46" fillId="7" borderId="0" xfId="0" applyFont="1" applyFill="1" applyBorder="1">
      <alignment vertical="center"/>
    </xf>
    <xf numFmtId="38" fontId="32" fillId="0" borderId="0" xfId="138" applyFont="1" applyBorder="1">
      <alignment vertical="center"/>
    </xf>
    <xf numFmtId="0" fontId="85" fillId="7" borderId="0" xfId="0" applyFont="1" applyFill="1" applyBorder="1">
      <alignment vertical="center"/>
    </xf>
    <xf numFmtId="38" fontId="32" fillId="7" borderId="0" xfId="138" applyFont="1" applyFill="1" applyBorder="1">
      <alignment vertical="center"/>
    </xf>
    <xf numFmtId="0" fontId="101" fillId="7" borderId="0" xfId="0" applyFont="1" applyFill="1" applyBorder="1" applyAlignment="1">
      <alignment vertical="top"/>
    </xf>
    <xf numFmtId="0" fontId="24" fillId="0" borderId="0" xfId="0" applyFont="1">
      <alignment vertical="center"/>
    </xf>
    <xf numFmtId="0" fontId="79" fillId="7" borderId="0" xfId="0" applyFont="1" applyFill="1" applyBorder="1">
      <alignment vertical="center"/>
    </xf>
    <xf numFmtId="38" fontId="80" fillId="7" borderId="0" xfId="138" applyFont="1" applyFill="1" applyBorder="1">
      <alignment vertical="center"/>
    </xf>
    <xf numFmtId="0" fontId="24" fillId="7" borderId="0" xfId="0" applyFont="1" applyFill="1">
      <alignment vertical="center"/>
    </xf>
    <xf numFmtId="0" fontId="111" fillId="24" borderId="37" xfId="0" applyFont="1" applyFill="1" applyBorder="1" applyAlignment="1">
      <alignment horizontal="left" vertical="center"/>
    </xf>
    <xf numFmtId="0" fontId="111" fillId="24" borderId="1" xfId="0" applyFont="1" applyFill="1" applyBorder="1" applyAlignment="1">
      <alignment horizontal="left" vertical="center"/>
    </xf>
    <xf numFmtId="0" fontId="111" fillId="24" borderId="68" xfId="0" applyFont="1" applyFill="1" applyBorder="1" applyAlignment="1">
      <alignment horizontal="left" vertical="center"/>
    </xf>
    <xf numFmtId="40" fontId="111" fillId="0" borderId="68" xfId="138" applyNumberFormat="1" applyFont="1" applyBorder="1" applyAlignment="1">
      <alignment horizontal="left" vertical="center"/>
    </xf>
    <xf numFmtId="0" fontId="111" fillId="24" borderId="45" xfId="0" applyFont="1" applyFill="1" applyBorder="1" applyAlignment="1">
      <alignment horizontal="left" vertical="center"/>
    </xf>
    <xf numFmtId="0" fontId="111" fillId="24" borderId="46" xfId="0" applyFont="1" applyFill="1" applyBorder="1" applyAlignment="1">
      <alignment horizontal="left" vertical="center"/>
    </xf>
    <xf numFmtId="38" fontId="32" fillId="7" borderId="0" xfId="0" applyNumberFormat="1" applyFont="1" applyFill="1">
      <alignment vertical="center"/>
    </xf>
    <xf numFmtId="185" fontId="24" fillId="7" borderId="0" xfId="138" applyNumberFormat="1" applyFont="1" applyFill="1">
      <alignment vertical="center"/>
    </xf>
    <xf numFmtId="0" fontId="32" fillId="28" borderId="68" xfId="0" applyFont="1" applyFill="1" applyBorder="1">
      <alignment vertical="center"/>
    </xf>
    <xf numFmtId="0" fontId="67" fillId="28" borderId="68" xfId="0" applyFont="1" applyFill="1" applyBorder="1" applyAlignment="1">
      <alignment horizontal="center" vertical="center"/>
    </xf>
    <xf numFmtId="0" fontId="24" fillId="28" borderId="68" xfId="0" applyFont="1" applyFill="1" applyBorder="1">
      <alignment vertical="center"/>
    </xf>
    <xf numFmtId="38" fontId="32" fillId="7" borderId="68" xfId="138" applyFont="1" applyFill="1" applyBorder="1">
      <alignment vertical="center"/>
    </xf>
    <xf numFmtId="0" fontId="32" fillId="28" borderId="0" xfId="0" applyFont="1" applyFill="1" applyBorder="1">
      <alignment vertical="center"/>
    </xf>
    <xf numFmtId="0" fontId="24" fillId="7" borderId="0" xfId="0" applyFont="1" applyFill="1" applyBorder="1">
      <alignment vertical="center"/>
    </xf>
    <xf numFmtId="185" fontId="45" fillId="36" borderId="0" xfId="0" applyNumberFormat="1" applyFont="1" applyFill="1" applyBorder="1" applyAlignment="1">
      <alignment horizontal="left" vertical="center"/>
    </xf>
    <xf numFmtId="38" fontId="23" fillId="0" borderId="1" xfId="138" applyFont="1" applyFill="1" applyBorder="1" applyAlignment="1">
      <alignment horizontal="center" vertical="center"/>
    </xf>
    <xf numFmtId="38" fontId="23" fillId="0" borderId="68" xfId="138" applyFont="1" applyFill="1" applyBorder="1" applyAlignment="1">
      <alignment horizontal="center" vertical="center"/>
    </xf>
    <xf numFmtId="0" fontId="23" fillId="0" borderId="68" xfId="0" applyFont="1" applyFill="1" applyBorder="1" applyAlignment="1">
      <alignment horizontal="center" vertical="center"/>
    </xf>
    <xf numFmtId="0" fontId="0" fillId="0" borderId="0" xfId="0" applyFont="1">
      <alignment vertical="center"/>
    </xf>
    <xf numFmtId="0" fontId="113" fillId="0" borderId="0" xfId="0" applyFont="1">
      <alignment vertical="center"/>
    </xf>
    <xf numFmtId="0" fontId="114" fillId="0" borderId="0" xfId="0" applyFont="1">
      <alignment vertical="center"/>
    </xf>
    <xf numFmtId="0" fontId="115" fillId="0" borderId="0" xfId="0" applyFont="1">
      <alignment vertical="center"/>
    </xf>
    <xf numFmtId="0" fontId="46" fillId="7" borderId="59" xfId="0" applyFont="1" applyFill="1" applyBorder="1">
      <alignment vertical="center"/>
    </xf>
    <xf numFmtId="0" fontId="46" fillId="7" borderId="60" xfId="0" applyFont="1" applyFill="1" applyBorder="1">
      <alignment vertical="center"/>
    </xf>
    <xf numFmtId="0" fontId="46" fillId="7" borderId="44" xfId="0" applyFont="1" applyFill="1" applyBorder="1">
      <alignment vertical="center"/>
    </xf>
    <xf numFmtId="0" fontId="46" fillId="7" borderId="14" xfId="0" applyFont="1" applyFill="1" applyBorder="1">
      <alignment vertical="center"/>
    </xf>
    <xf numFmtId="185" fontId="23" fillId="7" borderId="0" xfId="138" applyNumberFormat="1" applyFont="1" applyFill="1">
      <alignment vertical="center"/>
    </xf>
    <xf numFmtId="0" fontId="23" fillId="43" borderId="66" xfId="0" applyFont="1" applyFill="1" applyBorder="1" applyAlignment="1">
      <alignment horizontal="center" vertical="center"/>
    </xf>
    <xf numFmtId="0" fontId="67" fillId="43" borderId="66" xfId="0" applyFont="1" applyFill="1" applyBorder="1">
      <alignment vertical="center"/>
    </xf>
    <xf numFmtId="0" fontId="67" fillId="43" borderId="13" xfId="0" applyFont="1" applyFill="1" applyBorder="1">
      <alignment vertical="center"/>
    </xf>
    <xf numFmtId="0" fontId="46" fillId="7" borderId="8" xfId="0" applyFont="1" applyFill="1" applyBorder="1" applyAlignment="1">
      <alignment vertical="center"/>
    </xf>
    <xf numFmtId="0" fontId="46" fillId="7" borderId="44" xfId="0" applyFont="1" applyFill="1" applyBorder="1" applyAlignment="1">
      <alignment vertical="center"/>
    </xf>
    <xf numFmtId="186" fontId="54" fillId="6" borderId="68" xfId="138" applyNumberFormat="1" applyFont="1" applyFill="1" applyBorder="1">
      <alignment vertical="center"/>
    </xf>
    <xf numFmtId="0" fontId="54" fillId="6" borderId="68" xfId="0" applyFont="1" applyFill="1" applyBorder="1">
      <alignment vertical="center"/>
    </xf>
    <xf numFmtId="0" fontId="79" fillId="24" borderId="66" xfId="0" applyFont="1" applyFill="1" applyBorder="1" applyAlignment="1">
      <alignment horizontal="center" vertical="center"/>
    </xf>
    <xf numFmtId="0" fontId="45" fillId="24" borderId="60" xfId="0" applyFont="1" applyFill="1" applyBorder="1" applyAlignment="1">
      <alignment vertical="center" wrapText="1"/>
    </xf>
    <xf numFmtId="0" fontId="45" fillId="24" borderId="43" xfId="0" applyFont="1" applyFill="1" applyBorder="1" applyAlignment="1">
      <alignment vertical="center" wrapText="1"/>
    </xf>
    <xf numFmtId="0" fontId="45" fillId="24" borderId="60" xfId="0" applyFont="1" applyFill="1" applyBorder="1" applyAlignment="1">
      <alignment vertical="center" wrapText="1"/>
    </xf>
    <xf numFmtId="0" fontId="45" fillId="24" borderId="43" xfId="0" applyFont="1" applyFill="1" applyBorder="1" applyAlignment="1">
      <alignment vertical="center" wrapText="1"/>
    </xf>
    <xf numFmtId="0" fontId="48" fillId="4" borderId="0" xfId="0" applyFont="1" applyFill="1" applyAlignment="1">
      <alignment vertical="center"/>
    </xf>
    <xf numFmtId="0" fontId="42" fillId="4" borderId="0" xfId="0" applyFont="1" applyFill="1" applyAlignment="1">
      <alignment vertical="center"/>
    </xf>
    <xf numFmtId="0" fontId="86" fillId="7" borderId="0" xfId="0" applyFont="1" applyFill="1" applyBorder="1" applyAlignment="1">
      <alignment horizontal="center" vertical="center" wrapText="1"/>
    </xf>
    <xf numFmtId="0" fontId="44" fillId="7" borderId="0" xfId="0" applyFont="1" applyFill="1" applyBorder="1">
      <alignment vertical="center"/>
    </xf>
    <xf numFmtId="0" fontId="0" fillId="7" borderId="0" xfId="0" applyFill="1" applyBorder="1">
      <alignment vertical="center"/>
    </xf>
    <xf numFmtId="0" fontId="54" fillId="7" borderId="0" xfId="0" applyFont="1" applyFill="1" applyBorder="1">
      <alignment vertical="center"/>
    </xf>
    <xf numFmtId="0" fontId="89" fillId="7" borderId="0" xfId="0" applyFont="1" applyFill="1" applyBorder="1" applyAlignment="1">
      <alignment horizontal="center" vertical="center" shrinkToFit="1"/>
    </xf>
    <xf numFmtId="0" fontId="48" fillId="7" borderId="0" xfId="0" applyFont="1" applyFill="1" applyAlignment="1">
      <alignment vertical="center"/>
    </xf>
    <xf numFmtId="0" fontId="48" fillId="7" borderId="0" xfId="0" applyFont="1" applyFill="1" applyAlignment="1">
      <alignment horizontal="center" vertical="center"/>
    </xf>
    <xf numFmtId="38" fontId="38" fillId="7" borderId="0" xfId="0" applyNumberFormat="1" applyFont="1" applyFill="1" applyBorder="1">
      <alignment vertical="center"/>
    </xf>
    <xf numFmtId="0" fontId="42" fillId="24" borderId="68" xfId="0" applyFont="1" applyFill="1" applyBorder="1" applyAlignment="1">
      <alignment horizontal="center" vertical="center"/>
    </xf>
    <xf numFmtId="0" fontId="0" fillId="7" borderId="68" xfId="0" applyFill="1" applyBorder="1" applyAlignment="1">
      <alignment horizontal="center" vertical="center"/>
    </xf>
    <xf numFmtId="0" fontId="0" fillId="7" borderId="68" xfId="0" applyFill="1" applyBorder="1" applyAlignment="1">
      <alignment horizontal="center" vertical="center" shrinkToFit="1"/>
    </xf>
    <xf numFmtId="0" fontId="44" fillId="7" borderId="68" xfId="0" applyFont="1" applyFill="1" applyBorder="1" applyAlignment="1">
      <alignment horizontal="center" vertical="center"/>
    </xf>
    <xf numFmtId="0" fontId="44" fillId="7" borderId="68" xfId="0" applyFont="1" applyFill="1" applyBorder="1" applyAlignment="1">
      <alignment horizontal="center" vertical="center" shrinkToFit="1"/>
    </xf>
    <xf numFmtId="0" fontId="42" fillId="24" borderId="68" xfId="0" applyFont="1" applyFill="1" applyBorder="1">
      <alignment vertical="center"/>
    </xf>
    <xf numFmtId="0" fontId="0" fillId="0" borderId="68" xfId="0" applyBorder="1" applyAlignment="1">
      <alignment horizontal="center" vertical="center"/>
    </xf>
    <xf numFmtId="0" fontId="0" fillId="0" borderId="68" xfId="0" applyBorder="1" applyAlignment="1">
      <alignment horizontal="center" vertical="center" shrinkToFit="1"/>
    </xf>
    <xf numFmtId="0" fontId="44" fillId="0" borderId="68" xfId="0" applyFont="1" applyBorder="1" applyAlignment="1">
      <alignment horizontal="center" vertical="center"/>
    </xf>
    <xf numFmtId="0" fontId="44" fillId="0" borderId="68" xfId="0" applyFont="1" applyBorder="1" applyAlignment="1">
      <alignment horizontal="center" vertical="center" shrinkToFit="1"/>
    </xf>
    <xf numFmtId="0" fontId="0" fillId="7" borderId="68" xfId="0" applyFill="1" applyBorder="1">
      <alignment vertical="center"/>
    </xf>
    <xf numFmtId="0" fontId="45" fillId="7" borderId="0" xfId="0" applyFont="1" applyFill="1" applyBorder="1" applyAlignment="1">
      <alignment horizontal="center" vertical="center"/>
    </xf>
    <xf numFmtId="38" fontId="21" fillId="0" borderId="1" xfId="138" applyFont="1" applyFill="1" applyBorder="1" applyAlignment="1">
      <alignment horizontal="center" vertical="center"/>
    </xf>
    <xf numFmtId="0" fontId="21" fillId="0" borderId="66" xfId="0" applyFont="1" applyFill="1" applyBorder="1" applyAlignment="1">
      <alignment horizontal="center" vertical="center"/>
    </xf>
    <xf numFmtId="0" fontId="21" fillId="0" borderId="68" xfId="0" applyFont="1" applyFill="1" applyBorder="1" applyAlignment="1">
      <alignment horizontal="center" vertical="center"/>
    </xf>
    <xf numFmtId="0" fontId="20" fillId="0" borderId="68" xfId="0" applyFont="1" applyBorder="1">
      <alignment vertical="center"/>
    </xf>
    <xf numFmtId="0" fontId="25" fillId="7" borderId="68" xfId="0" applyFont="1" applyFill="1" applyBorder="1" applyAlignment="1">
      <alignment horizontal="center" vertical="center" wrapText="1"/>
    </xf>
    <xf numFmtId="0" fontId="0" fillId="7" borderId="0" xfId="0" applyFill="1" applyAlignment="1">
      <alignment vertical="center" wrapText="1"/>
    </xf>
    <xf numFmtId="0" fontId="48" fillId="24" borderId="57" xfId="0" applyFont="1" applyFill="1" applyBorder="1" applyAlignment="1">
      <alignment vertical="center" wrapText="1"/>
    </xf>
    <xf numFmtId="0" fontId="0" fillId="0" borderId="0" xfId="0" applyAlignment="1">
      <alignment vertical="center" wrapText="1"/>
    </xf>
    <xf numFmtId="177" fontId="32" fillId="7" borderId="0" xfId="138" applyNumberFormat="1" applyFont="1" applyFill="1">
      <alignment vertical="center"/>
    </xf>
    <xf numFmtId="177" fontId="0" fillId="7" borderId="0" xfId="138" applyNumberFormat="1" applyFont="1" applyFill="1">
      <alignment vertical="center"/>
    </xf>
    <xf numFmtId="177" fontId="32" fillId="7" borderId="0" xfId="138" applyNumberFormat="1" applyFont="1" applyFill="1" applyBorder="1">
      <alignment vertical="center"/>
    </xf>
    <xf numFmtId="177" fontId="93" fillId="7" borderId="0" xfId="138" applyNumberFormat="1" applyFont="1" applyFill="1" applyBorder="1">
      <alignment vertical="center"/>
    </xf>
    <xf numFmtId="177" fontId="101" fillId="7" borderId="0" xfId="138" applyNumberFormat="1" applyFont="1" applyFill="1" applyBorder="1">
      <alignment vertical="center"/>
    </xf>
    <xf numFmtId="177" fontId="31" fillId="7" borderId="0" xfId="138" applyNumberFormat="1" applyFont="1" applyFill="1">
      <alignment vertical="center"/>
    </xf>
    <xf numFmtId="177" fontId="32" fillId="0" borderId="0" xfId="138" applyNumberFormat="1" applyFont="1">
      <alignment vertical="center"/>
    </xf>
    <xf numFmtId="3" fontId="38" fillId="7" borderId="0" xfId="0" applyNumberFormat="1" applyFont="1" applyFill="1">
      <alignment vertical="center"/>
    </xf>
    <xf numFmtId="0" fontId="110" fillId="0" borderId="0" xfId="0" applyFont="1">
      <alignment vertical="center"/>
    </xf>
    <xf numFmtId="185" fontId="110" fillId="0" borderId="0" xfId="138" applyNumberFormat="1" applyFont="1" applyBorder="1">
      <alignment vertical="center"/>
    </xf>
    <xf numFmtId="0" fontId="79" fillId="7" borderId="0" xfId="0" applyFont="1" applyFill="1">
      <alignment vertical="center"/>
    </xf>
    <xf numFmtId="179" fontId="110" fillId="7" borderId="68" xfId="0" applyNumberFormat="1" applyFont="1" applyFill="1" applyBorder="1" applyAlignment="1">
      <alignment horizontal="center" vertical="center" wrapText="1"/>
    </xf>
    <xf numFmtId="0" fontId="118" fillId="7" borderId="0" xfId="0" applyFont="1" applyFill="1" applyBorder="1">
      <alignment vertical="center"/>
    </xf>
    <xf numFmtId="0" fontId="110" fillId="7" borderId="0" xfId="0" applyFont="1" applyFill="1">
      <alignment vertical="center"/>
    </xf>
    <xf numFmtId="0" fontId="45" fillId="24" borderId="44" xfId="0" applyFont="1" applyFill="1" applyBorder="1" applyAlignment="1">
      <alignment vertical="center"/>
    </xf>
    <xf numFmtId="0" fontId="45" fillId="24" borderId="43" xfId="0" applyFont="1" applyFill="1" applyBorder="1" applyAlignment="1">
      <alignment vertical="center"/>
    </xf>
    <xf numFmtId="0" fontId="45" fillId="24" borderId="8" xfId="0" applyFont="1" applyFill="1" applyBorder="1" applyAlignment="1">
      <alignment vertical="center"/>
    </xf>
    <xf numFmtId="0" fontId="45" fillId="24" borderId="13" xfId="0" applyFont="1" applyFill="1" applyBorder="1" applyAlignment="1">
      <alignment vertical="center"/>
    </xf>
    <xf numFmtId="0" fontId="45" fillId="24" borderId="58" xfId="0" applyFont="1" applyFill="1" applyBorder="1">
      <alignment vertical="center"/>
    </xf>
    <xf numFmtId="0" fontId="45" fillId="24" borderId="60" xfId="0" applyFont="1" applyFill="1" applyBorder="1">
      <alignment vertical="center"/>
    </xf>
    <xf numFmtId="0" fontId="32" fillId="24" borderId="43" xfId="0" applyFont="1" applyFill="1" applyBorder="1">
      <alignment vertical="center"/>
    </xf>
    <xf numFmtId="0" fontId="35" fillId="0" borderId="0" xfId="24" quotePrefix="1" applyNumberFormat="1" applyFont="1" applyFill="1" applyBorder="1" applyAlignment="1">
      <alignment horizontal="left"/>
    </xf>
    <xf numFmtId="0" fontId="38" fillId="0" borderId="0" xfId="0" applyFont="1" applyBorder="1">
      <alignment vertical="center"/>
    </xf>
    <xf numFmtId="0" fontId="0" fillId="0" borderId="68" xfId="0" applyBorder="1" applyAlignment="1">
      <alignment vertical="center" wrapText="1"/>
    </xf>
    <xf numFmtId="0" fontId="0" fillId="0" borderId="68" xfId="0" applyFill="1" applyBorder="1" applyAlignment="1">
      <alignment vertical="center" wrapText="1"/>
    </xf>
    <xf numFmtId="0" fontId="0" fillId="7" borderId="68" xfId="0" applyFill="1" applyBorder="1" applyAlignment="1">
      <alignment vertical="center" wrapText="1"/>
    </xf>
    <xf numFmtId="0" fontId="0" fillId="0" borderId="68" xfId="0" applyBorder="1">
      <alignment vertical="center"/>
    </xf>
    <xf numFmtId="0" fontId="44" fillId="7" borderId="43" xfId="0" applyFont="1" applyFill="1" applyBorder="1">
      <alignment vertical="center"/>
    </xf>
    <xf numFmtId="0" fontId="44" fillId="7" borderId="68" xfId="0" applyFont="1" applyFill="1" applyBorder="1" applyAlignment="1">
      <alignment vertical="center" wrapText="1"/>
    </xf>
    <xf numFmtId="0" fontId="45" fillId="24" borderId="76" xfId="0" applyFont="1" applyFill="1" applyBorder="1" applyAlignment="1">
      <alignment vertical="center" wrapText="1"/>
    </xf>
    <xf numFmtId="0" fontId="122" fillId="0" borderId="68" xfId="0" applyFont="1" applyBorder="1" applyAlignment="1">
      <alignment vertical="center" shrinkToFit="1"/>
    </xf>
    <xf numFmtId="38" fontId="46" fillId="7" borderId="0" xfId="138" applyFont="1" applyFill="1" applyBorder="1">
      <alignment vertical="center"/>
    </xf>
    <xf numFmtId="0" fontId="0" fillId="7" borderId="44" xfId="0" applyFill="1" applyBorder="1">
      <alignment vertical="center"/>
    </xf>
    <xf numFmtId="183" fontId="123" fillId="0" borderId="66" xfId="138" applyNumberFormat="1" applyFont="1" applyBorder="1">
      <alignment vertical="center"/>
    </xf>
    <xf numFmtId="9" fontId="111" fillId="0" borderId="68" xfId="1" applyFont="1" applyBorder="1">
      <alignment vertical="center"/>
    </xf>
    <xf numFmtId="185" fontId="46" fillId="7" borderId="0" xfId="138" applyNumberFormat="1" applyFont="1" applyFill="1">
      <alignment vertical="center"/>
    </xf>
    <xf numFmtId="9" fontId="111" fillId="7" borderId="0" xfId="1" applyFont="1" applyFill="1" applyBorder="1">
      <alignment vertical="center"/>
    </xf>
    <xf numFmtId="38" fontId="46" fillId="7" borderId="81" xfId="138" applyFont="1" applyFill="1" applyBorder="1">
      <alignment vertical="center"/>
    </xf>
    <xf numFmtId="38" fontId="46" fillId="7" borderId="82" xfId="138" applyFont="1" applyFill="1" applyBorder="1">
      <alignment vertical="center"/>
    </xf>
    <xf numFmtId="0" fontId="32" fillId="7" borderId="76" xfId="0" applyFont="1" applyFill="1" applyBorder="1">
      <alignment vertical="center"/>
    </xf>
    <xf numFmtId="0" fontId="0" fillId="0" borderId="0" xfId="0" applyBorder="1">
      <alignment vertical="center"/>
    </xf>
    <xf numFmtId="0" fontId="0" fillId="0" borderId="80" xfId="0" applyBorder="1">
      <alignment vertical="center"/>
    </xf>
    <xf numFmtId="38" fontId="21" fillId="0" borderId="84" xfId="138" applyFont="1" applyFill="1" applyBorder="1" applyAlignment="1">
      <alignment horizontal="center" vertical="center"/>
    </xf>
    <xf numFmtId="38" fontId="21" fillId="7" borderId="0" xfId="138" applyFont="1" applyFill="1" applyBorder="1" applyAlignment="1">
      <alignment horizontal="center" vertical="center"/>
    </xf>
    <xf numFmtId="0" fontId="21" fillId="7" borderId="0" xfId="0" applyFont="1" applyFill="1" applyBorder="1" applyAlignment="1">
      <alignment horizontal="center" vertical="center"/>
    </xf>
    <xf numFmtId="38" fontId="82" fillId="7" borderId="0" xfId="138" applyFont="1" applyFill="1" applyBorder="1">
      <alignment vertical="center"/>
    </xf>
    <xf numFmtId="0" fontId="26" fillId="7" borderId="0" xfId="0" applyFont="1" applyFill="1" applyBorder="1">
      <alignment vertical="center"/>
    </xf>
    <xf numFmtId="0" fontId="54" fillId="7" borderId="0" xfId="0" applyFont="1" applyFill="1" applyBorder="1" applyAlignment="1">
      <alignment horizontal="left" vertical="center"/>
    </xf>
    <xf numFmtId="0" fontId="93" fillId="7" borderId="0" xfId="0" applyFont="1" applyFill="1" applyBorder="1" applyAlignment="1">
      <alignment horizontal="left" vertical="center"/>
    </xf>
    <xf numFmtId="0" fontId="17" fillId="0" borderId="66" xfId="0" applyFont="1" applyFill="1" applyBorder="1" applyAlignment="1">
      <alignment horizontal="center" vertical="center"/>
    </xf>
    <xf numFmtId="38" fontId="17" fillId="0" borderId="1" xfId="138" applyFont="1" applyFill="1" applyBorder="1" applyAlignment="1">
      <alignment horizontal="center" vertical="center"/>
    </xf>
    <xf numFmtId="0" fontId="32" fillId="0" borderId="83" xfId="0" applyFont="1" applyBorder="1">
      <alignment vertical="center"/>
    </xf>
    <xf numFmtId="0" fontId="24" fillId="0" borderId="83" xfId="0" applyFont="1" applyBorder="1">
      <alignment vertical="center"/>
    </xf>
    <xf numFmtId="0" fontId="46" fillId="0" borderId="84" xfId="0" applyFont="1" applyFill="1" applyBorder="1" applyAlignment="1">
      <alignment vertical="center" shrinkToFit="1"/>
    </xf>
    <xf numFmtId="186" fontId="111" fillId="7" borderId="0" xfId="138" applyNumberFormat="1" applyFont="1" applyFill="1" applyBorder="1" applyAlignment="1">
      <alignment horizontal="center" vertical="center"/>
    </xf>
    <xf numFmtId="183" fontId="49" fillId="7" borderId="0" xfId="0" applyNumberFormat="1" applyFont="1" applyFill="1" applyBorder="1">
      <alignment vertical="center"/>
    </xf>
    <xf numFmtId="186" fontId="48" fillId="7" borderId="0" xfId="0" applyNumberFormat="1" applyFont="1" applyFill="1">
      <alignment vertical="center"/>
    </xf>
    <xf numFmtId="187" fontId="48" fillId="7" borderId="0" xfId="0" applyNumberFormat="1" applyFont="1" applyFill="1">
      <alignment vertical="center"/>
    </xf>
    <xf numFmtId="0" fontId="44" fillId="7" borderId="89" xfId="0" applyFont="1" applyFill="1" applyBorder="1">
      <alignment vertical="center"/>
    </xf>
    <xf numFmtId="0" fontId="0" fillId="7" borderId="89" xfId="0" applyFont="1" applyFill="1" applyBorder="1">
      <alignment vertical="center"/>
    </xf>
    <xf numFmtId="186" fontId="0" fillId="7" borderId="89" xfId="0" applyNumberFormat="1" applyFont="1" applyFill="1" applyBorder="1">
      <alignment vertical="center"/>
    </xf>
    <xf numFmtId="189" fontId="0" fillId="7" borderId="89" xfId="0" applyNumberFormat="1" applyFont="1" applyFill="1" applyBorder="1">
      <alignment vertical="center"/>
    </xf>
    <xf numFmtId="183" fontId="0" fillId="7" borderId="89" xfId="0" applyNumberFormat="1" applyFont="1" applyFill="1" applyBorder="1">
      <alignment vertical="center"/>
    </xf>
    <xf numFmtId="38" fontId="16" fillId="0" borderId="1" xfId="138" applyFont="1" applyFill="1" applyBorder="1" applyAlignment="1">
      <alignment horizontal="center" vertical="center"/>
    </xf>
    <xf numFmtId="0" fontId="16" fillId="0" borderId="66" xfId="0" applyFont="1" applyFill="1" applyBorder="1" applyAlignment="1">
      <alignment horizontal="center" vertical="center"/>
    </xf>
    <xf numFmtId="38" fontId="32" fillId="28" borderId="0" xfId="138" applyFont="1" applyFill="1">
      <alignment vertical="center"/>
    </xf>
    <xf numFmtId="0" fontId="81" fillId="28" borderId="0" xfId="0" applyFont="1" applyFill="1" applyBorder="1" applyAlignment="1">
      <alignment horizontal="center" vertical="center"/>
    </xf>
    <xf numFmtId="177" fontId="32" fillId="28" borderId="0" xfId="138" applyNumberFormat="1" applyFont="1" applyFill="1">
      <alignment vertical="center"/>
    </xf>
    <xf numFmtId="185" fontId="32" fillId="28" borderId="0" xfId="138" applyNumberFormat="1" applyFont="1" applyFill="1">
      <alignment vertical="center"/>
    </xf>
    <xf numFmtId="0" fontId="48" fillId="28" borderId="0" xfId="0" applyFont="1" applyFill="1" applyAlignment="1">
      <alignment vertical="center"/>
    </xf>
    <xf numFmtId="0" fontId="45" fillId="28" borderId="0" xfId="0" applyFont="1" applyFill="1" applyAlignment="1">
      <alignment vertical="center"/>
    </xf>
    <xf numFmtId="0" fontId="110" fillId="7" borderId="64" xfId="0" applyFont="1" applyFill="1" applyBorder="1" applyAlignment="1">
      <alignment horizontal="center" vertical="center"/>
    </xf>
    <xf numFmtId="0" fontId="45" fillId="24" borderId="90" xfId="0" applyFont="1" applyFill="1" applyBorder="1" applyAlignment="1">
      <alignment horizontal="center" vertical="center" wrapText="1"/>
    </xf>
    <xf numFmtId="0" fontId="0" fillId="28" borderId="0" xfId="0" applyFill="1" applyAlignment="1">
      <alignment vertical="center" wrapText="1"/>
    </xf>
    <xf numFmtId="0" fontId="44" fillId="7" borderId="97" xfId="0" applyFont="1" applyFill="1" applyBorder="1">
      <alignment vertical="center"/>
    </xf>
    <xf numFmtId="0" fontId="123" fillId="0" borderId="68" xfId="24" quotePrefix="1" applyNumberFormat="1" applyFont="1" applyFill="1" applyBorder="1" applyAlignment="1">
      <alignment horizontal="left"/>
    </xf>
    <xf numFmtId="0" fontId="126" fillId="24" borderId="65" xfId="0" applyFont="1" applyFill="1" applyBorder="1">
      <alignment vertical="center"/>
    </xf>
    <xf numFmtId="0" fontId="126" fillId="24" borderId="67" xfId="0" applyFont="1" applyFill="1" applyBorder="1">
      <alignment vertical="center"/>
    </xf>
    <xf numFmtId="0" fontId="45" fillId="24" borderId="108" xfId="0" applyFont="1" applyFill="1" applyBorder="1">
      <alignment vertical="center"/>
    </xf>
    <xf numFmtId="0" fontId="45" fillId="24" borderId="105" xfId="0" applyFont="1" applyFill="1" applyBorder="1" applyAlignment="1">
      <alignment vertical="center"/>
    </xf>
    <xf numFmtId="0" fontId="45" fillId="24" borderId="0" xfId="0" applyFont="1" applyFill="1" applyBorder="1" applyAlignment="1">
      <alignment vertical="center"/>
    </xf>
    <xf numFmtId="0" fontId="45" fillId="24" borderId="107" xfId="0" applyFont="1" applyFill="1" applyBorder="1">
      <alignment vertical="center"/>
    </xf>
    <xf numFmtId="0" fontId="14" fillId="0" borderId="83" xfId="0" applyFont="1" applyBorder="1">
      <alignment vertical="center"/>
    </xf>
    <xf numFmtId="0" fontId="67" fillId="43" borderId="109" xfId="0" applyFont="1" applyFill="1" applyBorder="1">
      <alignment vertical="center"/>
    </xf>
    <xf numFmtId="38" fontId="0" fillId="0" borderId="0" xfId="0" applyNumberFormat="1">
      <alignment vertical="center"/>
    </xf>
    <xf numFmtId="183" fontId="49" fillId="0" borderId="64" xfId="138" applyNumberFormat="1" applyFont="1" applyBorder="1">
      <alignment vertical="center"/>
    </xf>
    <xf numFmtId="183" fontId="49" fillId="0" borderId="114" xfId="138" applyNumberFormat="1" applyFont="1" applyBorder="1">
      <alignment vertical="center"/>
    </xf>
    <xf numFmtId="0" fontId="46" fillId="24" borderId="114" xfId="0" applyFont="1" applyFill="1" applyBorder="1">
      <alignment vertical="center"/>
    </xf>
    <xf numFmtId="0" fontId="32" fillId="7" borderId="114" xfId="0" applyFont="1" applyFill="1" applyBorder="1">
      <alignment vertical="center"/>
    </xf>
    <xf numFmtId="180" fontId="0" fillId="7" borderId="0" xfId="0" applyNumberFormat="1" applyFill="1">
      <alignment vertical="center"/>
    </xf>
    <xf numFmtId="0" fontId="16" fillId="0" borderId="117" xfId="0" applyFont="1" applyFill="1" applyBorder="1" applyAlignment="1">
      <alignment horizontal="center" vertical="center"/>
    </xf>
    <xf numFmtId="0" fontId="32" fillId="7" borderId="115" xfId="0" applyFont="1" applyFill="1" applyBorder="1">
      <alignment vertical="center"/>
    </xf>
    <xf numFmtId="0" fontId="32" fillId="0" borderId="46" xfId="0" applyFont="1" applyBorder="1">
      <alignment vertical="center"/>
    </xf>
    <xf numFmtId="186" fontId="38" fillId="0" borderId="66" xfId="0" applyNumberFormat="1" applyFont="1" applyBorder="1">
      <alignment vertical="center"/>
    </xf>
    <xf numFmtId="0" fontId="42" fillId="24" borderId="118" xfId="0" applyFont="1" applyFill="1" applyBorder="1">
      <alignment vertical="center"/>
    </xf>
    <xf numFmtId="0" fontId="123" fillId="0" borderId="120" xfId="24" quotePrefix="1" applyNumberFormat="1" applyFont="1" applyFill="1" applyBorder="1" applyAlignment="1">
      <alignment horizontal="left"/>
    </xf>
    <xf numFmtId="0" fontId="44" fillId="0" borderId="68" xfId="24" quotePrefix="1" applyNumberFormat="1" applyFont="1" applyFill="1" applyBorder="1" applyAlignment="1">
      <alignment horizontal="left"/>
    </xf>
    <xf numFmtId="0" fontId="38" fillId="28" borderId="68" xfId="0" applyNumberFormat="1" applyFont="1" applyFill="1" applyBorder="1">
      <alignment vertical="center"/>
    </xf>
    <xf numFmtId="0" fontId="44" fillId="0" borderId="120" xfId="24" quotePrefix="1" applyNumberFormat="1" applyFont="1" applyFill="1" applyBorder="1" applyAlignment="1">
      <alignment horizontal="left"/>
    </xf>
    <xf numFmtId="0" fontId="38" fillId="28" borderId="120" xfId="0" applyNumberFormat="1" applyFont="1" applyFill="1" applyBorder="1">
      <alignment vertical="center"/>
    </xf>
    <xf numFmtId="184" fontId="44" fillId="0" borderId="68" xfId="24" quotePrefix="1" applyNumberFormat="1" applyFont="1" applyFill="1" applyBorder="1" applyAlignment="1">
      <alignment horizontal="left"/>
    </xf>
    <xf numFmtId="40" fontId="0" fillId="0" borderId="0" xfId="0" applyNumberFormat="1">
      <alignment vertical="center"/>
    </xf>
    <xf numFmtId="0" fontId="94" fillId="7" borderId="122" xfId="0" applyFont="1" applyFill="1" applyBorder="1">
      <alignment vertical="center"/>
    </xf>
    <xf numFmtId="0" fontId="44" fillId="7" borderId="124" xfId="0" applyFont="1" applyFill="1" applyBorder="1">
      <alignment vertical="center"/>
    </xf>
    <xf numFmtId="38" fontId="0" fillId="7" borderId="122" xfId="138" applyFont="1" applyFill="1" applyBorder="1">
      <alignment vertical="center"/>
    </xf>
    <xf numFmtId="0" fontId="46" fillId="7" borderId="65" xfId="0" applyFont="1" applyFill="1" applyBorder="1">
      <alignment vertical="center"/>
    </xf>
    <xf numFmtId="0" fontId="44" fillId="0" borderId="124" xfId="0" applyFont="1" applyBorder="1">
      <alignment vertical="center"/>
    </xf>
    <xf numFmtId="38" fontId="38" fillId="0" borderId="122" xfId="138" applyFont="1" applyBorder="1">
      <alignment vertical="center"/>
    </xf>
    <xf numFmtId="0" fontId="46" fillId="0" borderId="124" xfId="0" applyFont="1" applyBorder="1">
      <alignment vertical="center"/>
    </xf>
    <xf numFmtId="179" fontId="46" fillId="28" borderId="68" xfId="0" applyNumberFormat="1" applyFont="1" applyFill="1" applyBorder="1" applyAlignment="1">
      <alignment horizontal="left" vertical="center" shrinkToFit="1"/>
    </xf>
    <xf numFmtId="0" fontId="46" fillId="0" borderId="68" xfId="0" applyFont="1" applyBorder="1" applyAlignment="1">
      <alignment horizontal="left" vertical="center" shrinkToFit="1"/>
    </xf>
    <xf numFmtId="179" fontId="46" fillId="28" borderId="0" xfId="0" applyNumberFormat="1" applyFont="1" applyFill="1" applyBorder="1" applyAlignment="1">
      <alignment horizontal="left" vertical="center" shrinkToFit="1"/>
    </xf>
    <xf numFmtId="0" fontId="44" fillId="7" borderId="128" xfId="0" applyFont="1" applyFill="1" applyBorder="1">
      <alignment vertical="center"/>
    </xf>
    <xf numFmtId="40" fontId="69" fillId="7" borderId="0" xfId="0" applyNumberFormat="1" applyFont="1" applyFill="1" applyBorder="1">
      <alignment vertical="center"/>
    </xf>
    <xf numFmtId="0" fontId="42" fillId="24" borderId="127" xfId="0" applyFont="1" applyFill="1" applyBorder="1">
      <alignment vertical="center"/>
    </xf>
    <xf numFmtId="0" fontId="49" fillId="7" borderId="0" xfId="0" applyFont="1" applyFill="1" applyBorder="1" applyAlignment="1">
      <alignment horizontal="right" vertical="center"/>
    </xf>
    <xf numFmtId="40" fontId="0" fillId="7" borderId="0" xfId="0" applyNumberFormat="1" applyFill="1" applyBorder="1" applyAlignment="1">
      <alignment horizontal="right" vertical="center"/>
    </xf>
    <xf numFmtId="0" fontId="0" fillId="7" borderId="0" xfId="0" applyFill="1" applyAlignment="1">
      <alignment horizontal="right" vertical="center"/>
    </xf>
    <xf numFmtId="0" fontId="49" fillId="7" borderId="65" xfId="0" applyFont="1" applyFill="1" applyBorder="1">
      <alignment vertical="center"/>
    </xf>
    <xf numFmtId="0" fontId="44" fillId="7" borderId="0" xfId="0" applyFont="1" applyFill="1" applyAlignment="1">
      <alignment vertical="center" shrinkToFit="1"/>
    </xf>
    <xf numFmtId="0" fontId="44" fillId="7" borderId="65" xfId="0" applyFont="1" applyFill="1" applyBorder="1" applyAlignment="1">
      <alignment vertical="center" shrinkToFit="1"/>
    </xf>
    <xf numFmtId="0" fontId="42" fillId="24" borderId="134" xfId="0" applyFont="1" applyFill="1" applyBorder="1">
      <alignment vertical="center"/>
    </xf>
    <xf numFmtId="183" fontId="94" fillId="7" borderId="65" xfId="138" applyNumberFormat="1" applyFont="1" applyFill="1" applyBorder="1">
      <alignment vertical="center"/>
    </xf>
    <xf numFmtId="180" fontId="94" fillId="7" borderId="65" xfId="0" applyNumberFormat="1" applyFont="1" applyFill="1" applyBorder="1">
      <alignment vertical="center"/>
    </xf>
    <xf numFmtId="2" fontId="94" fillId="7" borderId="122" xfId="0" applyNumberFormat="1" applyFont="1" applyFill="1" applyBorder="1">
      <alignment vertical="center"/>
    </xf>
    <xf numFmtId="0" fontId="94" fillId="7" borderId="66" xfId="0" applyFont="1" applyFill="1" applyBorder="1">
      <alignment vertical="center"/>
    </xf>
    <xf numFmtId="0" fontId="44" fillId="7" borderId="134" xfId="0" applyFont="1" applyFill="1" applyBorder="1">
      <alignment vertical="center"/>
    </xf>
    <xf numFmtId="0" fontId="42" fillId="24" borderId="43" xfId="0" applyFont="1" applyFill="1" applyBorder="1">
      <alignment vertical="center"/>
    </xf>
    <xf numFmtId="0" fontId="42" fillId="24" borderId="122" xfId="0" applyFont="1" applyFill="1" applyBorder="1" applyAlignment="1">
      <alignment horizontal="center" vertical="center"/>
    </xf>
    <xf numFmtId="0" fontId="42" fillId="24" borderId="124" xfId="0" applyFont="1" applyFill="1" applyBorder="1" applyAlignment="1">
      <alignment horizontal="center" vertical="center"/>
    </xf>
    <xf numFmtId="0" fontId="46" fillId="0" borderId="55" xfId="0" applyFont="1" applyBorder="1" applyAlignment="1">
      <alignment horizontal="center" vertical="center"/>
    </xf>
    <xf numFmtId="38" fontId="94" fillId="7" borderId="65" xfId="138" applyFont="1" applyFill="1" applyBorder="1">
      <alignment vertical="center"/>
    </xf>
    <xf numFmtId="38" fontId="44" fillId="7" borderId="122" xfId="138" applyFont="1" applyFill="1" applyBorder="1">
      <alignment vertical="center"/>
    </xf>
    <xf numFmtId="186" fontId="94" fillId="7" borderId="122" xfId="138" applyNumberFormat="1" applyFont="1" applyFill="1" applyBorder="1">
      <alignment vertical="center"/>
    </xf>
    <xf numFmtId="0" fontId="42" fillId="24" borderId="119" xfId="0" applyFont="1" applyFill="1" applyBorder="1">
      <alignment vertical="center"/>
    </xf>
    <xf numFmtId="0" fontId="42" fillId="24" borderId="46" xfId="0" applyFont="1" applyFill="1" applyBorder="1">
      <alignment vertical="center"/>
    </xf>
    <xf numFmtId="0" fontId="42" fillId="24" borderId="137" xfId="0" applyFont="1" applyFill="1" applyBorder="1">
      <alignment vertical="center"/>
    </xf>
    <xf numFmtId="0" fontId="0" fillId="7" borderId="137" xfId="0" applyFill="1" applyBorder="1">
      <alignment vertical="center"/>
    </xf>
    <xf numFmtId="177" fontId="94" fillId="7" borderId="14" xfId="138" applyNumberFormat="1" applyFont="1" applyFill="1" applyBorder="1">
      <alignment vertical="center"/>
    </xf>
    <xf numFmtId="0" fontId="42" fillId="24" borderId="0" xfId="0" applyFont="1" applyFill="1" applyBorder="1">
      <alignment vertical="center"/>
    </xf>
    <xf numFmtId="0" fontId="42" fillId="24" borderId="136" xfId="0" applyFont="1" applyFill="1" applyBorder="1">
      <alignment vertical="center"/>
    </xf>
    <xf numFmtId="0" fontId="42" fillId="24" borderId="139" xfId="0" applyFont="1" applyFill="1" applyBorder="1">
      <alignment vertical="center"/>
    </xf>
    <xf numFmtId="0" fontId="42" fillId="24" borderId="140" xfId="0" applyFont="1" applyFill="1" applyBorder="1">
      <alignment vertical="center"/>
    </xf>
    <xf numFmtId="0" fontId="42" fillId="24" borderId="138" xfId="0" applyFont="1" applyFill="1" applyBorder="1" applyAlignment="1">
      <alignment vertical="center"/>
    </xf>
    <xf numFmtId="0" fontId="0" fillId="0" borderId="44" xfId="0" applyBorder="1">
      <alignment vertical="center"/>
    </xf>
    <xf numFmtId="0" fontId="0" fillId="7" borderId="141" xfId="0" applyFill="1" applyBorder="1">
      <alignment vertical="center"/>
    </xf>
    <xf numFmtId="0" fontId="79" fillId="24" borderId="66" xfId="0" applyFont="1" applyFill="1" applyBorder="1" applyAlignment="1">
      <alignment horizontal="center" vertical="center"/>
    </xf>
    <xf numFmtId="0" fontId="0" fillId="7" borderId="143" xfId="0" applyFill="1" applyBorder="1">
      <alignment vertical="center"/>
    </xf>
    <xf numFmtId="0" fontId="0" fillId="0" borderId="142" xfId="0" applyBorder="1">
      <alignment vertical="center"/>
    </xf>
    <xf numFmtId="0" fontId="44" fillId="7" borderId="143" xfId="0" applyFont="1" applyFill="1" applyBorder="1">
      <alignment vertical="center"/>
    </xf>
    <xf numFmtId="0" fontId="42" fillId="24" borderId="13" xfId="0" applyFont="1" applyFill="1" applyBorder="1" applyAlignment="1">
      <alignment vertical="center"/>
    </xf>
    <xf numFmtId="0" fontId="42" fillId="24" borderId="145" xfId="0" applyFont="1" applyFill="1" applyBorder="1">
      <alignment vertical="center"/>
    </xf>
    <xf numFmtId="0" fontId="42" fillId="24" borderId="144" xfId="0" applyFont="1" applyFill="1" applyBorder="1">
      <alignment vertical="center"/>
    </xf>
    <xf numFmtId="0" fontId="44" fillId="0" borderId="146" xfId="0" applyFont="1" applyBorder="1">
      <alignment vertical="center"/>
    </xf>
    <xf numFmtId="0" fontId="44" fillId="0" borderId="143" xfId="0" applyFont="1" applyBorder="1" applyAlignment="1">
      <alignment vertical="center"/>
    </xf>
    <xf numFmtId="180" fontId="35" fillId="0" borderId="66" xfId="0" applyNumberFormat="1" applyFont="1" applyBorder="1">
      <alignment vertical="center"/>
    </xf>
    <xf numFmtId="0" fontId="46" fillId="0" borderId="65" xfId="0" applyFont="1" applyBorder="1" applyAlignment="1">
      <alignment vertical="center" shrinkToFit="1"/>
    </xf>
    <xf numFmtId="0" fontId="44" fillId="0" borderId="143" xfId="0" applyFont="1" applyBorder="1">
      <alignment vertical="center"/>
    </xf>
    <xf numFmtId="0" fontId="46" fillId="7" borderId="72" xfId="0" applyFont="1" applyFill="1" applyBorder="1">
      <alignment vertical="center"/>
    </xf>
    <xf numFmtId="0" fontId="46" fillId="0" borderId="68" xfId="0" applyFont="1" applyBorder="1" applyAlignment="1">
      <alignment vertical="center" shrinkToFit="1"/>
    </xf>
    <xf numFmtId="185" fontId="46" fillId="0" borderId="68" xfId="0" applyNumberFormat="1" applyFont="1" applyBorder="1" applyAlignment="1">
      <alignment vertical="center" shrinkToFit="1"/>
    </xf>
    <xf numFmtId="0" fontId="46" fillId="0" borderId="64" xfId="0" applyFont="1" applyBorder="1" applyAlignment="1">
      <alignment vertical="center" shrinkToFit="1"/>
    </xf>
    <xf numFmtId="40" fontId="46" fillId="0" borderId="0" xfId="138" applyNumberFormat="1" applyFont="1">
      <alignment vertical="center"/>
    </xf>
    <xf numFmtId="40" fontId="46" fillId="0" borderId="86" xfId="138" applyNumberFormat="1" applyFont="1" applyBorder="1">
      <alignment vertical="center"/>
    </xf>
    <xf numFmtId="40" fontId="46" fillId="7" borderId="86" xfId="138" applyNumberFormat="1" applyFont="1" applyFill="1" applyBorder="1">
      <alignment vertical="center"/>
    </xf>
    <xf numFmtId="40" fontId="46" fillId="7" borderId="68" xfId="138" applyNumberFormat="1" applyFont="1" applyFill="1" applyBorder="1">
      <alignment vertical="center"/>
    </xf>
    <xf numFmtId="40" fontId="46" fillId="0" borderId="68" xfId="138" applyNumberFormat="1" applyFont="1" applyBorder="1">
      <alignment vertical="center"/>
    </xf>
    <xf numFmtId="0" fontId="46" fillId="7" borderId="125" xfId="0" applyFont="1" applyFill="1" applyBorder="1">
      <alignment vertical="center"/>
    </xf>
    <xf numFmtId="38" fontId="46" fillId="7" borderId="1" xfId="138" applyFont="1" applyFill="1" applyBorder="1" applyAlignment="1">
      <alignment horizontal="center" vertical="center"/>
    </xf>
    <xf numFmtId="0" fontId="46" fillId="0" borderId="68" xfId="0" applyFont="1" applyBorder="1">
      <alignment vertical="center"/>
    </xf>
    <xf numFmtId="177" fontId="46" fillId="0" borderId="68" xfId="138" applyNumberFormat="1" applyFont="1" applyBorder="1">
      <alignment vertical="center"/>
    </xf>
    <xf numFmtId="38" fontId="110" fillId="0" borderId="68" xfId="138" applyFont="1" applyBorder="1">
      <alignment vertical="center"/>
    </xf>
    <xf numFmtId="0" fontId="110" fillId="0" borderId="68" xfId="0" applyFont="1" applyBorder="1">
      <alignment vertical="center"/>
    </xf>
    <xf numFmtId="179" fontId="110" fillId="7" borderId="68" xfId="0" applyNumberFormat="1" applyFont="1" applyFill="1" applyBorder="1" applyAlignment="1">
      <alignment horizontal="center" vertical="center"/>
    </xf>
    <xf numFmtId="0" fontId="46" fillId="7" borderId="0" xfId="0" applyFont="1" applyFill="1">
      <alignment vertical="center"/>
    </xf>
    <xf numFmtId="38" fontId="46" fillId="7" borderId="0" xfId="138" applyFont="1" applyFill="1">
      <alignment vertical="center"/>
    </xf>
    <xf numFmtId="0" fontId="110" fillId="28" borderId="0" xfId="0" applyFont="1" applyFill="1">
      <alignment vertical="center"/>
    </xf>
    <xf numFmtId="179" fontId="110" fillId="28" borderId="0" xfId="0" applyNumberFormat="1" applyFont="1" applyFill="1" applyAlignment="1">
      <alignment horizontal="center" vertical="center"/>
    </xf>
    <xf numFmtId="0" fontId="110" fillId="28" borderId="61" xfId="0" applyFont="1" applyFill="1" applyBorder="1">
      <alignment vertical="center"/>
    </xf>
    <xf numFmtId="0" fontId="111" fillId="28" borderId="62" xfId="0" applyFont="1" applyFill="1" applyBorder="1" applyAlignment="1">
      <alignment horizontal="center" vertical="center"/>
    </xf>
    <xf numFmtId="0" fontId="46" fillId="28" borderId="63" xfId="0" applyFont="1" applyFill="1" applyBorder="1">
      <alignment vertical="center"/>
    </xf>
    <xf numFmtId="38" fontId="46" fillId="0" borderId="0" xfId="138" applyFont="1">
      <alignment vertical="center"/>
    </xf>
    <xf numFmtId="0" fontId="46" fillId="7" borderId="0" xfId="0" applyFont="1" applyFill="1" applyAlignment="1">
      <alignment horizontal="right" vertical="center"/>
    </xf>
    <xf numFmtId="0" fontId="12" fillId="28" borderId="61" xfId="0" applyFont="1" applyFill="1" applyBorder="1">
      <alignment vertical="center"/>
    </xf>
    <xf numFmtId="9" fontId="46" fillId="7" borderId="68" xfId="1" applyFont="1" applyFill="1" applyBorder="1" applyAlignment="1">
      <alignment vertical="center"/>
    </xf>
    <xf numFmtId="9" fontId="46" fillId="28" borderId="68" xfId="1" applyFont="1" applyFill="1" applyBorder="1" applyAlignment="1">
      <alignment vertical="center"/>
    </xf>
    <xf numFmtId="179" fontId="46" fillId="7" borderId="68" xfId="0" applyNumberFormat="1" applyFont="1" applyFill="1" applyBorder="1" applyAlignment="1">
      <alignment vertical="center"/>
    </xf>
    <xf numFmtId="9" fontId="46" fillId="7" borderId="68" xfId="1" applyFont="1" applyFill="1" applyBorder="1" applyAlignment="1">
      <alignment horizontal="right" vertical="center"/>
    </xf>
    <xf numFmtId="9" fontId="46" fillId="28" borderId="68" xfId="1" applyFont="1" applyFill="1" applyBorder="1" applyAlignment="1">
      <alignment horizontal="right" vertical="center"/>
    </xf>
    <xf numFmtId="179" fontId="46" fillId="7" borderId="68" xfId="0" applyNumberFormat="1" applyFont="1" applyFill="1" applyBorder="1" applyAlignment="1">
      <alignment horizontal="right" vertical="center"/>
    </xf>
    <xf numFmtId="0" fontId="12" fillId="7" borderId="0" xfId="0" applyFont="1" applyFill="1" applyAlignment="1">
      <alignment horizontal="center" vertical="center"/>
    </xf>
    <xf numFmtId="0" fontId="79" fillId="24" borderId="66" xfId="0" applyFont="1" applyFill="1" applyBorder="1" applyAlignment="1">
      <alignment horizontal="left" vertical="center"/>
    </xf>
    <xf numFmtId="179" fontId="110" fillId="28" borderId="147" xfId="0" applyNumberFormat="1" applyFont="1" applyFill="1" applyBorder="1" applyAlignment="1">
      <alignment vertical="center"/>
    </xf>
    <xf numFmtId="177" fontId="38" fillId="0" borderId="66" xfId="138" applyNumberFormat="1" applyFont="1" applyBorder="1">
      <alignment vertical="center"/>
    </xf>
    <xf numFmtId="38" fontId="0" fillId="0" borderId="122" xfId="138" applyFont="1" applyBorder="1">
      <alignment vertical="center"/>
    </xf>
    <xf numFmtId="183" fontId="35" fillId="0" borderId="122" xfId="138" applyNumberFormat="1" applyFont="1" applyBorder="1">
      <alignment vertical="center"/>
    </xf>
    <xf numFmtId="0" fontId="35" fillId="28" borderId="49" xfId="0" applyFont="1" applyFill="1" applyBorder="1">
      <alignment vertical="center"/>
    </xf>
    <xf numFmtId="0" fontId="35" fillId="0" borderId="68" xfId="24" quotePrefix="1" applyNumberFormat="1" applyFont="1" applyFill="1" applyBorder="1" applyAlignment="1">
      <alignment horizontal="left"/>
    </xf>
    <xf numFmtId="0" fontId="94" fillId="0" borderId="68" xfId="0" applyFont="1" applyBorder="1" applyAlignment="1">
      <alignment horizontal="center" vertical="center" shrinkToFit="1"/>
    </xf>
    <xf numFmtId="186" fontId="38" fillId="7" borderId="66" xfId="138" applyNumberFormat="1" applyFont="1" applyFill="1" applyBorder="1">
      <alignment vertical="center"/>
    </xf>
    <xf numFmtId="186" fontId="38" fillId="7" borderId="66" xfId="0" applyNumberFormat="1" applyFont="1" applyFill="1" applyBorder="1">
      <alignment vertical="center"/>
    </xf>
    <xf numFmtId="0" fontId="44" fillId="7" borderId="0" xfId="0" applyFont="1" applyFill="1" applyAlignment="1">
      <alignment horizontal="right" vertical="center"/>
    </xf>
    <xf numFmtId="11" fontId="0" fillId="0" borderId="64" xfId="0" applyNumberFormat="1" applyFont="1" applyBorder="1" applyAlignment="1">
      <alignment horizontal="right" vertical="center"/>
    </xf>
    <xf numFmtId="11" fontId="0" fillId="0" borderId="64" xfId="0" applyNumberFormat="1" applyFont="1" applyBorder="1" applyAlignment="1">
      <alignment horizontal="left" vertical="center"/>
    </xf>
    <xf numFmtId="0" fontId="44" fillId="0" borderId="1" xfId="0" applyFont="1" applyBorder="1">
      <alignment vertical="center"/>
    </xf>
    <xf numFmtId="0" fontId="42" fillId="47" borderId="68" xfId="0" applyFont="1" applyFill="1" applyBorder="1" applyAlignment="1">
      <alignment horizontal="center" vertical="center" wrapText="1"/>
    </xf>
    <xf numFmtId="0" fontId="41" fillId="47" borderId="68"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38" fillId="0" borderId="0" xfId="0" applyFont="1" applyAlignment="1">
      <alignment vertical="center" wrapText="1"/>
    </xf>
    <xf numFmtId="0" fontId="35" fillId="7" borderId="68" xfId="0" applyFont="1" applyFill="1" applyBorder="1" applyAlignment="1">
      <alignment horizontal="left" vertical="center"/>
    </xf>
    <xf numFmtId="0" fontId="49" fillId="7" borderId="68" xfId="0" applyFont="1" applyFill="1" applyBorder="1" applyAlignment="1">
      <alignment horizontal="left" vertical="center"/>
    </xf>
    <xf numFmtId="0" fontId="35" fillId="7" borderId="0" xfId="0" applyFont="1" applyFill="1">
      <alignment vertical="center"/>
    </xf>
    <xf numFmtId="0" fontId="35" fillId="7" borderId="68" xfId="0" applyNumberFormat="1" applyFont="1" applyFill="1" applyBorder="1">
      <alignment vertical="center"/>
    </xf>
    <xf numFmtId="0" fontId="35" fillId="7" borderId="68" xfId="24" quotePrefix="1" applyNumberFormat="1" applyFont="1" applyFill="1" applyBorder="1" applyAlignment="1">
      <alignment horizontal="left"/>
    </xf>
    <xf numFmtId="0" fontId="110" fillId="7" borderId="68" xfId="0" applyFont="1" applyFill="1" applyBorder="1">
      <alignment vertical="center"/>
    </xf>
    <xf numFmtId="0" fontId="110" fillId="7" borderId="0" xfId="0" applyFont="1" applyFill="1" applyBorder="1">
      <alignment vertical="center"/>
    </xf>
    <xf numFmtId="0" fontId="94" fillId="0" borderId="0" xfId="0" applyFont="1">
      <alignment vertical="center"/>
    </xf>
    <xf numFmtId="0" fontId="94" fillId="0" borderId="0" xfId="0" applyFont="1" applyAlignment="1">
      <alignment vertical="center" wrapText="1"/>
    </xf>
    <xf numFmtId="183" fontId="110" fillId="0" borderId="68" xfId="138" applyNumberFormat="1" applyFont="1" applyBorder="1">
      <alignment vertical="center"/>
    </xf>
    <xf numFmtId="2" fontId="110" fillId="0" borderId="68" xfId="0" applyNumberFormat="1" applyFont="1" applyBorder="1">
      <alignment vertical="center"/>
    </xf>
    <xf numFmtId="183" fontId="110" fillId="0" borderId="83" xfId="138" applyNumberFormat="1" applyFont="1" applyBorder="1">
      <alignment vertical="center"/>
    </xf>
    <xf numFmtId="0" fontId="110" fillId="7" borderId="37" xfId="0" applyFont="1" applyFill="1" applyBorder="1">
      <alignment vertical="center"/>
    </xf>
    <xf numFmtId="38" fontId="110" fillId="0" borderId="0" xfId="138" applyFont="1">
      <alignment vertical="center"/>
    </xf>
    <xf numFmtId="0" fontId="110" fillId="7" borderId="115" xfId="0" applyFont="1" applyFill="1" applyBorder="1">
      <alignment vertical="center"/>
    </xf>
    <xf numFmtId="183" fontId="110" fillId="0" borderId="0" xfId="138" applyNumberFormat="1" applyFont="1" applyBorder="1">
      <alignment vertical="center"/>
    </xf>
    <xf numFmtId="183" fontId="110" fillId="0" borderId="46" xfId="138" applyNumberFormat="1" applyFont="1" applyBorder="1">
      <alignment vertical="center"/>
    </xf>
    <xf numFmtId="0" fontId="110" fillId="28" borderId="0" xfId="0" applyFont="1" applyFill="1" applyBorder="1">
      <alignment vertical="center"/>
    </xf>
    <xf numFmtId="0" fontId="94" fillId="0" borderId="0" xfId="0" applyFont="1" applyBorder="1">
      <alignment vertical="center"/>
    </xf>
    <xf numFmtId="0" fontId="110" fillId="7" borderId="76" xfId="0" applyFont="1" applyFill="1" applyBorder="1">
      <alignment vertical="center"/>
    </xf>
    <xf numFmtId="38" fontId="0" fillId="0" borderId="0" xfId="138" applyFont="1">
      <alignment vertical="center"/>
    </xf>
    <xf numFmtId="0" fontId="49" fillId="0" borderId="149" xfId="0" applyFont="1" applyBorder="1">
      <alignment vertical="center"/>
    </xf>
    <xf numFmtId="0" fontId="38" fillId="39" borderId="149" xfId="0" applyNumberFormat="1" applyFont="1" applyFill="1" applyBorder="1">
      <alignment vertical="center"/>
    </xf>
    <xf numFmtId="0" fontId="0" fillId="0" borderId="149" xfId="0" applyBorder="1">
      <alignment vertical="center"/>
    </xf>
    <xf numFmtId="0" fontId="49" fillId="0" borderId="149" xfId="0" applyFont="1" applyFill="1" applyBorder="1">
      <alignment vertical="center"/>
    </xf>
    <xf numFmtId="0" fontId="35" fillId="0" borderId="149" xfId="0" applyFont="1" applyFill="1" applyBorder="1">
      <alignment vertical="center"/>
    </xf>
    <xf numFmtId="0" fontId="44" fillId="0" borderId="149" xfId="0" applyFont="1" applyBorder="1">
      <alignment vertical="center"/>
    </xf>
    <xf numFmtId="2" fontId="91" fillId="0" borderId="25" xfId="3" applyNumberFormat="1" applyFont="1" applyBorder="1">
      <alignment vertical="center"/>
    </xf>
    <xf numFmtId="2" fontId="91" fillId="0" borderId="1" xfId="3" applyNumberFormat="1" applyFont="1" applyBorder="1">
      <alignment vertical="center"/>
    </xf>
    <xf numFmtId="2" fontId="91" fillId="0" borderId="37" xfId="3" applyNumberFormat="1" applyFont="1" applyBorder="1">
      <alignment vertical="center"/>
    </xf>
    <xf numFmtId="2" fontId="91" fillId="0" borderId="40" xfId="3" applyNumberFormat="1" applyFont="1" applyBorder="1">
      <alignment vertical="center"/>
    </xf>
    <xf numFmtId="2" fontId="91" fillId="0" borderId="30" xfId="3" applyNumberFormat="1" applyFont="1" applyBorder="1">
      <alignment vertical="center"/>
    </xf>
    <xf numFmtId="2" fontId="91" fillId="0" borderId="30" xfId="3" applyNumberFormat="1" applyFont="1" applyBorder="1" applyAlignment="1">
      <alignment horizontal="center" vertical="center"/>
    </xf>
    <xf numFmtId="2" fontId="91" fillId="0" borderId="25" xfId="3" applyNumberFormat="1" applyFont="1" applyBorder="1" applyAlignment="1">
      <alignment horizontal="center" vertical="center"/>
    </xf>
    <xf numFmtId="2" fontId="91" fillId="0" borderId="0" xfId="3" applyNumberFormat="1" applyFont="1">
      <alignment vertical="center"/>
    </xf>
    <xf numFmtId="182" fontId="91" fillId="0" borderId="1" xfId="3" applyNumberFormat="1" applyFont="1" applyBorder="1">
      <alignment vertical="center"/>
    </xf>
    <xf numFmtId="182" fontId="91" fillId="0" borderId="25" xfId="3" applyNumberFormat="1" applyFont="1" applyBorder="1">
      <alignment vertical="center"/>
    </xf>
    <xf numFmtId="182" fontId="91" fillId="0" borderId="37" xfId="3" applyNumberFormat="1" applyFont="1" applyBorder="1">
      <alignment vertical="center"/>
    </xf>
    <xf numFmtId="182" fontId="91" fillId="0" borderId="40" xfId="3" applyNumberFormat="1" applyFont="1" applyBorder="1">
      <alignment vertical="center"/>
    </xf>
    <xf numFmtId="182" fontId="91" fillId="0" borderId="30" xfId="3" applyNumberFormat="1" applyFont="1" applyBorder="1">
      <alignment vertical="center"/>
    </xf>
    <xf numFmtId="182" fontId="91" fillId="0" borderId="25" xfId="3" applyNumberFormat="1" applyFont="1" applyBorder="1" applyAlignment="1">
      <alignment horizontal="center" vertical="center"/>
    </xf>
    <xf numFmtId="182" fontId="91" fillId="0" borderId="0" xfId="3" applyNumberFormat="1" applyFont="1">
      <alignment vertical="center"/>
    </xf>
    <xf numFmtId="2" fontId="91" fillId="0" borderId="40" xfId="3" applyNumberFormat="1" applyFont="1" applyFill="1" applyBorder="1">
      <alignment vertical="center"/>
    </xf>
    <xf numFmtId="2" fontId="91" fillId="0" borderId="25" xfId="3" applyNumberFormat="1" applyFont="1" applyFill="1" applyBorder="1">
      <alignment vertical="center"/>
    </xf>
    <xf numFmtId="0" fontId="135" fillId="0" borderId="150" xfId="0" applyFont="1" applyBorder="1">
      <alignment vertical="center"/>
    </xf>
    <xf numFmtId="0" fontId="136" fillId="0" borderId="150" xfId="0" applyFont="1" applyBorder="1">
      <alignment vertical="center"/>
    </xf>
    <xf numFmtId="0" fontId="91" fillId="0" borderId="150" xfId="3" applyFont="1" applyBorder="1">
      <alignment vertical="center"/>
    </xf>
    <xf numFmtId="2" fontId="91" fillId="0" borderId="150" xfId="3" applyNumberFormat="1" applyFont="1" applyBorder="1">
      <alignment vertical="center"/>
    </xf>
    <xf numFmtId="182" fontId="91" fillId="0" borderId="150" xfId="3" applyNumberFormat="1" applyFont="1" applyBorder="1">
      <alignment vertical="center"/>
    </xf>
    <xf numFmtId="2" fontId="91" fillId="0" borderId="150" xfId="3" applyNumberFormat="1" applyFont="1" applyBorder="1" applyAlignment="1">
      <alignment horizontal="center" vertical="center"/>
    </xf>
    <xf numFmtId="0" fontId="91" fillId="0" borderId="150" xfId="3" applyFont="1" applyBorder="1" applyAlignment="1">
      <alignment horizontal="center" vertical="center"/>
    </xf>
    <xf numFmtId="182" fontId="91" fillId="0" borderId="150" xfId="3" applyNumberFormat="1" applyFont="1" applyBorder="1" applyAlignment="1">
      <alignment horizontal="center" vertical="center"/>
    </xf>
    <xf numFmtId="0" fontId="91" fillId="0" borderId="151" xfId="3" applyFont="1" applyBorder="1">
      <alignment vertical="center"/>
    </xf>
    <xf numFmtId="0" fontId="91" fillId="0" borderId="152" xfId="3" applyFont="1" applyBorder="1">
      <alignment vertical="center"/>
    </xf>
    <xf numFmtId="0" fontId="135" fillId="0" borderId="152" xfId="0" applyFont="1" applyBorder="1">
      <alignment vertical="center"/>
    </xf>
    <xf numFmtId="2" fontId="91" fillId="0" borderId="152" xfId="3" applyNumberFormat="1" applyFont="1" applyBorder="1" applyAlignment="1">
      <alignment horizontal="center" vertical="center"/>
    </xf>
    <xf numFmtId="0" fontId="91" fillId="0" borderId="152" xfId="3" applyFont="1" applyBorder="1" applyAlignment="1">
      <alignment horizontal="center" vertical="center"/>
    </xf>
    <xf numFmtId="182" fontId="91" fillId="0" borderId="152" xfId="3" applyNumberFormat="1" applyFont="1" applyBorder="1" applyAlignment="1">
      <alignment horizontal="center" vertical="center"/>
    </xf>
    <xf numFmtId="2" fontId="91" fillId="0" borderId="152" xfId="3" applyNumberFormat="1" applyFont="1" applyBorder="1">
      <alignment vertical="center"/>
    </xf>
    <xf numFmtId="0" fontId="136" fillId="0" borderId="152" xfId="0" applyFont="1" applyBorder="1">
      <alignment vertical="center"/>
    </xf>
    <xf numFmtId="0" fontId="91" fillId="0" borderId="140" xfId="3" applyFont="1" applyBorder="1">
      <alignment vertical="center"/>
    </xf>
    <xf numFmtId="2" fontId="91" fillId="0" borderId="140" xfId="3" applyNumberFormat="1" applyFont="1" applyBorder="1">
      <alignment vertical="center"/>
    </xf>
    <xf numFmtId="182" fontId="91" fillId="0" borderId="140" xfId="3" applyNumberFormat="1" applyFont="1" applyBorder="1">
      <alignment vertical="center"/>
    </xf>
    <xf numFmtId="2" fontId="91" fillId="0" borderId="140" xfId="3" applyNumberFormat="1" applyFont="1" applyBorder="1" applyAlignment="1">
      <alignment horizontal="center" vertical="center"/>
    </xf>
    <xf numFmtId="0" fontId="91" fillId="0" borderId="140" xfId="3" applyFont="1" applyBorder="1" applyAlignment="1">
      <alignment horizontal="center" vertical="center"/>
    </xf>
    <xf numFmtId="0" fontId="91" fillId="0" borderId="38" xfId="3" applyFont="1" applyBorder="1" applyAlignment="1">
      <alignment horizontal="center" vertical="center"/>
    </xf>
    <xf numFmtId="0" fontId="137" fillId="12" borderId="46" xfId="3" applyFont="1" applyFill="1" applyBorder="1">
      <alignment vertical="center"/>
    </xf>
    <xf numFmtId="0" fontId="138" fillId="12" borderId="46" xfId="0" applyFont="1" applyFill="1" applyBorder="1">
      <alignment vertical="center"/>
    </xf>
    <xf numFmtId="2" fontId="137" fillId="12" borderId="46" xfId="3" applyNumberFormat="1" applyFont="1" applyFill="1" applyBorder="1">
      <alignment vertical="center"/>
    </xf>
    <xf numFmtId="182" fontId="137" fillId="12" borderId="46" xfId="3" applyNumberFormat="1" applyFont="1" applyFill="1" applyBorder="1">
      <alignment vertical="center"/>
    </xf>
    <xf numFmtId="0" fontId="91" fillId="7" borderId="146" xfId="3" applyFont="1" applyFill="1" applyBorder="1">
      <alignment vertical="center"/>
    </xf>
    <xf numFmtId="0" fontId="91" fillId="7" borderId="146" xfId="3" applyFont="1" applyFill="1" applyBorder="1" applyAlignment="1">
      <alignment horizontal="center" vertical="center"/>
    </xf>
    <xf numFmtId="2" fontId="91" fillId="7" borderId="146" xfId="3" applyNumberFormat="1" applyFont="1" applyFill="1" applyBorder="1">
      <alignment vertical="center"/>
    </xf>
    <xf numFmtId="182" fontId="91" fillId="7" borderId="146" xfId="3" applyNumberFormat="1" applyFont="1" applyFill="1" applyBorder="1">
      <alignment vertical="center"/>
    </xf>
    <xf numFmtId="0" fontId="9" fillId="7" borderId="0" xfId="144" applyFill="1">
      <alignment vertical="center"/>
    </xf>
    <xf numFmtId="0" fontId="81" fillId="38" borderId="154" xfId="144" applyFont="1" applyFill="1" applyBorder="1" applyAlignment="1">
      <alignment horizontal="center" vertical="center"/>
    </xf>
    <xf numFmtId="0" fontId="81" fillId="38" borderId="154" xfId="144" applyFont="1" applyFill="1" applyBorder="1" applyAlignment="1">
      <alignment horizontal="center" vertical="center" wrapText="1"/>
    </xf>
    <xf numFmtId="0" fontId="9" fillId="0" borderId="154" xfId="144" applyBorder="1" applyAlignment="1">
      <alignment vertical="center" wrapText="1"/>
    </xf>
    <xf numFmtId="0" fontId="9" fillId="0" borderId="154" xfId="144" applyBorder="1">
      <alignment vertical="center"/>
    </xf>
    <xf numFmtId="0" fontId="9" fillId="7" borderId="154" xfId="144" applyFill="1" applyBorder="1">
      <alignment vertical="center"/>
    </xf>
    <xf numFmtId="0" fontId="9" fillId="0" borderId="154" xfId="144" applyFont="1" applyBorder="1" applyAlignment="1">
      <alignment vertical="center" wrapText="1"/>
    </xf>
    <xf numFmtId="0" fontId="9" fillId="7" borderId="0" xfId="144" applyFill="1" applyAlignment="1">
      <alignment vertical="center" wrapText="1"/>
    </xf>
    <xf numFmtId="0" fontId="9" fillId="0" borderId="0" xfId="144">
      <alignment vertical="center"/>
    </xf>
    <xf numFmtId="0" fontId="9" fillId="0" borderId="0" xfId="144" applyAlignment="1">
      <alignment vertical="center" wrapText="1"/>
    </xf>
    <xf numFmtId="38" fontId="110" fillId="0" borderId="154" xfId="138" applyFont="1" applyBorder="1">
      <alignment vertical="center"/>
    </xf>
    <xf numFmtId="177" fontId="110" fillId="0" borderId="154" xfId="138" applyNumberFormat="1" applyFont="1" applyBorder="1">
      <alignment vertical="center"/>
    </xf>
    <xf numFmtId="0" fontId="44" fillId="7" borderId="155" xfId="0" applyFont="1" applyFill="1" applyBorder="1" applyAlignment="1">
      <alignment horizontal="right" vertical="center"/>
    </xf>
    <xf numFmtId="0" fontId="0" fillId="7" borderId="157" xfId="0" applyFill="1" applyBorder="1">
      <alignment vertical="center"/>
    </xf>
    <xf numFmtId="0" fontId="44" fillId="7" borderId="156" xfId="0" applyFont="1" applyFill="1" applyBorder="1">
      <alignment vertical="center"/>
    </xf>
    <xf numFmtId="177" fontId="0" fillId="7" borderId="155" xfId="138" applyNumberFormat="1" applyFont="1" applyFill="1" applyBorder="1">
      <alignment vertical="center"/>
    </xf>
    <xf numFmtId="180" fontId="94" fillId="7" borderId="157" xfId="0" applyNumberFormat="1" applyFont="1" applyFill="1" applyBorder="1">
      <alignment vertical="center"/>
    </xf>
    <xf numFmtId="0" fontId="44" fillId="7" borderId="157" xfId="0" applyFont="1" applyFill="1" applyBorder="1">
      <alignment vertical="center"/>
    </xf>
    <xf numFmtId="40" fontId="0" fillId="7" borderId="157" xfId="138" applyNumberFormat="1" applyFont="1" applyFill="1" applyBorder="1">
      <alignment vertical="center"/>
    </xf>
    <xf numFmtId="183" fontId="0" fillId="7" borderId="155" xfId="138" applyNumberFormat="1" applyFont="1" applyFill="1" applyBorder="1">
      <alignment vertical="center"/>
    </xf>
    <xf numFmtId="0" fontId="81" fillId="7" borderId="0" xfId="0" applyFont="1" applyFill="1" applyBorder="1" applyAlignment="1">
      <alignment horizontal="center" vertical="center"/>
    </xf>
    <xf numFmtId="0" fontId="81" fillId="7" borderId="0" xfId="0" applyFont="1" applyFill="1" applyBorder="1" applyAlignment="1">
      <alignment vertical="center"/>
    </xf>
    <xf numFmtId="0" fontId="46" fillId="0" borderId="103" xfId="0" applyFont="1" applyFill="1" applyBorder="1" applyAlignment="1">
      <alignment horizontal="left" vertical="center"/>
    </xf>
    <xf numFmtId="0" fontId="0" fillId="0" borderId="158" xfId="0" applyBorder="1">
      <alignment vertical="center"/>
    </xf>
    <xf numFmtId="0" fontId="44" fillId="0" borderId="158" xfId="0" applyFont="1" applyBorder="1">
      <alignment vertical="center"/>
    </xf>
    <xf numFmtId="181" fontId="94" fillId="7" borderId="155" xfId="0" applyNumberFormat="1" applyFont="1" applyFill="1" applyBorder="1">
      <alignment vertical="center"/>
    </xf>
    <xf numFmtId="0" fontId="45" fillId="7" borderId="0" xfId="0" applyFont="1" applyFill="1" applyBorder="1" applyAlignment="1">
      <alignment horizontal="center" vertical="center" wrapText="1"/>
    </xf>
    <xf numFmtId="0" fontId="90" fillId="7" borderId="0" xfId="2" applyFont="1" applyFill="1" applyBorder="1" applyAlignment="1" applyProtection="1">
      <alignment horizontal="left" vertical="center" wrapText="1"/>
    </xf>
    <xf numFmtId="0" fontId="87" fillId="7" borderId="0" xfId="0" applyFont="1" applyFill="1" applyBorder="1" applyAlignment="1">
      <alignment horizontal="left" vertical="center" wrapText="1"/>
    </xf>
    <xf numFmtId="0" fontId="8" fillId="7" borderId="68" xfId="0" applyFont="1" applyFill="1" applyBorder="1" applyAlignment="1">
      <alignment horizontal="center" vertical="center"/>
    </xf>
    <xf numFmtId="0" fontId="8" fillId="7" borderId="66" xfId="0" applyFont="1" applyFill="1" applyBorder="1" applyAlignment="1">
      <alignment horizontal="center" vertical="center"/>
    </xf>
    <xf numFmtId="0" fontId="7" fillId="7" borderId="0" xfId="144" applyFont="1" applyFill="1">
      <alignment vertical="center"/>
    </xf>
    <xf numFmtId="0" fontId="7" fillId="7" borderId="154" xfId="144" applyFont="1" applyFill="1" applyBorder="1" applyAlignment="1">
      <alignment vertical="center" wrapText="1"/>
    </xf>
    <xf numFmtId="0" fontId="7" fillId="0" borderId="154" xfId="144" applyFont="1" applyBorder="1" applyAlignment="1">
      <alignment vertical="center" wrapText="1"/>
    </xf>
    <xf numFmtId="0" fontId="89" fillId="7" borderId="3" xfId="0" applyFont="1" applyFill="1" applyBorder="1" applyProtection="1">
      <alignment vertical="center"/>
      <protection locked="0"/>
    </xf>
    <xf numFmtId="0" fontId="95" fillId="38" borderId="73" xfId="0" applyFont="1" applyFill="1" applyBorder="1" applyAlignment="1" applyProtection="1">
      <alignment horizontal="center" vertical="center"/>
      <protection locked="0"/>
    </xf>
    <xf numFmtId="0" fontId="86" fillId="0" borderId="55" xfId="0" applyFont="1" applyBorder="1" applyAlignment="1" applyProtection="1">
      <alignment horizontal="center" vertical="center" wrapText="1"/>
      <protection locked="0"/>
    </xf>
    <xf numFmtId="177" fontId="66" fillId="0" borderId="1" xfId="138" applyNumberFormat="1" applyFont="1" applyBorder="1" applyProtection="1">
      <alignment vertical="center"/>
      <protection locked="0"/>
    </xf>
    <xf numFmtId="0" fontId="88" fillId="38" borderId="106" xfId="0" applyFont="1" applyFill="1" applyBorder="1" applyAlignment="1" applyProtection="1">
      <alignment vertical="center" shrinkToFit="1"/>
      <protection locked="0"/>
    </xf>
    <xf numFmtId="0" fontId="88" fillId="38" borderId="100" xfId="0" applyFont="1" applyFill="1" applyBorder="1" applyAlignment="1" applyProtection="1">
      <alignment vertical="center" shrinkToFit="1"/>
      <protection locked="0"/>
    </xf>
    <xf numFmtId="0" fontId="88" fillId="38" borderId="99" xfId="0" applyFont="1" applyFill="1" applyBorder="1" applyAlignment="1" applyProtection="1">
      <alignment vertical="center" shrinkToFit="1"/>
      <protection locked="0"/>
    </xf>
    <xf numFmtId="0" fontId="88" fillId="38" borderId="98" xfId="0" applyFont="1" applyFill="1" applyBorder="1" applyAlignment="1" applyProtection="1">
      <alignment vertical="center" shrinkToFit="1"/>
      <protection locked="0"/>
    </xf>
    <xf numFmtId="38" fontId="88" fillId="38" borderId="73" xfId="138" applyFont="1" applyFill="1" applyBorder="1" applyProtection="1">
      <alignment vertical="center"/>
      <protection locked="0"/>
    </xf>
    <xf numFmtId="38" fontId="66" fillId="0" borderId="44" xfId="138" applyFont="1" applyBorder="1" applyProtection="1">
      <alignment vertical="center"/>
      <protection locked="0"/>
    </xf>
    <xf numFmtId="0" fontId="95" fillId="38" borderId="69" xfId="0" applyFont="1" applyFill="1" applyBorder="1" applyProtection="1">
      <alignment vertical="center"/>
      <protection locked="0"/>
    </xf>
    <xf numFmtId="0" fontId="95" fillId="38" borderId="54" xfId="0" applyFont="1" applyFill="1" applyBorder="1" applyProtection="1">
      <alignment vertical="center"/>
      <protection locked="0"/>
    </xf>
    <xf numFmtId="0" fontId="88" fillId="38" borderId="73" xfId="0" applyFont="1" applyFill="1" applyBorder="1" applyProtection="1">
      <alignment vertical="center"/>
      <protection locked="0"/>
    </xf>
    <xf numFmtId="0" fontId="124" fillId="7" borderId="73" xfId="0" applyFont="1" applyFill="1" applyBorder="1" applyProtection="1">
      <alignment vertical="center"/>
      <protection locked="0"/>
    </xf>
    <xf numFmtId="0" fontId="129" fillId="46" borderId="125" xfId="0" applyFont="1" applyFill="1" applyBorder="1" applyProtection="1">
      <alignment vertical="center"/>
      <protection locked="0"/>
    </xf>
    <xf numFmtId="0" fontId="121" fillId="38" borderId="73" xfId="0" applyFont="1" applyFill="1" applyBorder="1" applyProtection="1">
      <alignment vertical="center"/>
      <protection locked="0"/>
    </xf>
    <xf numFmtId="0" fontId="54" fillId="0" borderId="55" xfId="0" applyFont="1" applyBorder="1" applyAlignment="1">
      <alignment horizontal="center" vertical="center"/>
    </xf>
    <xf numFmtId="0" fontId="86" fillId="0" borderId="55" xfId="0" applyFont="1" applyBorder="1" applyAlignment="1" applyProtection="1">
      <alignment horizontal="center" vertical="center"/>
      <protection locked="0"/>
    </xf>
    <xf numFmtId="9" fontId="88" fillId="7" borderId="130" xfId="0" applyNumberFormat="1" applyFont="1" applyFill="1" applyBorder="1" applyAlignment="1" applyProtection="1">
      <alignment vertical="center" shrinkToFit="1"/>
      <protection locked="0"/>
    </xf>
    <xf numFmtId="0" fontId="130" fillId="46" borderId="121" xfId="0" applyFont="1" applyFill="1" applyBorder="1" applyAlignment="1" applyProtection="1">
      <alignment horizontal="right" vertical="center"/>
      <protection locked="0"/>
    </xf>
    <xf numFmtId="181" fontId="64" fillId="7" borderId="65" xfId="0" applyNumberFormat="1" applyFont="1" applyFill="1" applyBorder="1" applyProtection="1">
      <alignment vertical="center"/>
      <protection locked="0"/>
    </xf>
    <xf numFmtId="0" fontId="95" fillId="38" borderId="101" xfId="0" applyFont="1" applyFill="1" applyBorder="1" applyProtection="1">
      <alignment vertical="center"/>
      <protection locked="0"/>
    </xf>
    <xf numFmtId="0" fontId="127" fillId="46" borderId="121" xfId="0" applyFont="1" applyFill="1" applyBorder="1" applyProtection="1">
      <alignment vertical="center"/>
      <protection locked="0"/>
    </xf>
    <xf numFmtId="0" fontId="95" fillId="38" borderId="102" xfId="0" applyFont="1" applyFill="1" applyBorder="1" applyProtection="1">
      <alignment vertical="center"/>
      <protection locked="0"/>
    </xf>
    <xf numFmtId="0" fontId="130" fillId="46" borderId="121" xfId="0" applyFont="1" applyFill="1" applyBorder="1" applyProtection="1">
      <alignment vertical="center"/>
      <protection locked="0"/>
    </xf>
    <xf numFmtId="0" fontId="130" fillId="46" borderId="13" xfId="0" applyFont="1" applyFill="1" applyBorder="1" applyProtection="1">
      <alignment vertical="center"/>
      <protection locked="0"/>
    </xf>
    <xf numFmtId="0" fontId="130" fillId="46" borderId="155" xfId="0" applyFont="1" applyFill="1" applyBorder="1" applyProtection="1">
      <alignment vertical="center"/>
      <protection locked="0"/>
    </xf>
    <xf numFmtId="0" fontId="127" fillId="46" borderId="155" xfId="0" applyFont="1" applyFill="1" applyBorder="1" applyProtection="1">
      <alignment vertical="center"/>
      <protection locked="0"/>
    </xf>
    <xf numFmtId="0" fontId="130" fillId="46" borderId="66" xfId="0" applyFont="1" applyFill="1" applyBorder="1" applyProtection="1">
      <alignment vertical="center"/>
      <protection locked="0"/>
    </xf>
    <xf numFmtId="0" fontId="130" fillId="46" borderId="58" xfId="0" applyFont="1" applyFill="1" applyBorder="1" applyProtection="1">
      <alignment vertical="center"/>
      <protection locked="0"/>
    </xf>
    <xf numFmtId="0" fontId="64" fillId="7" borderId="66" xfId="0" applyFont="1" applyFill="1" applyBorder="1" applyProtection="1">
      <alignment vertical="center"/>
      <protection locked="0"/>
    </xf>
    <xf numFmtId="0" fontId="131" fillId="46" borderId="66" xfId="0" applyFont="1" applyFill="1" applyBorder="1" applyProtection="1">
      <alignment vertical="center"/>
      <protection locked="0"/>
    </xf>
    <xf numFmtId="0" fontId="132" fillId="46" borderId="142" xfId="0" applyFont="1" applyFill="1" applyBorder="1" applyProtection="1">
      <alignment vertical="center"/>
      <protection locked="0"/>
    </xf>
    <xf numFmtId="0" fontId="131" fillId="46" borderId="142" xfId="0" applyFont="1" applyFill="1" applyBorder="1" applyProtection="1">
      <alignment vertical="center"/>
      <protection locked="0"/>
    </xf>
    <xf numFmtId="0" fontId="64" fillId="7" borderId="142" xfId="0" applyFont="1" applyFill="1" applyBorder="1" applyProtection="1">
      <alignment vertical="center"/>
      <protection locked="0"/>
    </xf>
    <xf numFmtId="0" fontId="120" fillId="7" borderId="142" xfId="0" applyFont="1" applyFill="1" applyBorder="1" applyProtection="1">
      <alignment vertical="center"/>
      <protection locked="0"/>
    </xf>
    <xf numFmtId="0" fontId="95" fillId="38" borderId="148" xfId="0" applyFont="1" applyFill="1" applyBorder="1" applyProtection="1">
      <alignment vertical="center"/>
      <protection locked="0"/>
    </xf>
    <xf numFmtId="190" fontId="32" fillId="7" borderId="0" xfId="138" applyNumberFormat="1" applyFont="1" applyFill="1" applyBorder="1">
      <alignment vertical="center"/>
    </xf>
    <xf numFmtId="190" fontId="32" fillId="7" borderId="0" xfId="138" applyNumberFormat="1" applyFont="1" applyFill="1">
      <alignment vertical="center"/>
    </xf>
    <xf numFmtId="190" fontId="32" fillId="7" borderId="0" xfId="0" applyNumberFormat="1" applyFont="1" applyFill="1" applyBorder="1">
      <alignment vertical="center"/>
    </xf>
    <xf numFmtId="190" fontId="32" fillId="7" borderId="0" xfId="0" applyNumberFormat="1" applyFont="1" applyFill="1">
      <alignment vertical="center"/>
    </xf>
    <xf numFmtId="0" fontId="95" fillId="38" borderId="77" xfId="0" applyFont="1" applyFill="1" applyBorder="1" applyProtection="1">
      <alignment vertical="center"/>
      <protection locked="0"/>
    </xf>
    <xf numFmtId="0" fontId="35" fillId="0" borderId="165" xfId="24" quotePrefix="1" applyNumberFormat="1" applyFont="1" applyFill="1" applyBorder="1" applyAlignment="1">
      <alignment horizontal="left"/>
    </xf>
    <xf numFmtId="0" fontId="44" fillId="0" borderId="166" xfId="24" quotePrefix="1" applyNumberFormat="1" applyFont="1" applyFill="1" applyBorder="1" applyAlignment="1">
      <alignment horizontal="left"/>
    </xf>
    <xf numFmtId="0" fontId="38" fillId="28" borderId="166" xfId="0" applyNumberFormat="1" applyFont="1" applyFill="1" applyBorder="1">
      <alignment vertical="center"/>
    </xf>
    <xf numFmtId="0" fontId="86" fillId="0" borderId="164" xfId="0" applyFont="1" applyBorder="1" applyAlignment="1" applyProtection="1">
      <alignment horizontal="center" vertical="center"/>
      <protection locked="0"/>
    </xf>
    <xf numFmtId="0" fontId="6" fillId="0" borderId="0" xfId="0" applyFont="1">
      <alignment vertical="center"/>
    </xf>
    <xf numFmtId="38" fontId="6" fillId="0" borderId="0" xfId="0" applyNumberFormat="1" applyFont="1">
      <alignment vertical="center"/>
    </xf>
    <xf numFmtId="0" fontId="88" fillId="38" borderId="167" xfId="0" applyFont="1" applyFill="1" applyBorder="1" applyProtection="1">
      <alignment vertical="center"/>
      <protection locked="0"/>
    </xf>
    <xf numFmtId="0" fontId="40" fillId="0" borderId="154" xfId="2" applyBorder="1" applyAlignment="1" applyProtection="1">
      <alignment horizontal="center" vertical="center"/>
    </xf>
    <xf numFmtId="0" fontId="40" fillId="0" borderId="154" xfId="2" applyBorder="1" applyAlignment="1" applyProtection="1">
      <alignment horizontal="center" vertical="center" wrapText="1"/>
    </xf>
    <xf numFmtId="191" fontId="87" fillId="0" borderId="1" xfId="138" applyNumberFormat="1" applyFont="1" applyBorder="1" applyProtection="1">
      <alignment vertical="center"/>
      <protection locked="0"/>
    </xf>
    <xf numFmtId="191" fontId="32" fillId="0" borderId="1" xfId="138" applyNumberFormat="1" applyFont="1" applyBorder="1">
      <alignment vertical="center"/>
    </xf>
    <xf numFmtId="191" fontId="32" fillId="0" borderId="68" xfId="138" applyNumberFormat="1" applyFont="1" applyBorder="1">
      <alignment vertical="center"/>
    </xf>
    <xf numFmtId="191" fontId="66" fillId="0" borderId="1" xfId="138" applyNumberFormat="1" applyFont="1" applyBorder="1" applyProtection="1">
      <alignment vertical="center"/>
      <protection locked="0"/>
    </xf>
    <xf numFmtId="191" fontId="67" fillId="0" borderId="66" xfId="0" applyNumberFormat="1" applyFont="1" applyBorder="1">
      <alignment vertical="center"/>
    </xf>
    <xf numFmtId="191" fontId="67" fillId="0" borderId="13" xfId="0" applyNumberFormat="1" applyFont="1" applyBorder="1">
      <alignment vertical="center"/>
    </xf>
    <xf numFmtId="191" fontId="66" fillId="0" borderId="84" xfId="138" applyNumberFormat="1" applyFont="1" applyBorder="1" applyProtection="1">
      <alignment vertical="center"/>
      <protection locked="0"/>
    </xf>
    <xf numFmtId="191" fontId="66" fillId="0" borderId="104" xfId="138" applyNumberFormat="1" applyFont="1" applyBorder="1" applyProtection="1">
      <alignment vertical="center"/>
      <protection locked="0"/>
    </xf>
    <xf numFmtId="191" fontId="66" fillId="0" borderId="113" xfId="138" applyNumberFormat="1" applyFont="1" applyBorder="1" applyProtection="1">
      <alignment vertical="center"/>
      <protection locked="0"/>
    </xf>
    <xf numFmtId="191" fontId="66" fillId="0" borderId="43" xfId="138" applyNumberFormat="1" applyFont="1" applyBorder="1" applyProtection="1">
      <alignment vertical="center"/>
      <protection locked="0"/>
    </xf>
    <xf numFmtId="191" fontId="66" fillId="0" borderId="46" xfId="138" applyNumberFormat="1" applyFont="1" applyBorder="1" applyProtection="1">
      <alignment vertical="center"/>
      <protection locked="0"/>
    </xf>
    <xf numFmtId="191" fontId="66" fillId="0" borderId="111" xfId="138" applyNumberFormat="1" applyFont="1" applyBorder="1" applyProtection="1">
      <alignment vertical="center"/>
      <protection locked="0"/>
    </xf>
    <xf numFmtId="191" fontId="88" fillId="38" borderId="73" xfId="138" applyNumberFormat="1" applyFont="1" applyFill="1" applyBorder="1" applyAlignment="1" applyProtection="1">
      <alignment vertical="center" shrinkToFit="1"/>
      <protection locked="0"/>
    </xf>
    <xf numFmtId="191" fontId="88" fillId="38" borderId="73" xfId="138" applyNumberFormat="1" applyFont="1" applyFill="1" applyBorder="1" applyProtection="1">
      <alignment vertical="center"/>
      <protection locked="0"/>
    </xf>
    <xf numFmtId="191" fontId="67" fillId="0" borderId="1" xfId="0" applyNumberFormat="1" applyFont="1" applyBorder="1">
      <alignment vertical="center"/>
    </xf>
    <xf numFmtId="191" fontId="46" fillId="0" borderId="84" xfId="138" applyNumberFormat="1" applyFont="1" applyBorder="1">
      <alignment vertical="center"/>
    </xf>
    <xf numFmtId="191" fontId="66" fillId="0" borderId="70" xfId="138" applyNumberFormat="1" applyFont="1" applyBorder="1" applyProtection="1">
      <alignment vertical="center"/>
      <protection locked="0"/>
    </xf>
    <xf numFmtId="191" fontId="67" fillId="0" borderId="1" xfId="138" applyNumberFormat="1" applyFont="1" applyBorder="1">
      <alignment vertical="center"/>
    </xf>
    <xf numFmtId="191" fontId="129" fillId="46" borderId="124" xfId="0" applyNumberFormat="1" applyFont="1" applyFill="1" applyBorder="1" applyProtection="1">
      <alignment vertical="center"/>
      <protection locked="0"/>
    </xf>
    <xf numFmtId="191" fontId="129" fillId="46" borderId="125" xfId="0" applyNumberFormat="1" applyFont="1" applyFill="1" applyBorder="1" applyProtection="1">
      <alignment vertical="center"/>
      <protection locked="0"/>
    </xf>
    <xf numFmtId="191" fontId="129" fillId="46" borderId="150" xfId="0" applyNumberFormat="1" applyFont="1" applyFill="1" applyBorder="1" applyProtection="1">
      <alignment vertical="center"/>
      <protection locked="0"/>
    </xf>
    <xf numFmtId="191" fontId="133" fillId="46" borderId="1" xfId="138" applyNumberFormat="1" applyFont="1" applyFill="1" applyBorder="1" applyProtection="1">
      <alignment vertical="center"/>
      <protection locked="0"/>
    </xf>
    <xf numFmtId="191" fontId="13" fillId="0" borderId="68" xfId="138" applyNumberFormat="1" applyFont="1" applyFill="1" applyBorder="1">
      <alignment vertical="center"/>
    </xf>
    <xf numFmtId="191" fontId="110" fillId="0" borderId="68" xfId="138" applyNumberFormat="1" applyFont="1" applyBorder="1" applyAlignment="1">
      <alignment horizontal="right" vertical="center"/>
    </xf>
    <xf numFmtId="191" fontId="67" fillId="7" borderId="68" xfId="138" applyNumberFormat="1" applyFont="1" applyFill="1" applyBorder="1" applyAlignment="1">
      <alignment horizontal="right" vertical="center"/>
    </xf>
    <xf numFmtId="191" fontId="32" fillId="0" borderId="68" xfId="138" applyNumberFormat="1" applyFont="1" applyBorder="1" applyAlignment="1">
      <alignment horizontal="right" vertical="center"/>
    </xf>
    <xf numFmtId="191" fontId="82" fillId="28" borderId="62" xfId="138" applyNumberFormat="1" applyFont="1" applyFill="1" applyBorder="1">
      <alignment vertical="center"/>
    </xf>
    <xf numFmtId="191" fontId="18" fillId="7" borderId="46" xfId="142" applyNumberFormat="1" applyFill="1" applyBorder="1">
      <alignment vertical="center"/>
    </xf>
    <xf numFmtId="191" fontId="67" fillId="0" borderId="46" xfId="138" applyNumberFormat="1" applyFont="1" applyBorder="1">
      <alignment vertical="center"/>
    </xf>
    <xf numFmtId="191" fontId="18" fillId="7" borderId="1" xfId="142" applyNumberFormat="1" applyFill="1" applyBorder="1">
      <alignment vertical="center"/>
    </xf>
    <xf numFmtId="191" fontId="46" fillId="0" borderId="67" xfId="138" applyNumberFormat="1" applyFont="1" applyBorder="1">
      <alignment vertical="center"/>
    </xf>
    <xf numFmtId="191" fontId="67" fillId="0" borderId="68" xfId="138" applyNumberFormat="1" applyFont="1" applyBorder="1">
      <alignment vertical="center"/>
    </xf>
    <xf numFmtId="191" fontId="67" fillId="0" borderId="67" xfId="138" applyNumberFormat="1" applyFont="1" applyBorder="1">
      <alignment vertical="center"/>
    </xf>
    <xf numFmtId="191" fontId="110" fillId="0" borderId="1" xfId="138" applyNumberFormat="1" applyFont="1" applyFill="1" applyBorder="1">
      <alignment vertical="center"/>
    </xf>
    <xf numFmtId="191" fontId="46" fillId="0" borderId="68" xfId="138" applyNumberFormat="1" applyFont="1" applyBorder="1">
      <alignment vertical="center"/>
    </xf>
    <xf numFmtId="191" fontId="22" fillId="0" borderId="68" xfId="138" applyNumberFormat="1" applyFont="1" applyBorder="1">
      <alignment vertical="center"/>
    </xf>
    <xf numFmtId="191" fontId="80" fillId="0" borderId="68" xfId="138" applyNumberFormat="1" applyFont="1" applyBorder="1">
      <alignment vertical="center"/>
    </xf>
    <xf numFmtId="191" fontId="32" fillId="0" borderId="64" xfId="138" applyNumberFormat="1" applyFont="1" applyBorder="1">
      <alignment vertical="center"/>
    </xf>
    <xf numFmtId="191" fontId="111" fillId="0" borderId="66" xfId="0" applyNumberFormat="1" applyFont="1" applyBorder="1">
      <alignment vertical="center"/>
    </xf>
    <xf numFmtId="191" fontId="46" fillId="28" borderId="62" xfId="138" applyNumberFormat="1" applyFont="1" applyFill="1" applyBorder="1">
      <alignment vertical="center"/>
    </xf>
    <xf numFmtId="191" fontId="11" fillId="0" borderId="1" xfId="138" applyNumberFormat="1" applyFont="1" applyFill="1" applyBorder="1">
      <alignment vertical="center"/>
    </xf>
    <xf numFmtId="191" fontId="134" fillId="7" borderId="68" xfId="138" applyNumberFormat="1" applyFont="1" applyFill="1" applyBorder="1" applyAlignment="1">
      <alignment horizontal="right" vertical="center"/>
    </xf>
    <xf numFmtId="191" fontId="110" fillId="28" borderId="62" xfId="138" applyNumberFormat="1" applyFont="1" applyFill="1" applyBorder="1">
      <alignment vertical="center"/>
    </xf>
    <xf numFmtId="191" fontId="46" fillId="0" borderId="68" xfId="138" applyNumberFormat="1" applyFont="1" applyBorder="1" applyAlignment="1">
      <alignment vertical="center"/>
    </xf>
    <xf numFmtId="191" fontId="111" fillId="7" borderId="68" xfId="138" applyNumberFormat="1" applyFont="1" applyFill="1" applyBorder="1" applyAlignment="1">
      <alignment vertical="center"/>
    </xf>
    <xf numFmtId="191" fontId="134" fillId="0" borderId="1" xfId="138" applyNumberFormat="1" applyFont="1" applyBorder="1">
      <alignment vertical="center"/>
    </xf>
    <xf numFmtId="191" fontId="36" fillId="28" borderId="48" xfId="138" applyNumberFormat="1" applyFont="1" applyFill="1" applyBorder="1">
      <alignment vertical="center"/>
    </xf>
    <xf numFmtId="191" fontId="111" fillId="7" borderId="68" xfId="138" applyNumberFormat="1" applyFont="1" applyFill="1" applyBorder="1" applyAlignment="1">
      <alignment horizontal="center" vertical="center"/>
    </xf>
    <xf numFmtId="191" fontId="49" fillId="7" borderId="68" xfId="0" applyNumberFormat="1" applyFont="1" applyFill="1" applyBorder="1">
      <alignment vertical="center"/>
    </xf>
    <xf numFmtId="191" fontId="94" fillId="0" borderId="127" xfId="0" applyNumberFormat="1" applyFont="1" applyBorder="1">
      <alignment vertical="center"/>
    </xf>
    <xf numFmtId="191" fontId="0" fillId="0" borderId="127" xfId="0" applyNumberFormat="1" applyBorder="1">
      <alignment vertical="center"/>
    </xf>
    <xf numFmtId="191" fontId="94" fillId="0" borderId="68" xfId="0" applyNumberFormat="1" applyFont="1" applyBorder="1">
      <alignment vertical="center"/>
    </xf>
    <xf numFmtId="191" fontId="0" fillId="0" borderId="68" xfId="0" applyNumberFormat="1" applyBorder="1">
      <alignment vertical="center"/>
    </xf>
    <xf numFmtId="191" fontId="0" fillId="0" borderId="68" xfId="138" applyNumberFormat="1" applyFont="1" applyBorder="1">
      <alignment vertical="center"/>
    </xf>
    <xf numFmtId="0" fontId="116" fillId="28" borderId="164" xfId="0" applyNumberFormat="1" applyFont="1" applyFill="1" applyBorder="1" applyProtection="1">
      <alignment vertical="center"/>
      <protection locked="0"/>
    </xf>
    <xf numFmtId="0" fontId="119" fillId="28" borderId="164" xfId="0" applyNumberFormat="1" applyFont="1" applyFill="1" applyBorder="1" applyProtection="1">
      <alignment vertical="center"/>
      <protection locked="0"/>
    </xf>
    <xf numFmtId="0" fontId="38" fillId="0" borderId="171" xfId="0" applyFont="1" applyBorder="1">
      <alignment vertical="center"/>
    </xf>
    <xf numFmtId="3" fontId="38" fillId="0" borderId="151" xfId="0" applyNumberFormat="1" applyFont="1" applyBorder="1">
      <alignment vertical="center"/>
    </xf>
    <xf numFmtId="0" fontId="38" fillId="0" borderId="151" xfId="0" applyFont="1" applyBorder="1">
      <alignment vertical="center"/>
    </xf>
    <xf numFmtId="0" fontId="38" fillId="0" borderId="173" xfId="0" applyFont="1" applyBorder="1">
      <alignment vertical="center"/>
    </xf>
    <xf numFmtId="3" fontId="38" fillId="0" borderId="0" xfId="0" applyNumberFormat="1" applyFont="1" applyBorder="1">
      <alignment vertical="center"/>
    </xf>
    <xf numFmtId="176" fontId="38" fillId="0" borderId="0" xfId="0" applyNumberFormat="1" applyFont="1" applyBorder="1">
      <alignment vertical="center"/>
    </xf>
    <xf numFmtId="0" fontId="38" fillId="0" borderId="174" xfId="0" applyFont="1" applyBorder="1">
      <alignment vertical="center"/>
    </xf>
    <xf numFmtId="0" fontId="38" fillId="0" borderId="0" xfId="0" applyNumberFormat="1" applyFont="1" applyBorder="1">
      <alignment vertical="center"/>
    </xf>
    <xf numFmtId="9" fontId="38" fillId="0" borderId="0" xfId="1" applyFont="1" applyBorder="1">
      <alignment vertical="center"/>
    </xf>
    <xf numFmtId="0" fontId="38" fillId="0" borderId="175" xfId="0" applyFont="1" applyBorder="1">
      <alignment vertical="center"/>
    </xf>
    <xf numFmtId="176" fontId="38" fillId="0" borderId="52" xfId="0" applyNumberFormat="1" applyFont="1" applyBorder="1">
      <alignment vertical="center"/>
    </xf>
    <xf numFmtId="0" fontId="38" fillId="0" borderId="52" xfId="0" applyNumberFormat="1" applyFont="1" applyBorder="1">
      <alignment vertical="center"/>
    </xf>
    <xf numFmtId="3" fontId="38" fillId="0" borderId="52" xfId="0" applyNumberFormat="1" applyFont="1" applyBorder="1">
      <alignment vertical="center"/>
    </xf>
    <xf numFmtId="9" fontId="38" fillId="0" borderId="52" xfId="1" applyFont="1" applyBorder="1">
      <alignment vertical="center"/>
    </xf>
    <xf numFmtId="0" fontId="38" fillId="0" borderId="52" xfId="0" applyFont="1" applyBorder="1">
      <alignment vertical="center"/>
    </xf>
    <xf numFmtId="0" fontId="38" fillId="0" borderId="176" xfId="0" applyFont="1" applyBorder="1">
      <alignment vertical="center"/>
    </xf>
    <xf numFmtId="0" fontId="38" fillId="0" borderId="172" xfId="0" applyFont="1" applyBorder="1">
      <alignment vertical="center"/>
    </xf>
    <xf numFmtId="0" fontId="44" fillId="0" borderId="171" xfId="0" applyFont="1" applyBorder="1">
      <alignment vertical="center"/>
    </xf>
    <xf numFmtId="0" fontId="111" fillId="24" borderId="166" xfId="0" applyFont="1" applyFill="1" applyBorder="1" applyAlignment="1">
      <alignment horizontal="left" vertical="center"/>
    </xf>
    <xf numFmtId="0" fontId="111" fillId="24" borderId="177" xfId="0" applyFont="1" applyFill="1" applyBorder="1" applyAlignment="1">
      <alignment horizontal="left" vertical="center"/>
    </xf>
    <xf numFmtId="40" fontId="111" fillId="0" borderId="177" xfId="138" applyNumberFormat="1" applyFont="1" applyBorder="1" applyAlignment="1">
      <alignment horizontal="left" vertical="center"/>
    </xf>
    <xf numFmtId="0" fontId="32" fillId="0" borderId="178" xfId="0" applyFont="1" applyBorder="1">
      <alignment vertical="center"/>
    </xf>
    <xf numFmtId="183" fontId="110" fillId="0" borderId="178" xfId="138" applyNumberFormat="1" applyFont="1" applyBorder="1">
      <alignment vertical="center"/>
    </xf>
    <xf numFmtId="191" fontId="67" fillId="7" borderId="46" xfId="142" applyNumberFormat="1" applyFont="1" applyFill="1" applyBorder="1">
      <alignment vertical="center"/>
    </xf>
    <xf numFmtId="191" fontId="67" fillId="7" borderId="1" xfId="142" applyNumberFormat="1" applyFont="1" applyFill="1" applyBorder="1">
      <alignment vertical="center"/>
    </xf>
    <xf numFmtId="0" fontId="4" fillId="0" borderId="154" xfId="144" applyFont="1" applyBorder="1" applyAlignment="1">
      <alignment vertical="center" wrapText="1"/>
    </xf>
    <xf numFmtId="0" fontId="45" fillId="3" borderId="0" xfId="0" applyFont="1" applyFill="1" applyAlignment="1">
      <alignment horizontal="center" vertical="center"/>
    </xf>
    <xf numFmtId="0" fontId="46" fillId="7" borderId="0" xfId="0" applyFont="1" applyFill="1" applyBorder="1" applyAlignment="1">
      <alignment horizontal="center" vertical="center"/>
    </xf>
    <xf numFmtId="0" fontId="45" fillId="36" borderId="0" xfId="0" applyFont="1" applyFill="1" applyAlignment="1">
      <alignment horizontal="center" vertical="center"/>
    </xf>
    <xf numFmtId="38" fontId="21" fillId="0" borderId="180" xfId="138" applyFont="1" applyFill="1" applyBorder="1" applyAlignment="1">
      <alignment horizontal="center" vertical="center"/>
    </xf>
    <xf numFmtId="0" fontId="21" fillId="0" borderId="180" xfId="0" applyFont="1" applyFill="1" applyBorder="1" applyAlignment="1">
      <alignment horizontal="center" vertical="center"/>
    </xf>
    <xf numFmtId="192" fontId="111" fillId="0" borderId="68" xfId="1" applyNumberFormat="1" applyFont="1" applyBorder="1">
      <alignment vertical="center"/>
    </xf>
    <xf numFmtId="192" fontId="111" fillId="0" borderId="180" xfId="1" applyNumberFormat="1" applyFont="1" applyBorder="1">
      <alignment vertical="center"/>
    </xf>
    <xf numFmtId="0" fontId="16" fillId="7" borderId="0" xfId="0" applyFont="1" applyFill="1" applyBorder="1" applyAlignment="1">
      <alignment horizontal="center" vertical="center"/>
    </xf>
    <xf numFmtId="9" fontId="111" fillId="0" borderId="180" xfId="1" applyFont="1" applyBorder="1">
      <alignment vertical="center"/>
    </xf>
    <xf numFmtId="9" fontId="111" fillId="0" borderId="179" xfId="1" applyFont="1" applyBorder="1">
      <alignment vertical="center"/>
    </xf>
    <xf numFmtId="9" fontId="111" fillId="7" borderId="43" xfId="1" applyFont="1" applyFill="1" applyBorder="1">
      <alignment vertical="center"/>
    </xf>
    <xf numFmtId="9" fontId="111" fillId="7" borderId="14" xfId="1" applyFont="1" applyFill="1" applyBorder="1">
      <alignment vertical="center"/>
    </xf>
    <xf numFmtId="9" fontId="111" fillId="7" borderId="189" xfId="1" applyFont="1" applyFill="1" applyBorder="1">
      <alignment vertical="center"/>
    </xf>
    <xf numFmtId="9" fontId="111" fillId="7" borderId="194" xfId="1" applyFont="1" applyFill="1" applyBorder="1">
      <alignment vertical="center"/>
    </xf>
    <xf numFmtId="9" fontId="111" fillId="0" borderId="43" xfId="1" applyFont="1" applyBorder="1">
      <alignment vertical="center"/>
    </xf>
    <xf numFmtId="191" fontId="67" fillId="38" borderId="181" xfId="138" applyNumberFormat="1" applyFont="1" applyFill="1" applyBorder="1">
      <alignment vertical="center"/>
    </xf>
    <xf numFmtId="9" fontId="111" fillId="38" borderId="181" xfId="1" applyFont="1" applyFill="1" applyBorder="1">
      <alignment vertical="center"/>
    </xf>
    <xf numFmtId="0" fontId="88" fillId="38" borderId="0" xfId="0" applyFont="1" applyFill="1" applyBorder="1" applyProtection="1">
      <alignment vertical="center"/>
      <protection locked="0"/>
    </xf>
    <xf numFmtId="9" fontId="111" fillId="38" borderId="0" xfId="1" applyFont="1" applyFill="1" applyBorder="1">
      <alignment vertical="center"/>
    </xf>
    <xf numFmtId="0" fontId="21" fillId="0" borderId="188" xfId="0" applyFont="1" applyFill="1" applyBorder="1" applyAlignment="1">
      <alignment horizontal="center" vertical="center"/>
    </xf>
    <xf numFmtId="0" fontId="16" fillId="0" borderId="181" xfId="0" applyFont="1" applyFill="1" applyBorder="1" applyAlignment="1">
      <alignment horizontal="center" vertical="center"/>
    </xf>
    <xf numFmtId="0" fontId="3" fillId="0" borderId="180" xfId="0" applyFont="1" applyFill="1" applyBorder="1" applyAlignment="1">
      <alignment horizontal="center" vertical="center"/>
    </xf>
    <xf numFmtId="38" fontId="3" fillId="0" borderId="180" xfId="138" applyFont="1" applyFill="1" applyBorder="1" applyAlignment="1">
      <alignment horizontal="center" vertical="center"/>
    </xf>
    <xf numFmtId="192" fontId="111" fillId="7" borderId="181" xfId="1" applyNumberFormat="1" applyFont="1" applyFill="1" applyBorder="1">
      <alignment vertical="center"/>
    </xf>
    <xf numFmtId="185" fontId="45" fillId="7" borderId="0" xfId="0" applyNumberFormat="1" applyFont="1" applyFill="1" applyBorder="1" applyAlignment="1">
      <alignment horizontal="center" vertical="center"/>
    </xf>
    <xf numFmtId="192" fontId="111" fillId="0" borderId="0" xfId="1" applyNumberFormat="1" applyFont="1" applyBorder="1">
      <alignment vertical="center"/>
    </xf>
    <xf numFmtId="9" fontId="111" fillId="0" borderId="0" xfId="1" applyFont="1" applyBorder="1">
      <alignment vertical="center"/>
    </xf>
    <xf numFmtId="0" fontId="21" fillId="0" borderId="181" xfId="0" applyFont="1" applyFill="1" applyBorder="1" applyAlignment="1">
      <alignment horizontal="center" vertical="center"/>
    </xf>
    <xf numFmtId="0" fontId="12" fillId="0" borderId="181" xfId="0" applyFont="1" applyFill="1" applyBorder="1" applyAlignment="1">
      <alignment horizontal="center" vertical="center"/>
    </xf>
    <xf numFmtId="0" fontId="12" fillId="0" borderId="0" xfId="0" applyFont="1" applyFill="1" applyBorder="1" applyAlignment="1">
      <alignment horizontal="center" vertical="center"/>
    </xf>
    <xf numFmtId="191" fontId="67" fillId="38" borderId="0" xfId="138" applyNumberFormat="1" applyFont="1" applyFill="1" applyBorder="1">
      <alignment vertical="center"/>
    </xf>
    <xf numFmtId="0" fontId="0" fillId="0" borderId="0" xfId="0">
      <alignment vertical="center"/>
    </xf>
    <xf numFmtId="0" fontId="0" fillId="7" borderId="0" xfId="0" applyFill="1">
      <alignment vertical="center"/>
    </xf>
    <xf numFmtId="185" fontId="45" fillId="36" borderId="0" xfId="0" applyNumberFormat="1" applyFont="1" applyFill="1" applyAlignment="1">
      <alignment horizontal="center" vertical="center"/>
    </xf>
    <xf numFmtId="185" fontId="45" fillId="36" borderId="0" xfId="0" applyNumberFormat="1" applyFont="1" applyFill="1" applyBorder="1" applyAlignment="1">
      <alignment horizontal="center" vertical="center"/>
    </xf>
    <xf numFmtId="185" fontId="46" fillId="7" borderId="0" xfId="138" applyNumberFormat="1" applyFont="1" applyFill="1">
      <alignment vertical="center"/>
    </xf>
    <xf numFmtId="9" fontId="111" fillId="7" borderId="0" xfId="1" applyFont="1" applyFill="1" applyBorder="1">
      <alignment vertical="center"/>
    </xf>
    <xf numFmtId="9" fontId="111" fillId="7" borderId="44" xfId="1" applyFont="1" applyFill="1" applyBorder="1">
      <alignment vertical="center"/>
    </xf>
    <xf numFmtId="0" fontId="88" fillId="38" borderId="181" xfId="0" applyFont="1" applyFill="1" applyBorder="1" applyProtection="1">
      <alignment vertical="center"/>
      <protection locked="0"/>
    </xf>
    <xf numFmtId="0" fontId="45" fillId="3" borderId="0" xfId="0" applyFont="1" applyFill="1" applyAlignment="1">
      <alignment horizontal="center" vertical="center"/>
    </xf>
    <xf numFmtId="0" fontId="46" fillId="7" borderId="0" xfId="0" applyFont="1" applyFill="1" applyBorder="1" applyAlignment="1">
      <alignment horizontal="center" vertical="center"/>
    </xf>
    <xf numFmtId="0" fontId="45" fillId="36" borderId="0" xfId="0" applyFont="1" applyFill="1" applyAlignment="1">
      <alignment horizontal="center" vertical="center"/>
    </xf>
    <xf numFmtId="192" fontId="111" fillId="7" borderId="0" xfId="1" applyNumberFormat="1" applyFont="1" applyFill="1" applyBorder="1">
      <alignment vertical="center"/>
    </xf>
    <xf numFmtId="0" fontId="0" fillId="0" borderId="195" xfId="0" applyBorder="1">
      <alignment vertical="center"/>
    </xf>
    <xf numFmtId="0" fontId="54" fillId="0" borderId="198" xfId="0" applyFont="1" applyFill="1" applyBorder="1">
      <alignment vertical="center"/>
    </xf>
    <xf numFmtId="0" fontId="54" fillId="0" borderId="198" xfId="0" applyFont="1" applyFill="1" applyBorder="1" applyProtection="1">
      <alignment vertical="center"/>
      <protection locked="0"/>
    </xf>
    <xf numFmtId="9" fontId="54" fillId="0" borderId="198" xfId="0" applyNumberFormat="1" applyFont="1" applyFill="1" applyBorder="1" applyProtection="1">
      <alignment vertical="center"/>
      <protection locked="0"/>
    </xf>
    <xf numFmtId="0" fontId="32" fillId="7" borderId="198" xfId="0" applyFont="1" applyFill="1" applyBorder="1">
      <alignment vertical="center"/>
    </xf>
    <xf numFmtId="0" fontId="2" fillId="7" borderId="198" xfId="0" applyFont="1" applyFill="1" applyBorder="1">
      <alignment vertical="center"/>
    </xf>
    <xf numFmtId="185" fontId="2" fillId="7" borderId="198" xfId="138" applyNumberFormat="1" applyFont="1" applyFill="1" applyBorder="1">
      <alignment vertical="center"/>
    </xf>
    <xf numFmtId="0" fontId="0" fillId="0" borderId="198" xfId="0" applyBorder="1">
      <alignment vertical="center"/>
    </xf>
    <xf numFmtId="0" fontId="54" fillId="0" borderId="198" xfId="144" applyFont="1" applyFill="1" applyBorder="1" applyAlignment="1" applyProtection="1">
      <alignment horizontal="center" vertical="center"/>
      <protection locked="0"/>
    </xf>
    <xf numFmtId="0" fontId="81" fillId="38" borderId="159" xfId="144" applyFont="1" applyFill="1" applyBorder="1" applyAlignment="1">
      <alignment vertical="center" wrapText="1"/>
    </xf>
    <xf numFmtId="9" fontId="9" fillId="7" borderId="0" xfId="144" applyNumberFormat="1" applyFill="1">
      <alignment vertical="center"/>
    </xf>
    <xf numFmtId="9" fontId="9" fillId="7" borderId="0" xfId="144" applyNumberFormat="1" applyFill="1" applyAlignment="1">
      <alignment horizontal="center" vertical="center"/>
    </xf>
    <xf numFmtId="0" fontId="44" fillId="0" borderId="196" xfId="0" applyFont="1" applyFill="1" applyBorder="1" applyAlignment="1" applyProtection="1">
      <alignment horizontal="center" vertical="center"/>
      <protection locked="0"/>
    </xf>
    <xf numFmtId="9" fontId="44" fillId="0" borderId="197" xfId="1" applyFont="1" applyFill="1" applyBorder="1" applyAlignment="1" applyProtection="1">
      <alignment horizontal="center" vertical="center"/>
      <protection locked="0"/>
    </xf>
    <xf numFmtId="0" fontId="81" fillId="38" borderId="200" xfId="144" applyFont="1" applyFill="1" applyBorder="1" applyAlignment="1">
      <alignment vertical="center" wrapText="1"/>
    </xf>
    <xf numFmtId="0" fontId="66" fillId="38" borderId="201" xfId="144" applyFont="1" applyFill="1" applyBorder="1" applyAlignment="1" applyProtection="1">
      <alignment horizontal="center" vertical="center" wrapText="1"/>
      <protection locked="0"/>
    </xf>
    <xf numFmtId="191" fontId="140" fillId="38" borderId="181" xfId="138" applyNumberFormat="1" applyFont="1" applyFill="1" applyBorder="1">
      <alignment vertical="center"/>
    </xf>
    <xf numFmtId="9" fontId="140" fillId="38" borderId="181" xfId="1" applyFont="1" applyFill="1" applyBorder="1">
      <alignment vertical="center"/>
    </xf>
    <xf numFmtId="181" fontId="64" fillId="7" borderId="155" xfId="0" applyNumberFormat="1" applyFont="1" applyFill="1" applyBorder="1" applyProtection="1">
      <alignment vertical="center"/>
      <protection locked="0"/>
    </xf>
    <xf numFmtId="182" fontId="64" fillId="7" borderId="155" xfId="0" applyNumberFormat="1" applyFont="1" applyFill="1" applyBorder="1" applyProtection="1">
      <alignment vertical="center"/>
      <protection locked="0"/>
    </xf>
    <xf numFmtId="183" fontId="89" fillId="0" borderId="66" xfId="138" applyNumberFormat="1" applyFont="1" applyBorder="1">
      <alignment vertical="center"/>
    </xf>
    <xf numFmtId="182" fontId="89" fillId="0" borderId="122" xfId="0" applyNumberFormat="1" applyFont="1" applyBorder="1" applyProtection="1">
      <alignment vertical="center"/>
      <protection locked="0"/>
    </xf>
    <xf numFmtId="2" fontId="94" fillId="0" borderId="142" xfId="0" applyNumberFormat="1" applyFont="1" applyFill="1" applyBorder="1" applyProtection="1">
      <alignment vertical="center"/>
      <protection locked="0"/>
    </xf>
    <xf numFmtId="177" fontId="66" fillId="0" borderId="202" xfId="138" applyNumberFormat="1" applyFont="1" applyBorder="1" applyProtection="1">
      <alignment vertical="center"/>
      <protection locked="0"/>
    </xf>
    <xf numFmtId="182" fontId="0" fillId="7" borderId="122" xfId="138" applyNumberFormat="1" applyFont="1" applyFill="1" applyBorder="1">
      <alignment vertical="center"/>
    </xf>
    <xf numFmtId="182" fontId="0" fillId="7" borderId="65" xfId="138" applyNumberFormat="1" applyFont="1" applyFill="1" applyBorder="1">
      <alignment vertical="center"/>
    </xf>
    <xf numFmtId="0" fontId="141" fillId="47" borderId="203" xfId="0" applyFont="1" applyFill="1" applyBorder="1" applyAlignment="1">
      <alignment horizontal="center" vertical="center" wrapText="1"/>
    </xf>
    <xf numFmtId="0" fontId="142" fillId="47" borderId="203" xfId="0" applyFont="1" applyFill="1" applyBorder="1" applyAlignment="1">
      <alignment horizontal="center" vertical="center" wrapText="1"/>
    </xf>
    <xf numFmtId="0" fontId="86" fillId="0" borderId="195" xfId="0" applyFont="1" applyBorder="1">
      <alignment vertical="center"/>
    </xf>
    <xf numFmtId="0" fontId="64" fillId="0" borderId="195" xfId="0" applyFont="1" applyBorder="1">
      <alignment vertical="center"/>
    </xf>
    <xf numFmtId="0" fontId="81" fillId="0" borderId="47" xfId="0" applyFont="1" applyBorder="1" applyAlignment="1">
      <alignment horizontal="center" vertical="center"/>
    </xf>
    <xf numFmtId="0" fontId="81" fillId="0" borderId="48" xfId="0" applyFont="1" applyBorder="1" applyAlignment="1">
      <alignment horizontal="center" vertical="center"/>
    </xf>
    <xf numFmtId="0" fontId="81" fillId="0" borderId="49" xfId="0" applyFont="1" applyBorder="1" applyAlignment="1">
      <alignment horizontal="center" vertical="center"/>
    </xf>
    <xf numFmtId="0" fontId="86" fillId="7" borderId="159" xfId="0" applyFont="1" applyFill="1" applyBorder="1" applyProtection="1">
      <alignment vertical="center"/>
      <protection locked="0"/>
    </xf>
    <xf numFmtId="0" fontId="86" fillId="7" borderId="157" xfId="0" applyFont="1" applyFill="1" applyBorder="1" applyProtection="1">
      <alignment vertical="center"/>
      <protection locked="0"/>
    </xf>
    <xf numFmtId="0" fontId="86" fillId="7" borderId="160" xfId="0" applyFont="1" applyFill="1" applyBorder="1" applyProtection="1">
      <alignment vertical="center"/>
      <protection locked="0"/>
    </xf>
    <xf numFmtId="0" fontId="87" fillId="0" borderId="68" xfId="0" applyFont="1" applyBorder="1" applyAlignment="1" applyProtection="1">
      <alignment horizontal="center" vertical="center"/>
      <protection locked="0"/>
    </xf>
    <xf numFmtId="0" fontId="88" fillId="38" borderId="68" xfId="0" applyFont="1" applyFill="1" applyBorder="1" applyAlignment="1" applyProtection="1">
      <alignment horizontal="center" vertical="center"/>
      <protection locked="0"/>
    </xf>
    <xf numFmtId="0" fontId="45" fillId="24" borderId="20" xfId="0" applyFont="1" applyFill="1" applyBorder="1" applyAlignment="1">
      <alignment horizontal="center" vertical="center"/>
    </xf>
    <xf numFmtId="0" fontId="45" fillId="24" borderId="22" xfId="0" applyFont="1" applyFill="1" applyBorder="1" applyAlignment="1">
      <alignment horizontal="center" vertical="center"/>
    </xf>
    <xf numFmtId="0" fontId="66" fillId="0" borderId="68" xfId="0" applyFont="1" applyBorder="1" applyAlignment="1" applyProtection="1">
      <alignment horizontal="center" vertical="center"/>
      <protection locked="0"/>
    </xf>
    <xf numFmtId="0" fontId="100" fillId="7" borderId="0" xfId="0" applyFont="1" applyFill="1" applyBorder="1" applyAlignment="1">
      <alignment horizontal="center" vertical="center"/>
    </xf>
    <xf numFmtId="0" fontId="101" fillId="7" borderId="0" xfId="0" applyFont="1" applyFill="1" applyBorder="1" applyAlignment="1">
      <alignment horizontal="center" vertical="top"/>
    </xf>
    <xf numFmtId="0" fontId="32" fillId="7" borderId="68" xfId="0" applyFont="1" applyFill="1" applyBorder="1" applyAlignment="1">
      <alignment horizontal="center" vertical="center"/>
    </xf>
    <xf numFmtId="0" fontId="32" fillId="7" borderId="66" xfId="0" applyFont="1" applyFill="1" applyBorder="1" applyAlignment="1">
      <alignment horizontal="center" vertical="center"/>
    </xf>
    <xf numFmtId="0" fontId="32" fillId="7" borderId="67" xfId="0" applyFont="1" applyFill="1" applyBorder="1" applyAlignment="1">
      <alignment horizontal="center" vertical="center"/>
    </xf>
    <xf numFmtId="0" fontId="42" fillId="24" borderId="37" xfId="0" applyFont="1" applyFill="1" applyBorder="1" applyAlignment="1">
      <alignment horizontal="center" vertical="center"/>
    </xf>
    <xf numFmtId="0" fontId="42" fillId="24" borderId="45" xfId="0" applyFont="1" applyFill="1" applyBorder="1" applyAlignment="1">
      <alignment horizontal="center" vertical="center"/>
    </xf>
    <xf numFmtId="0" fontId="45" fillId="24" borderId="15" xfId="0" applyFont="1" applyFill="1" applyBorder="1" applyAlignment="1">
      <alignment horizontal="center" vertical="center" wrapText="1"/>
    </xf>
    <xf numFmtId="0" fontId="45" fillId="24" borderId="16" xfId="0" applyFont="1" applyFill="1" applyBorder="1" applyAlignment="1">
      <alignment horizontal="center" vertical="center" wrapText="1"/>
    </xf>
    <xf numFmtId="0" fontId="90" fillId="7" borderId="17" xfId="2" applyFont="1" applyFill="1" applyBorder="1" applyAlignment="1" applyProtection="1">
      <alignment horizontal="left" vertical="center" wrapText="1"/>
      <protection locked="0"/>
    </xf>
    <xf numFmtId="0" fontId="87" fillId="7" borderId="18" xfId="0" applyFont="1" applyFill="1" applyBorder="1" applyAlignment="1" applyProtection="1">
      <alignment horizontal="left" vertical="center" wrapText="1"/>
      <protection locked="0"/>
    </xf>
    <xf numFmtId="0" fontId="87" fillId="7" borderId="16" xfId="0" applyFont="1" applyFill="1" applyBorder="1" applyAlignment="1" applyProtection="1">
      <alignment horizontal="left" vertical="center" wrapText="1"/>
      <protection locked="0"/>
    </xf>
    <xf numFmtId="0" fontId="89" fillId="7" borderId="3" xfId="0" applyFont="1" applyFill="1" applyBorder="1" applyAlignment="1" applyProtection="1">
      <alignment horizontal="center" vertical="center"/>
      <protection locked="0"/>
    </xf>
    <xf numFmtId="0" fontId="86" fillId="7" borderId="20" xfId="0" applyFont="1" applyFill="1" applyBorder="1" applyAlignment="1" applyProtection="1">
      <alignment horizontal="center" vertical="center"/>
      <protection locked="0"/>
    </xf>
    <xf numFmtId="0" fontId="86" fillId="7" borderId="21" xfId="0" applyFont="1" applyFill="1" applyBorder="1" applyAlignment="1" applyProtection="1">
      <alignment horizontal="center" vertical="center"/>
      <protection locked="0"/>
    </xf>
    <xf numFmtId="0" fontId="42" fillId="24" borderId="145" xfId="0" applyFont="1" applyFill="1" applyBorder="1" applyAlignment="1">
      <alignment horizontal="left" vertical="center"/>
    </xf>
    <xf numFmtId="0" fontId="42" fillId="24" borderId="110" xfId="0" applyFont="1" applyFill="1" applyBorder="1" applyAlignment="1">
      <alignment horizontal="left" vertical="center"/>
    </xf>
    <xf numFmtId="0" fontId="42" fillId="24" borderId="141" xfId="0" applyFont="1" applyFill="1" applyBorder="1" applyAlignment="1">
      <alignment horizontal="left" vertical="center"/>
    </xf>
    <xf numFmtId="0" fontId="42" fillId="24" borderId="142" xfId="0" applyFont="1" applyFill="1" applyBorder="1" applyAlignment="1">
      <alignment horizontal="left" vertical="center"/>
    </xf>
    <xf numFmtId="0" fontId="42" fillId="24" borderId="146" xfId="0" applyFont="1" applyFill="1" applyBorder="1" applyAlignment="1">
      <alignment horizontal="left" vertical="center"/>
    </xf>
    <xf numFmtId="0" fontId="42" fillId="24" borderId="143" xfId="0" applyFont="1" applyFill="1" applyBorder="1" applyAlignment="1">
      <alignment horizontal="left" vertical="center"/>
    </xf>
    <xf numFmtId="0" fontId="45" fillId="24" borderId="158" xfId="0" applyFont="1" applyFill="1" applyBorder="1" applyAlignment="1">
      <alignment horizontal="center" vertical="center" wrapText="1"/>
    </xf>
    <xf numFmtId="0" fontId="88" fillId="38" borderId="158" xfId="2" applyFont="1" applyFill="1" applyBorder="1" applyAlignment="1" applyProtection="1">
      <alignment horizontal="left" vertical="center" wrapText="1"/>
      <protection locked="0"/>
    </xf>
    <xf numFmtId="0" fontId="86" fillId="7" borderId="159" xfId="0" applyFont="1" applyFill="1" applyBorder="1" applyAlignment="1" applyProtection="1">
      <alignment vertical="center" wrapText="1"/>
      <protection locked="0"/>
    </xf>
    <xf numFmtId="0" fontId="86" fillId="7" borderId="157" xfId="0" applyFont="1" applyFill="1" applyBorder="1" applyAlignment="1" applyProtection="1">
      <alignment vertical="center" wrapText="1"/>
      <protection locked="0"/>
    </xf>
    <xf numFmtId="0" fontId="86" fillId="7" borderId="160" xfId="0" applyFont="1" applyFill="1" applyBorder="1" applyAlignment="1" applyProtection="1">
      <alignment vertical="center" wrapText="1"/>
      <protection locked="0"/>
    </xf>
    <xf numFmtId="0" fontId="87" fillId="7" borderId="11" xfId="0" applyFont="1" applyFill="1" applyBorder="1" applyAlignment="1" applyProtection="1">
      <alignment horizontal="left" vertical="center" wrapText="1"/>
      <protection locked="0"/>
    </xf>
    <xf numFmtId="0" fontId="87" fillId="7" borderId="12" xfId="0" applyFont="1" applyFill="1" applyBorder="1" applyAlignment="1" applyProtection="1">
      <alignment horizontal="left" vertical="center" wrapText="1"/>
      <protection locked="0"/>
    </xf>
    <xf numFmtId="0" fontId="87" fillId="7" borderId="10" xfId="0" applyFont="1" applyFill="1" applyBorder="1" applyAlignment="1" applyProtection="1">
      <alignment horizontal="left" vertical="center" wrapText="1"/>
      <protection locked="0"/>
    </xf>
    <xf numFmtId="0" fontId="45" fillId="24" borderId="9" xfId="0" applyFont="1" applyFill="1" applyBorder="1" applyAlignment="1">
      <alignment horizontal="center" vertical="center" wrapText="1"/>
    </xf>
    <xf numFmtId="0" fontId="45" fillId="24" borderId="10" xfId="0" applyFont="1" applyFill="1" applyBorder="1" applyAlignment="1">
      <alignment horizontal="center" vertical="center" wrapText="1"/>
    </xf>
    <xf numFmtId="0" fontId="54" fillId="7" borderId="11" xfId="0" applyFont="1" applyFill="1" applyBorder="1" applyAlignment="1">
      <alignment horizontal="center" vertical="center" wrapText="1"/>
    </xf>
    <xf numFmtId="0" fontId="54" fillId="7" borderId="12" xfId="0" applyFont="1" applyFill="1" applyBorder="1" applyAlignment="1">
      <alignment horizontal="center" vertical="center" wrapText="1"/>
    </xf>
    <xf numFmtId="0" fontId="43" fillId="4" borderId="0" xfId="0" applyFont="1" applyFill="1" applyAlignment="1">
      <alignment horizontal="center" vertical="center"/>
    </xf>
    <xf numFmtId="0" fontId="45" fillId="29" borderId="0" xfId="0" applyFont="1" applyFill="1" applyAlignment="1">
      <alignment horizontal="center" vertical="center"/>
    </xf>
    <xf numFmtId="0" fontId="66" fillId="7" borderId="158" xfId="2" applyFont="1" applyFill="1" applyBorder="1" applyAlignment="1" applyProtection="1">
      <alignment horizontal="left" vertical="top" wrapText="1"/>
      <protection locked="0"/>
    </xf>
    <xf numFmtId="0" fontId="45" fillId="24" borderId="2" xfId="0" applyFont="1" applyFill="1" applyBorder="1" applyAlignment="1">
      <alignment horizontal="center" vertical="center" wrapText="1"/>
    </xf>
    <xf numFmtId="0" fontId="45" fillId="24" borderId="3" xfId="0" applyFont="1" applyFill="1" applyBorder="1" applyAlignment="1">
      <alignment horizontal="center" vertical="center" wrapText="1"/>
    </xf>
    <xf numFmtId="0" fontId="45" fillId="24" borderId="19" xfId="0" applyFont="1" applyFill="1" applyBorder="1" applyAlignment="1">
      <alignment horizontal="center" vertical="center" wrapText="1"/>
    </xf>
    <xf numFmtId="0" fontId="45" fillId="24" borderId="8" xfId="0" applyFont="1" applyFill="1" applyBorder="1" applyAlignment="1">
      <alignment horizontal="center" vertical="center" wrapText="1"/>
    </xf>
    <xf numFmtId="0" fontId="45" fillId="24" borderId="0" xfId="0" applyFont="1" applyFill="1" applyBorder="1" applyAlignment="1">
      <alignment horizontal="center" vertical="center" wrapText="1"/>
    </xf>
    <xf numFmtId="0" fontId="45" fillId="24" borderId="44" xfId="0" applyFont="1" applyFill="1" applyBorder="1" applyAlignment="1">
      <alignment horizontal="center" vertical="center" wrapText="1"/>
    </xf>
    <xf numFmtId="0" fontId="45" fillId="24" borderId="13" xfId="0" applyFont="1" applyFill="1" applyBorder="1" applyAlignment="1">
      <alignment horizontal="center" vertical="center" wrapText="1"/>
    </xf>
    <xf numFmtId="0" fontId="45" fillId="24" borderId="14" xfId="0" applyFont="1" applyFill="1" applyBorder="1" applyAlignment="1">
      <alignment horizontal="center" vertical="center" wrapText="1"/>
    </xf>
    <xf numFmtId="0" fontId="45" fillId="24" borderId="43" xfId="0" applyFont="1" applyFill="1" applyBorder="1" applyAlignment="1">
      <alignment horizontal="center" vertical="center" wrapText="1"/>
    </xf>
    <xf numFmtId="0" fontId="45" fillId="24" borderId="4" xfId="0" applyFont="1" applyFill="1" applyBorder="1" applyAlignment="1">
      <alignment horizontal="center" vertical="center" wrapText="1"/>
    </xf>
    <xf numFmtId="0" fontId="45" fillId="24" borderId="5" xfId="0" applyFont="1" applyFill="1" applyBorder="1" applyAlignment="1">
      <alignment horizontal="center" vertical="center" wrapText="1"/>
    </xf>
    <xf numFmtId="0" fontId="87" fillId="7" borderId="6" xfId="0" applyFont="1" applyFill="1" applyBorder="1" applyAlignment="1" applyProtection="1">
      <alignment horizontal="left" vertical="center" wrapText="1"/>
      <protection locked="0"/>
    </xf>
    <xf numFmtId="0" fontId="87" fillId="7" borderId="7" xfId="0" applyFont="1" applyFill="1" applyBorder="1" applyAlignment="1" applyProtection="1">
      <alignment horizontal="left" vertical="center" wrapText="1"/>
      <protection locked="0"/>
    </xf>
    <xf numFmtId="0" fontId="87" fillId="7" borderId="5" xfId="0" applyFont="1" applyFill="1" applyBorder="1" applyAlignment="1" applyProtection="1">
      <alignment horizontal="left" vertical="center" wrapText="1"/>
      <protection locked="0"/>
    </xf>
    <xf numFmtId="0" fontId="46" fillId="7" borderId="192" xfId="0" applyFont="1" applyFill="1" applyBorder="1" applyAlignment="1">
      <alignment horizontal="center" vertical="center"/>
    </xf>
    <xf numFmtId="0" fontId="46" fillId="7" borderId="46" xfId="0" applyFont="1" applyFill="1" applyBorder="1" applyAlignment="1">
      <alignment horizontal="center" vertical="center"/>
    </xf>
    <xf numFmtId="0" fontId="12" fillId="0" borderId="181" xfId="0" applyFont="1" applyFill="1" applyBorder="1" applyAlignment="1">
      <alignment horizontal="center" vertical="center"/>
    </xf>
    <xf numFmtId="0" fontId="88" fillId="38" borderId="53" xfId="0" applyFont="1" applyFill="1" applyBorder="1" applyAlignment="1" applyProtection="1">
      <alignment horizontal="left" vertical="center" shrinkToFit="1"/>
      <protection locked="0"/>
    </xf>
    <xf numFmtId="0" fontId="88" fillId="38" borderId="77" xfId="0" applyFont="1" applyFill="1" applyBorder="1" applyAlignment="1" applyProtection="1">
      <alignment horizontal="left" vertical="center" shrinkToFit="1"/>
      <protection locked="0"/>
    </xf>
    <xf numFmtId="0" fontId="88" fillId="38" borderId="54" xfId="0" applyFont="1" applyFill="1" applyBorder="1" applyAlignment="1" applyProtection="1">
      <alignment horizontal="left" vertical="center" shrinkToFit="1"/>
      <protection locked="0"/>
    </xf>
    <xf numFmtId="0" fontId="45" fillId="24" borderId="86" xfId="0" applyFont="1" applyFill="1" applyBorder="1" applyAlignment="1">
      <alignment horizontal="left" vertical="center"/>
    </xf>
    <xf numFmtId="0" fontId="45" fillId="24" borderId="84" xfId="0" applyFont="1" applyFill="1" applyBorder="1" applyAlignment="1">
      <alignment horizontal="left" vertical="center"/>
    </xf>
    <xf numFmtId="0" fontId="66" fillId="0" borderId="66" xfId="0" applyFont="1" applyBorder="1" applyAlignment="1" applyProtection="1">
      <alignment horizontal="center" vertical="center"/>
      <protection locked="0"/>
    </xf>
    <xf numFmtId="0" fontId="66" fillId="0" borderId="67" xfId="0" applyFont="1" applyBorder="1" applyAlignment="1" applyProtection="1">
      <alignment horizontal="center" vertical="center"/>
      <protection locked="0"/>
    </xf>
    <xf numFmtId="0" fontId="45" fillId="24" borderId="167" xfId="0" applyFont="1" applyFill="1" applyBorder="1" applyAlignment="1">
      <alignment horizontal="left" vertical="top" wrapText="1"/>
    </xf>
    <xf numFmtId="0" fontId="45" fillId="4" borderId="0" xfId="0" applyFont="1" applyFill="1" applyAlignment="1">
      <alignment horizontal="center" vertical="center"/>
    </xf>
    <xf numFmtId="0" fontId="110" fillId="7" borderId="167" xfId="0" applyFont="1" applyFill="1" applyBorder="1" applyAlignment="1">
      <alignment horizontal="center" vertical="center"/>
    </xf>
    <xf numFmtId="0" fontId="5" fillId="7" borderId="168" xfId="0" applyFont="1" applyFill="1" applyBorder="1">
      <alignment vertical="center"/>
    </xf>
    <xf numFmtId="0" fontId="32" fillId="7" borderId="169" xfId="0" applyFont="1" applyFill="1" applyBorder="1">
      <alignment vertical="center"/>
    </xf>
    <xf numFmtId="0" fontId="139" fillId="7" borderId="168" xfId="0" applyFont="1" applyFill="1" applyBorder="1">
      <alignment vertical="center"/>
    </xf>
    <xf numFmtId="0" fontId="91" fillId="7" borderId="169" xfId="0" applyFont="1" applyFill="1" applyBorder="1">
      <alignment vertical="center"/>
    </xf>
    <xf numFmtId="0" fontId="5" fillId="7" borderId="169" xfId="0" applyFont="1" applyFill="1" applyBorder="1">
      <alignment vertical="center"/>
    </xf>
    <xf numFmtId="0" fontId="45" fillId="24" borderId="167" xfId="0" applyFont="1" applyFill="1" applyBorder="1">
      <alignment vertical="center"/>
    </xf>
    <xf numFmtId="0" fontId="110" fillId="0" borderId="86" xfId="0" applyFont="1" applyFill="1" applyBorder="1" applyAlignment="1">
      <alignment horizontal="left" vertical="center"/>
    </xf>
    <xf numFmtId="0" fontId="110" fillId="0" borderId="87" xfId="0" applyFont="1" applyFill="1" applyBorder="1" applyAlignment="1">
      <alignment horizontal="left" vertical="center"/>
    </xf>
    <xf numFmtId="0" fontId="10" fillId="0" borderId="182" xfId="0" applyFont="1" applyFill="1" applyBorder="1" applyAlignment="1">
      <alignment horizontal="center" vertical="center"/>
    </xf>
    <xf numFmtId="0" fontId="32" fillId="0" borderId="183" xfId="0" applyFont="1" applyFill="1" applyBorder="1" applyAlignment="1">
      <alignment horizontal="center" vertical="center"/>
    </xf>
    <xf numFmtId="0" fontId="32" fillId="0" borderId="184" xfId="0" applyFont="1" applyFill="1" applyBorder="1" applyAlignment="1">
      <alignment horizontal="center" vertical="center"/>
    </xf>
    <xf numFmtId="0" fontId="117" fillId="7" borderId="68" xfId="0" applyFont="1" applyFill="1" applyBorder="1" applyAlignment="1">
      <alignment horizontal="center" vertical="center" wrapText="1"/>
    </xf>
    <xf numFmtId="0" fontId="117" fillId="7" borderId="76" xfId="0" applyFont="1" applyFill="1" applyBorder="1" applyAlignment="1">
      <alignment horizontal="center" vertical="center" wrapText="1"/>
    </xf>
    <xf numFmtId="177" fontId="117" fillId="7" borderId="68" xfId="138" applyNumberFormat="1" applyFont="1" applyFill="1" applyBorder="1" applyAlignment="1">
      <alignment horizontal="center" vertical="center" wrapText="1"/>
    </xf>
    <xf numFmtId="177" fontId="117" fillId="7" borderId="76" xfId="138" applyNumberFormat="1" applyFont="1" applyFill="1" applyBorder="1" applyAlignment="1">
      <alignment horizontal="center" vertical="center" wrapText="1"/>
    </xf>
    <xf numFmtId="0" fontId="46" fillId="0" borderId="83" xfId="0" applyFont="1" applyFill="1" applyBorder="1" applyAlignment="1">
      <alignment horizontal="center" vertical="center" shrinkToFit="1"/>
    </xf>
    <xf numFmtId="0" fontId="12" fillId="0" borderId="66" xfId="0" applyFont="1" applyFill="1" applyBorder="1" applyAlignment="1">
      <alignment horizontal="center" vertical="center"/>
    </xf>
    <xf numFmtId="0" fontId="32" fillId="0" borderId="65" xfId="0" applyFont="1" applyFill="1" applyBorder="1" applyAlignment="1">
      <alignment horizontal="center" vertical="center"/>
    </xf>
    <xf numFmtId="0" fontId="45" fillId="36" borderId="0" xfId="0" applyFont="1" applyFill="1" applyAlignment="1">
      <alignment horizontal="center" vertical="center"/>
    </xf>
    <xf numFmtId="0" fontId="93" fillId="7" borderId="0" xfId="0" applyFont="1" applyFill="1" applyBorder="1" applyAlignment="1">
      <alignment horizontal="left" vertical="center"/>
    </xf>
    <xf numFmtId="0" fontId="45" fillId="24" borderId="59" xfId="0" applyFont="1" applyFill="1" applyBorder="1" applyAlignment="1">
      <alignment horizontal="center" vertical="center" wrapText="1"/>
    </xf>
    <xf numFmtId="0" fontId="12"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66" xfId="0" applyFont="1" applyFill="1" applyBorder="1" applyAlignment="1">
      <alignment horizontal="center" vertical="center"/>
    </xf>
    <xf numFmtId="0" fontId="110" fillId="0" borderId="64" xfId="0" applyFont="1" applyFill="1" applyBorder="1" applyAlignment="1">
      <alignment horizontal="center" vertical="center"/>
    </xf>
    <xf numFmtId="0" fontId="46" fillId="0" borderId="64" xfId="0" applyFont="1" applyFill="1" applyBorder="1" applyAlignment="1">
      <alignment horizontal="center" vertical="center"/>
    </xf>
    <xf numFmtId="0" fontId="46" fillId="0" borderId="58" xfId="0" applyFont="1" applyFill="1" applyBorder="1" applyAlignment="1">
      <alignment horizontal="center" vertical="center"/>
    </xf>
    <xf numFmtId="0" fontId="46" fillId="0" borderId="59" xfId="0" applyFont="1" applyFill="1" applyBorder="1" applyAlignment="1">
      <alignment horizontal="center" vertical="center"/>
    </xf>
    <xf numFmtId="0" fontId="46" fillId="0" borderId="60"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43" xfId="0" applyFont="1" applyFill="1" applyBorder="1" applyAlignment="1">
      <alignment horizontal="center" vertical="center"/>
    </xf>
    <xf numFmtId="0" fontId="110" fillId="0" borderId="180" xfId="0" applyFont="1" applyFill="1" applyBorder="1" applyAlignment="1">
      <alignment horizontal="center" vertical="center"/>
    </xf>
    <xf numFmtId="0" fontId="46" fillId="0" borderId="180" xfId="0" applyFont="1" applyFill="1" applyBorder="1" applyAlignment="1">
      <alignment horizontal="center" vertical="center"/>
    </xf>
    <xf numFmtId="0" fontId="88" fillId="38" borderId="53" xfId="0" applyFont="1" applyFill="1" applyBorder="1" applyAlignment="1" applyProtection="1">
      <alignment horizontal="center" vertical="center" shrinkToFit="1"/>
      <protection locked="0"/>
    </xf>
    <xf numFmtId="0" fontId="88" fillId="38" borderId="77" xfId="0" applyFont="1" applyFill="1" applyBorder="1" applyAlignment="1" applyProtection="1">
      <alignment horizontal="center" vertical="center" shrinkToFit="1"/>
      <protection locked="0"/>
    </xf>
    <xf numFmtId="0" fontId="88" fillId="38" borderId="54" xfId="0" applyFont="1" applyFill="1" applyBorder="1" applyAlignment="1" applyProtection="1">
      <alignment horizontal="center" vertical="center" shrinkToFit="1"/>
      <protection locked="0"/>
    </xf>
    <xf numFmtId="0" fontId="45" fillId="24" borderId="58" xfId="0" applyFont="1" applyFill="1" applyBorder="1" applyAlignment="1">
      <alignment horizontal="center" vertical="center" wrapText="1"/>
    </xf>
    <xf numFmtId="0" fontId="110" fillId="0" borderId="68" xfId="0" applyFont="1" applyFill="1" applyBorder="1" applyAlignment="1">
      <alignment horizontal="center" vertical="center"/>
    </xf>
    <xf numFmtId="0" fontId="46" fillId="0" borderId="68" xfId="0" applyFont="1" applyFill="1" applyBorder="1" applyAlignment="1">
      <alignment horizontal="center" vertical="center"/>
    </xf>
    <xf numFmtId="0" fontId="101" fillId="7" borderId="0" xfId="0" applyFont="1" applyFill="1" applyBorder="1" applyAlignment="1">
      <alignment horizontal="center" vertical="center"/>
    </xf>
    <xf numFmtId="0" fontId="45" fillId="24" borderId="93" xfId="0" applyFont="1" applyFill="1" applyBorder="1" applyAlignment="1">
      <alignment horizontal="center" vertical="center" wrapText="1"/>
    </xf>
    <xf numFmtId="0" fontId="45" fillId="24" borderId="94" xfId="0" applyFont="1" applyFill="1" applyBorder="1" applyAlignment="1">
      <alignment horizontal="center" vertical="center" wrapText="1"/>
    </xf>
    <xf numFmtId="0" fontId="45" fillId="24" borderId="91" xfId="0" applyFont="1" applyFill="1" applyBorder="1" applyAlignment="1">
      <alignment horizontal="center" vertical="center" wrapText="1"/>
    </xf>
    <xf numFmtId="0" fontId="45" fillId="24" borderId="92" xfId="0" applyFont="1" applyFill="1" applyBorder="1" applyAlignment="1">
      <alignment horizontal="center" vertical="center" wrapText="1"/>
    </xf>
    <xf numFmtId="0" fontId="42" fillId="24" borderId="91" xfId="0" applyFont="1" applyFill="1" applyBorder="1" applyAlignment="1">
      <alignment horizontal="center" vertical="center"/>
    </xf>
    <xf numFmtId="0" fontId="42" fillId="24" borderId="95" xfId="0" applyFont="1" applyFill="1" applyBorder="1" applyAlignment="1">
      <alignment horizontal="center" vertical="center"/>
    </xf>
    <xf numFmtId="0" fontId="42" fillId="24" borderId="92" xfId="0" applyFont="1" applyFill="1" applyBorder="1" applyAlignment="1">
      <alignment horizontal="center" vertical="center"/>
    </xf>
    <xf numFmtId="0" fontId="45" fillId="24" borderId="90" xfId="0" applyFont="1" applyFill="1" applyBorder="1" applyAlignment="1">
      <alignment horizontal="center" vertical="center"/>
    </xf>
    <xf numFmtId="0" fontId="45" fillId="3" borderId="0" xfId="0" applyFont="1" applyFill="1" applyAlignment="1">
      <alignment horizontal="center" vertical="center"/>
    </xf>
    <xf numFmtId="0" fontId="45" fillId="24" borderId="112" xfId="0" applyFont="1" applyFill="1" applyBorder="1" applyAlignment="1">
      <alignment horizontal="left" vertical="center"/>
    </xf>
    <xf numFmtId="0" fontId="45" fillId="24" borderId="110" xfId="0" applyFont="1" applyFill="1" applyBorder="1" applyAlignment="1">
      <alignment horizontal="left" vertical="center"/>
    </xf>
    <xf numFmtId="0" fontId="45" fillId="24" borderId="66" xfId="0" applyFont="1" applyFill="1" applyBorder="1" applyAlignment="1">
      <alignment horizontal="center" vertical="center" wrapText="1"/>
    </xf>
    <xf numFmtId="0" fontId="54" fillId="7" borderId="0" xfId="0" applyFont="1" applyFill="1" applyBorder="1" applyAlignment="1">
      <alignment horizontal="left" vertical="center"/>
    </xf>
    <xf numFmtId="0" fontId="45" fillId="24" borderId="88" xfId="0" applyFont="1" applyFill="1" applyBorder="1" applyAlignment="1">
      <alignment horizontal="center" vertical="center" wrapText="1"/>
    </xf>
    <xf numFmtId="0" fontId="45" fillId="24" borderId="85" xfId="0" applyFont="1" applyFill="1" applyBorder="1" applyAlignment="1">
      <alignment horizontal="center" vertical="center" wrapText="1"/>
    </xf>
    <xf numFmtId="0" fontId="110" fillId="0" borderId="37" xfId="0" applyFont="1" applyFill="1" applyBorder="1" applyAlignment="1">
      <alignment horizontal="center" vertical="center"/>
    </xf>
    <xf numFmtId="0" fontId="46" fillId="0" borderId="46" xfId="0" applyFont="1" applyFill="1" applyBorder="1" applyAlignment="1">
      <alignment horizontal="center" vertical="center"/>
    </xf>
    <xf numFmtId="0" fontId="45" fillId="24" borderId="60" xfId="0" applyFont="1" applyFill="1" applyBorder="1" applyAlignment="1">
      <alignment horizontal="center" vertical="center" wrapText="1"/>
    </xf>
    <xf numFmtId="0" fontId="45" fillId="24" borderId="58" xfId="0" applyFont="1" applyFill="1" applyBorder="1" applyAlignment="1">
      <alignment horizontal="left" vertical="center"/>
    </xf>
    <xf numFmtId="0" fontId="45" fillId="24" borderId="96" xfId="0" applyFont="1" applyFill="1" applyBorder="1" applyAlignment="1">
      <alignment horizontal="left" vertical="center"/>
    </xf>
    <xf numFmtId="0" fontId="45" fillId="24" borderId="8" xfId="0" applyFont="1" applyFill="1" applyBorder="1" applyAlignment="1">
      <alignment horizontal="left" vertical="center"/>
    </xf>
    <xf numFmtId="0" fontId="45" fillId="24" borderId="0" xfId="0" applyFont="1" applyFill="1" applyBorder="1" applyAlignment="1">
      <alignment horizontal="left" vertical="center"/>
    </xf>
    <xf numFmtId="0" fontId="45" fillId="24" borderId="66" xfId="0" applyFont="1" applyFill="1" applyBorder="1" applyAlignment="1">
      <alignment horizontal="left" vertical="center"/>
    </xf>
    <xf numFmtId="0" fontId="45" fillId="24" borderId="65" xfId="0" applyFont="1" applyFill="1" applyBorder="1" applyAlignment="1">
      <alignment horizontal="left" vertical="center"/>
    </xf>
    <xf numFmtId="0" fontId="45" fillId="24" borderId="44" xfId="0" applyFont="1" applyFill="1" applyBorder="1" applyAlignment="1">
      <alignment horizontal="left" vertical="center"/>
    </xf>
    <xf numFmtId="0" fontId="42" fillId="24" borderId="66" xfId="0" applyFont="1" applyFill="1" applyBorder="1" applyAlignment="1">
      <alignment horizontal="left" vertical="center"/>
    </xf>
    <xf numFmtId="0" fontId="42" fillId="24" borderId="65" xfId="0" applyFont="1" applyFill="1" applyBorder="1" applyAlignment="1">
      <alignment horizontal="left" vertical="center"/>
    </xf>
    <xf numFmtId="0" fontId="45" fillId="24" borderId="58" xfId="0" applyFont="1" applyFill="1" applyBorder="1" applyAlignment="1">
      <alignment horizontal="center" vertical="center"/>
    </xf>
    <xf numFmtId="0" fontId="45" fillId="24" borderId="59" xfId="0" applyFont="1" applyFill="1" applyBorder="1" applyAlignment="1">
      <alignment horizontal="center" vertical="center"/>
    </xf>
    <xf numFmtId="0" fontId="95" fillId="38" borderId="74" xfId="0" applyFont="1" applyFill="1" applyBorder="1" applyAlignment="1" applyProtection="1">
      <alignment horizontal="center" vertical="center"/>
      <protection locked="0"/>
    </xf>
    <xf numFmtId="0" fontId="95" fillId="38" borderId="75" xfId="0" applyFont="1" applyFill="1" applyBorder="1" applyAlignment="1" applyProtection="1">
      <alignment horizontal="center" vertical="center"/>
      <protection locked="0"/>
    </xf>
    <xf numFmtId="0" fontId="42" fillId="4" borderId="0" xfId="0" applyFont="1" applyFill="1" applyAlignment="1">
      <alignment horizontal="center" vertical="center"/>
    </xf>
    <xf numFmtId="0" fontId="79" fillId="24" borderId="66" xfId="0" applyFont="1" applyFill="1" applyBorder="1" applyAlignment="1">
      <alignment horizontal="center" vertical="center"/>
    </xf>
    <xf numFmtId="0" fontId="79" fillId="24" borderId="67" xfId="0" applyFont="1" applyFill="1" applyBorder="1" applyAlignment="1">
      <alignment horizontal="center" vertical="center"/>
    </xf>
    <xf numFmtId="0" fontId="45" fillId="24" borderId="37" xfId="0" applyFont="1" applyFill="1" applyBorder="1" applyAlignment="1">
      <alignment horizontal="center" vertical="top" wrapText="1"/>
    </xf>
    <xf numFmtId="0" fontId="45" fillId="24" borderId="45" xfId="0" applyFont="1" applyFill="1" applyBorder="1" applyAlignment="1">
      <alignment horizontal="center" vertical="top" wrapText="1"/>
    </xf>
    <xf numFmtId="0" fontId="45" fillId="24" borderId="46" xfId="0" applyFont="1" applyFill="1" applyBorder="1" applyAlignment="1">
      <alignment horizontal="center" vertical="top" wrapText="1"/>
    </xf>
    <xf numFmtId="0" fontId="45" fillId="24" borderId="59" xfId="0" applyFont="1" applyFill="1" applyBorder="1" applyAlignment="1">
      <alignment horizontal="center" vertical="top" wrapText="1"/>
    </xf>
    <xf numFmtId="0" fontId="45" fillId="24" borderId="0" xfId="0" applyFont="1" applyFill="1" applyBorder="1" applyAlignment="1">
      <alignment horizontal="center" vertical="top" wrapText="1"/>
    </xf>
    <xf numFmtId="0" fontId="12" fillId="0" borderId="168" xfId="0" applyFont="1" applyFill="1" applyBorder="1" applyAlignment="1">
      <alignment horizontal="center" vertical="center"/>
    </xf>
    <xf numFmtId="0" fontId="12" fillId="0" borderId="170" xfId="0" applyFont="1" applyFill="1" applyBorder="1" applyAlignment="1">
      <alignment horizontal="center" vertical="center"/>
    </xf>
    <xf numFmtId="0" fontId="12" fillId="0" borderId="169" xfId="0" applyFont="1" applyFill="1" applyBorder="1" applyAlignment="1">
      <alignment horizontal="center" vertical="center"/>
    </xf>
    <xf numFmtId="0" fontId="110" fillId="0" borderId="46" xfId="0" applyFont="1" applyFill="1" applyBorder="1" applyAlignment="1">
      <alignment horizontal="center" vertical="center"/>
    </xf>
    <xf numFmtId="0" fontId="45" fillId="24" borderId="65" xfId="0" applyFont="1" applyFill="1" applyBorder="1" applyAlignment="1">
      <alignment horizontal="center" vertical="center" wrapText="1"/>
    </xf>
    <xf numFmtId="0" fontId="45" fillId="24" borderId="67" xfId="0" applyFont="1" applyFill="1" applyBorder="1" applyAlignment="1">
      <alignment horizontal="center" vertical="center" wrapText="1"/>
    </xf>
    <xf numFmtId="0" fontId="81" fillId="28" borderId="47" xfId="0" applyFont="1" applyFill="1" applyBorder="1" applyAlignment="1">
      <alignment horizontal="left" vertical="center"/>
    </xf>
    <xf numFmtId="0" fontId="81" fillId="28" borderId="49" xfId="0" applyFont="1" applyFill="1" applyBorder="1" applyAlignment="1">
      <alignment horizontal="left" vertical="center"/>
    </xf>
    <xf numFmtId="0" fontId="45" fillId="7" borderId="0" xfId="0" applyFont="1" applyFill="1" applyBorder="1" applyAlignment="1">
      <alignment horizontal="center" vertical="center" wrapText="1"/>
    </xf>
    <xf numFmtId="0" fontId="25" fillId="7" borderId="0" xfId="0" applyFont="1" applyFill="1" applyBorder="1" applyAlignment="1">
      <alignment horizontal="center" vertical="center"/>
    </xf>
    <xf numFmtId="0" fontId="32" fillId="7" borderId="0" xfId="0" applyFont="1" applyFill="1" applyBorder="1" applyAlignment="1">
      <alignment horizontal="center" vertical="center"/>
    </xf>
    <xf numFmtId="0" fontId="110" fillId="7" borderId="0" xfId="0" applyFont="1" applyFill="1" applyBorder="1" applyAlignment="1">
      <alignment horizontal="center" vertical="center"/>
    </xf>
    <xf numFmtId="0" fontId="46" fillId="7" borderId="0" xfId="0" applyFont="1" applyFill="1" applyBorder="1" applyAlignment="1">
      <alignment horizontal="center" vertical="center"/>
    </xf>
    <xf numFmtId="38" fontId="45" fillId="44" borderId="66" xfId="138" applyFont="1" applyFill="1" applyBorder="1" applyAlignment="1">
      <alignment horizontal="center" vertical="center"/>
    </xf>
    <xf numFmtId="38" fontId="45" fillId="44" borderId="67" xfId="138" applyFont="1" applyFill="1" applyBorder="1" applyAlignment="1">
      <alignment horizontal="center" vertical="center"/>
    </xf>
    <xf numFmtId="186" fontId="45" fillId="44" borderId="66" xfId="138" applyNumberFormat="1" applyFont="1" applyFill="1" applyBorder="1" applyAlignment="1">
      <alignment horizontal="center" vertical="center"/>
    </xf>
    <xf numFmtId="186" fontId="45" fillId="44" borderId="67" xfId="138" applyNumberFormat="1" applyFont="1" applyFill="1" applyBorder="1" applyAlignment="1">
      <alignment horizontal="center" vertical="center"/>
    </xf>
    <xf numFmtId="0" fontId="45" fillId="24" borderId="66" xfId="0" applyFont="1" applyFill="1" applyBorder="1" applyAlignment="1">
      <alignment horizontal="center" vertical="center"/>
    </xf>
    <xf numFmtId="0" fontId="45" fillId="24" borderId="67" xfId="0" applyFont="1" applyFill="1" applyBorder="1" applyAlignment="1">
      <alignment horizontal="center" vertical="center"/>
    </xf>
    <xf numFmtId="0" fontId="12" fillId="0" borderId="161" xfId="0" applyFont="1" applyFill="1" applyBorder="1" applyAlignment="1">
      <alignment horizontal="center" vertical="center"/>
    </xf>
    <xf numFmtId="0" fontId="32" fillId="0" borderId="162" xfId="0" applyFont="1" applyFill="1" applyBorder="1" applyAlignment="1">
      <alignment horizontal="center" vertical="center"/>
    </xf>
    <xf numFmtId="0" fontId="32" fillId="0" borderId="163" xfId="0" applyFont="1" applyFill="1" applyBorder="1" applyAlignment="1">
      <alignment horizontal="center" vertical="center"/>
    </xf>
    <xf numFmtId="0" fontId="32" fillId="0" borderId="68" xfId="0" applyFont="1" applyFill="1" applyBorder="1" applyAlignment="1">
      <alignment horizontal="center" vertical="center"/>
    </xf>
    <xf numFmtId="38" fontId="46" fillId="7" borderId="8" xfId="138" applyFont="1" applyFill="1" applyBorder="1" applyAlignment="1">
      <alignment horizontal="center" vertical="center"/>
    </xf>
    <xf numFmtId="38" fontId="46" fillId="7" borderId="44" xfId="138" applyFont="1" applyFill="1" applyBorder="1" applyAlignment="1">
      <alignment horizontal="center" vertical="center"/>
    </xf>
    <xf numFmtId="38" fontId="46" fillId="7" borderId="13" xfId="138" applyFont="1" applyFill="1" applyBorder="1" applyAlignment="1">
      <alignment horizontal="center" vertical="center"/>
    </xf>
    <xf numFmtId="38" fontId="46" fillId="7" borderId="43" xfId="138" applyFont="1" applyFill="1" applyBorder="1" applyAlignment="1">
      <alignment horizontal="center" vertical="center"/>
    </xf>
    <xf numFmtId="38" fontId="46" fillId="7" borderId="78" xfId="138" applyFont="1" applyFill="1" applyBorder="1" applyAlignment="1">
      <alignment horizontal="center" vertical="center"/>
    </xf>
    <xf numFmtId="38" fontId="46" fillId="7" borderId="71" xfId="138" applyFont="1" applyFill="1" applyBorder="1" applyAlignment="1">
      <alignment horizontal="center" vertical="center"/>
    </xf>
    <xf numFmtId="0" fontId="32" fillId="0" borderId="46" xfId="0" applyFont="1" applyFill="1" applyBorder="1" applyAlignment="1">
      <alignment horizontal="center" vertical="center"/>
    </xf>
    <xf numFmtId="0" fontId="45" fillId="24" borderId="1" xfId="0" applyFont="1" applyFill="1" applyBorder="1" applyAlignment="1">
      <alignment horizontal="center" vertical="center" wrapText="1"/>
    </xf>
    <xf numFmtId="0" fontId="45" fillId="24" borderId="68" xfId="0" applyFont="1" applyFill="1" applyBorder="1" applyAlignment="1">
      <alignment horizontal="center" vertical="center" wrapText="1"/>
    </xf>
    <xf numFmtId="0" fontId="46" fillId="0" borderId="37" xfId="0" applyFont="1" applyFill="1" applyBorder="1" applyAlignment="1">
      <alignment horizontal="center" vertical="center"/>
    </xf>
    <xf numFmtId="0" fontId="82" fillId="0" borderId="62" xfId="0" applyFont="1" applyFill="1" applyBorder="1" applyAlignment="1">
      <alignment horizontal="center" vertical="center"/>
    </xf>
    <xf numFmtId="191" fontId="18" fillId="28" borderId="62" xfId="138" applyNumberFormat="1" applyFont="1" applyFill="1" applyBorder="1" applyAlignment="1">
      <alignment horizontal="center" vertical="center"/>
    </xf>
    <xf numFmtId="0" fontId="32" fillId="0" borderId="58" xfId="0" applyFont="1" applyFill="1" applyBorder="1" applyAlignment="1">
      <alignment horizontal="center" vertical="center"/>
    </xf>
    <xf numFmtId="0" fontId="32" fillId="0" borderId="60"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43" xfId="0" applyFont="1" applyFill="1" applyBorder="1" applyAlignment="1">
      <alignment horizontal="center" vertical="center"/>
    </xf>
    <xf numFmtId="0" fontId="117" fillId="7" borderId="166" xfId="0" applyFont="1" applyFill="1" applyBorder="1" applyAlignment="1">
      <alignment horizontal="center" vertical="center" wrapText="1"/>
    </xf>
    <xf numFmtId="0" fontId="117" fillId="7" borderId="46" xfId="0" applyFont="1" applyFill="1" applyBorder="1" applyAlignment="1">
      <alignment horizontal="center" vertical="center" wrapText="1"/>
    </xf>
    <xf numFmtId="0" fontId="110" fillId="0" borderId="166" xfId="0" applyFont="1" applyFill="1" applyBorder="1" applyAlignment="1">
      <alignment horizontal="center" vertical="center"/>
    </xf>
    <xf numFmtId="0" fontId="45" fillId="24" borderId="168" xfId="0" applyFont="1" applyFill="1" applyBorder="1" applyAlignment="1">
      <alignment horizontal="center" vertical="center" wrapText="1"/>
    </xf>
    <xf numFmtId="0" fontId="45" fillId="24" borderId="170" xfId="0" applyFont="1" applyFill="1" applyBorder="1" applyAlignment="1">
      <alignment horizontal="center" vertical="center" wrapText="1"/>
    </xf>
    <xf numFmtId="0" fontId="45" fillId="24" borderId="169" xfId="0" applyFont="1" applyFill="1" applyBorder="1" applyAlignment="1">
      <alignment horizontal="center" vertical="center" wrapText="1"/>
    </xf>
    <xf numFmtId="177" fontId="117" fillId="7" borderId="166" xfId="138" applyNumberFormat="1" applyFont="1" applyFill="1" applyBorder="1" applyAlignment="1">
      <alignment horizontal="center" vertical="center" wrapText="1"/>
    </xf>
    <xf numFmtId="177" fontId="117" fillId="7" borderId="46" xfId="138" applyNumberFormat="1" applyFont="1" applyFill="1" applyBorder="1" applyAlignment="1">
      <alignment horizontal="center" vertical="center" wrapText="1"/>
    </xf>
    <xf numFmtId="0" fontId="42" fillId="24" borderId="168" xfId="0" applyFont="1" applyFill="1" applyBorder="1" applyAlignment="1">
      <alignment horizontal="center" vertical="center"/>
    </xf>
    <xf numFmtId="0" fontId="42" fillId="24" borderId="170" xfId="0" applyFont="1" applyFill="1" applyBorder="1" applyAlignment="1">
      <alignment horizontal="center" vertical="center"/>
    </xf>
    <xf numFmtId="0" fontId="42" fillId="24" borderId="169" xfId="0" applyFont="1" applyFill="1" applyBorder="1" applyAlignment="1">
      <alignment horizontal="center" vertical="center"/>
    </xf>
    <xf numFmtId="0" fontId="45" fillId="24" borderId="168" xfId="0" applyFont="1" applyFill="1" applyBorder="1" applyAlignment="1">
      <alignment horizontal="center" vertical="center"/>
    </xf>
    <xf numFmtId="0" fontId="45" fillId="24" borderId="169" xfId="0" applyFont="1" applyFill="1" applyBorder="1" applyAlignment="1">
      <alignment horizontal="center" vertical="center"/>
    </xf>
    <xf numFmtId="0" fontId="45" fillId="24" borderId="155" xfId="0" applyFont="1" applyFill="1" applyBorder="1" applyAlignment="1">
      <alignment horizontal="center" vertical="center" wrapText="1"/>
    </xf>
    <xf numFmtId="0" fontId="45" fillId="24" borderId="156" xfId="0" applyFont="1" applyFill="1" applyBorder="1" applyAlignment="1">
      <alignment horizontal="center" vertical="center" wrapText="1"/>
    </xf>
    <xf numFmtId="0" fontId="48" fillId="4" borderId="0" xfId="0" applyFont="1" applyFill="1" applyAlignment="1">
      <alignment horizontal="center" vertical="center"/>
    </xf>
    <xf numFmtId="0" fontId="79" fillId="24" borderId="168" xfId="0" applyFont="1" applyFill="1" applyBorder="1" applyAlignment="1">
      <alignment horizontal="center" vertical="center"/>
    </xf>
    <xf numFmtId="0" fontId="79" fillId="24" borderId="169" xfId="0" applyFont="1" applyFill="1" applyBorder="1" applyAlignment="1">
      <alignment horizontal="center" vertical="center"/>
    </xf>
    <xf numFmtId="0" fontId="45" fillId="24" borderId="166" xfId="0" applyFont="1" applyFill="1" applyBorder="1" applyAlignment="1">
      <alignment horizontal="center" vertical="top" wrapText="1"/>
    </xf>
    <xf numFmtId="0" fontId="45" fillId="24" borderId="141" xfId="0" applyFont="1" applyFill="1" applyBorder="1" applyAlignment="1">
      <alignment horizontal="center" vertical="top" wrapText="1"/>
    </xf>
    <xf numFmtId="0" fontId="45" fillId="24" borderId="44" xfId="0" applyFont="1" applyFill="1" applyBorder="1" applyAlignment="1">
      <alignment horizontal="center" vertical="top" wrapText="1"/>
    </xf>
    <xf numFmtId="0" fontId="11" fillId="0" borderId="86" xfId="0" applyFont="1" applyFill="1" applyBorder="1" applyAlignment="1">
      <alignment horizontal="left" vertical="center"/>
    </xf>
    <xf numFmtId="0" fontId="11" fillId="0" borderId="87" xfId="0" applyFont="1" applyFill="1" applyBorder="1" applyAlignment="1">
      <alignment horizontal="left" vertical="center"/>
    </xf>
    <xf numFmtId="0" fontId="45" fillId="24" borderId="145" xfId="0" applyFont="1" applyFill="1" applyBorder="1" applyAlignment="1">
      <alignment horizontal="center" vertical="center" wrapText="1"/>
    </xf>
    <xf numFmtId="0" fontId="45" fillId="24" borderId="141" xfId="0" applyFont="1" applyFill="1" applyBorder="1" applyAlignment="1">
      <alignment horizontal="center" vertical="center" wrapText="1"/>
    </xf>
    <xf numFmtId="0" fontId="10" fillId="0" borderId="168" xfId="0" applyFont="1" applyFill="1" applyBorder="1" applyAlignment="1">
      <alignment horizontal="center" vertical="center"/>
    </xf>
    <xf numFmtId="0" fontId="10" fillId="0" borderId="170" xfId="0" applyFont="1" applyFill="1" applyBorder="1" applyAlignment="1">
      <alignment horizontal="center" vertical="center"/>
    </xf>
    <xf numFmtId="0" fontId="10" fillId="0" borderId="169" xfId="0" applyFont="1" applyFill="1" applyBorder="1" applyAlignment="1">
      <alignment horizontal="center" vertical="center"/>
    </xf>
    <xf numFmtId="191" fontId="46" fillId="28" borderId="62" xfId="138" applyNumberFormat="1" applyFont="1" applyFill="1" applyBorder="1" applyAlignment="1">
      <alignment horizontal="center" vertical="center"/>
    </xf>
    <xf numFmtId="38" fontId="46" fillId="28" borderId="62" xfId="0" applyNumberFormat="1" applyFont="1" applyFill="1" applyBorder="1" applyAlignment="1">
      <alignment horizontal="center" vertical="center"/>
    </xf>
    <xf numFmtId="0" fontId="46" fillId="28" borderId="62" xfId="0" applyFont="1" applyFill="1" applyBorder="1" applyAlignment="1">
      <alignment horizontal="center" vertical="center"/>
    </xf>
    <xf numFmtId="0" fontId="32" fillId="0" borderId="0" xfId="0" applyFont="1" applyFill="1" applyBorder="1" applyAlignment="1">
      <alignment horizontal="center" vertical="center"/>
    </xf>
    <xf numFmtId="0" fontId="46" fillId="0" borderId="117" xfId="0" applyFont="1" applyFill="1" applyBorder="1" applyAlignment="1">
      <alignment horizontal="center" vertical="center"/>
    </xf>
    <xf numFmtId="0" fontId="25" fillId="0" borderId="1" xfId="0" applyFont="1" applyFill="1" applyBorder="1" applyAlignment="1">
      <alignment horizontal="center" vertical="center"/>
    </xf>
    <xf numFmtId="0" fontId="42" fillId="24" borderId="66" xfId="0" applyFont="1" applyFill="1" applyBorder="1" applyAlignment="1">
      <alignment horizontal="left" vertical="center" wrapText="1"/>
    </xf>
    <xf numFmtId="0" fontId="42" fillId="24" borderId="65" xfId="0" applyFont="1" applyFill="1" applyBorder="1" applyAlignment="1">
      <alignment horizontal="left" vertical="center" wrapText="1"/>
    </xf>
    <xf numFmtId="0" fontId="45" fillId="24" borderId="131" xfId="0" applyFont="1" applyFill="1" applyBorder="1" applyAlignment="1">
      <alignment horizontal="center" vertical="center" wrapText="1"/>
    </xf>
    <xf numFmtId="0" fontId="45" fillId="24" borderId="132" xfId="0" applyFont="1" applyFill="1" applyBorder="1" applyAlignment="1">
      <alignment horizontal="center" vertical="center" wrapText="1"/>
    </xf>
    <xf numFmtId="0" fontId="10" fillId="0" borderId="66" xfId="0" applyFont="1" applyFill="1" applyBorder="1" applyAlignment="1">
      <alignment horizontal="center" vertical="center"/>
    </xf>
    <xf numFmtId="0" fontId="93" fillId="0" borderId="86" xfId="0" applyFont="1" applyFill="1" applyBorder="1" applyAlignment="1">
      <alignment horizontal="left" vertical="center"/>
    </xf>
    <xf numFmtId="0" fontId="93" fillId="0" borderId="87" xfId="0" applyFont="1" applyFill="1" applyBorder="1" applyAlignment="1">
      <alignment horizontal="left" vertical="center"/>
    </xf>
    <xf numFmtId="38" fontId="110" fillId="28" borderId="62" xfId="0" applyNumberFormat="1" applyFont="1" applyFill="1" applyBorder="1" applyAlignment="1">
      <alignment horizontal="center" vertical="center"/>
    </xf>
    <xf numFmtId="0" fontId="110" fillId="28" borderId="62" xfId="0" applyFont="1" applyFill="1" applyBorder="1" applyAlignment="1">
      <alignment horizontal="center" vertical="center"/>
    </xf>
    <xf numFmtId="191" fontId="110" fillId="28" borderId="62" xfId="138" applyNumberFormat="1" applyFont="1" applyFill="1" applyBorder="1" applyAlignment="1">
      <alignment horizontal="center" vertical="center"/>
    </xf>
    <xf numFmtId="0" fontId="81" fillId="28" borderId="47" xfId="0" applyFont="1" applyFill="1" applyBorder="1" applyAlignment="1">
      <alignment horizontal="center" vertical="center"/>
    </xf>
    <xf numFmtId="0" fontId="81" fillId="28" borderId="49" xfId="0" applyFont="1" applyFill="1" applyBorder="1" applyAlignment="1">
      <alignment horizontal="center" vertical="center"/>
    </xf>
    <xf numFmtId="0" fontId="44" fillId="7" borderId="8" xfId="0" applyFont="1" applyFill="1" applyBorder="1" applyAlignment="1">
      <alignment horizontal="left" vertical="center"/>
    </xf>
    <xf numFmtId="0" fontId="44" fillId="7" borderId="0" xfId="0" applyFont="1" applyFill="1" applyBorder="1" applyAlignment="1">
      <alignment horizontal="left" vertical="center"/>
    </xf>
    <xf numFmtId="0" fontId="44" fillId="7" borderId="153" xfId="0" applyFont="1" applyFill="1" applyBorder="1" applyAlignment="1">
      <alignment horizontal="left" vertical="center"/>
    </xf>
    <xf numFmtId="0" fontId="44" fillId="38" borderId="74" xfId="0" applyFont="1" applyFill="1" applyBorder="1" applyAlignment="1" applyProtection="1">
      <alignment horizontal="center" vertical="center"/>
      <protection locked="0"/>
    </xf>
    <xf numFmtId="0" fontId="44" fillId="38" borderId="75" xfId="0" applyFont="1" applyFill="1" applyBorder="1" applyAlignment="1" applyProtection="1">
      <alignment horizontal="center" vertical="center"/>
      <protection locked="0"/>
    </xf>
    <xf numFmtId="38" fontId="64" fillId="7" borderId="13" xfId="138" applyFont="1" applyFill="1" applyBorder="1" applyAlignment="1" applyProtection="1">
      <alignment horizontal="right" vertical="center"/>
      <protection locked="0"/>
    </xf>
    <xf numFmtId="38" fontId="64" fillId="7" borderId="14" xfId="138" applyFont="1" applyFill="1" applyBorder="1" applyAlignment="1" applyProtection="1">
      <alignment horizontal="right" vertical="center"/>
      <protection locked="0"/>
    </xf>
    <xf numFmtId="38" fontId="64" fillId="7" borderId="155" xfId="138" applyFont="1" applyFill="1" applyBorder="1" applyAlignment="1" applyProtection="1">
      <alignment horizontal="right" vertical="center"/>
      <protection locked="0"/>
    </xf>
    <xf numFmtId="38" fontId="64" fillId="7" borderId="157" xfId="138" applyFont="1" applyFill="1" applyBorder="1" applyAlignment="1" applyProtection="1">
      <alignment horizontal="right" vertical="center"/>
      <protection locked="0"/>
    </xf>
    <xf numFmtId="0" fontId="44" fillId="0" borderId="127" xfId="0" applyFont="1" applyBorder="1" applyAlignment="1">
      <alignment horizontal="center" vertical="center"/>
    </xf>
    <xf numFmtId="0" fontId="86" fillId="7" borderId="136" xfId="0" applyFont="1" applyFill="1" applyBorder="1" applyAlignment="1" applyProtection="1">
      <alignment horizontal="center" vertical="center"/>
      <protection locked="0"/>
    </xf>
    <xf numFmtId="0" fontId="86" fillId="7" borderId="137" xfId="0" applyFont="1" applyFill="1" applyBorder="1" applyAlignment="1" applyProtection="1">
      <alignment horizontal="center" vertical="center"/>
      <protection locked="0"/>
    </xf>
    <xf numFmtId="0" fontId="94" fillId="0" borderId="142" xfId="0" applyFont="1" applyBorder="1" applyAlignment="1">
      <alignment horizontal="right" vertical="center"/>
    </xf>
    <xf numFmtId="0" fontId="94" fillId="0" borderId="146" xfId="0" applyFont="1" applyBorder="1" applyAlignment="1">
      <alignment horizontal="right"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95" fillId="38" borderId="144" xfId="0" applyFont="1" applyFill="1" applyBorder="1" applyAlignment="1" applyProtection="1">
      <alignment horizontal="center" vertical="center"/>
      <protection locked="0"/>
    </xf>
    <xf numFmtId="0" fontId="86" fillId="7" borderId="144" xfId="0" applyFont="1" applyFill="1" applyBorder="1" applyAlignment="1" applyProtection="1">
      <alignment horizontal="center" vertical="center"/>
      <protection locked="0"/>
    </xf>
    <xf numFmtId="38" fontId="35" fillId="0" borderId="142" xfId="138" applyFont="1" applyBorder="1" applyAlignment="1">
      <alignment horizontal="right" vertical="center"/>
    </xf>
    <xf numFmtId="38" fontId="35" fillId="0" borderId="146" xfId="138" applyFont="1" applyBorder="1" applyAlignment="1">
      <alignment horizontal="right" vertical="center"/>
    </xf>
    <xf numFmtId="177" fontId="128" fillId="7" borderId="155" xfId="138" applyNumberFormat="1" applyFont="1" applyFill="1" applyBorder="1" applyAlignment="1">
      <alignment horizontal="center" vertical="center"/>
    </xf>
    <xf numFmtId="177" fontId="128" fillId="7" borderId="157" xfId="138" applyNumberFormat="1" applyFont="1" applyFill="1" applyBorder="1" applyAlignment="1">
      <alignment horizontal="center" vertical="center"/>
    </xf>
    <xf numFmtId="0" fontId="89" fillId="7" borderId="135" xfId="0" applyFont="1" applyFill="1" applyBorder="1" applyAlignment="1" applyProtection="1">
      <alignment horizontal="right" vertical="center"/>
      <protection locked="0"/>
    </xf>
    <xf numFmtId="0" fontId="89" fillId="7" borderId="133" xfId="0" applyFont="1" applyFill="1" applyBorder="1" applyAlignment="1" applyProtection="1">
      <alignment horizontal="right" vertical="center"/>
      <protection locked="0"/>
    </xf>
    <xf numFmtId="38" fontId="131" fillId="46" borderId="66" xfId="138" applyFont="1" applyFill="1" applyBorder="1" applyAlignment="1" applyProtection="1">
      <alignment horizontal="center" vertical="center"/>
      <protection locked="0"/>
    </xf>
    <xf numFmtId="38" fontId="131" fillId="46" borderId="79" xfId="138" applyFont="1" applyFill="1" applyBorder="1" applyAlignment="1" applyProtection="1">
      <alignment horizontal="center" vertical="center"/>
      <protection locked="0"/>
    </xf>
    <xf numFmtId="177" fontId="128" fillId="0" borderId="125" xfId="138" applyNumberFormat="1" applyFont="1" applyBorder="1" applyAlignment="1">
      <alignment horizontal="center" vertical="center"/>
    </xf>
    <xf numFmtId="177" fontId="128" fillId="0" borderId="122" xfId="138" applyNumberFormat="1" applyFont="1" applyBorder="1" applyAlignment="1">
      <alignment horizontal="center" vertical="center"/>
    </xf>
    <xf numFmtId="177" fontId="128" fillId="7" borderId="122" xfId="138" applyNumberFormat="1" applyFont="1" applyFill="1" applyBorder="1" applyAlignment="1">
      <alignment horizontal="center" vertical="center"/>
    </xf>
    <xf numFmtId="177" fontId="128" fillId="7" borderId="123" xfId="138" applyNumberFormat="1" applyFont="1" applyFill="1" applyBorder="1" applyAlignment="1">
      <alignment horizontal="center" vertical="center"/>
    </xf>
    <xf numFmtId="0" fontId="44" fillId="7" borderId="135" xfId="0" applyFont="1" applyFill="1" applyBorder="1" applyAlignment="1">
      <alignment horizontal="center" vertical="center"/>
    </xf>
    <xf numFmtId="0" fontId="44" fillId="7" borderId="134" xfId="0" applyFont="1" applyFill="1" applyBorder="1" applyAlignment="1">
      <alignment horizontal="center" vertical="center"/>
    </xf>
    <xf numFmtId="0" fontId="64" fillId="7" borderId="142" xfId="0" applyFont="1" applyFill="1" applyBorder="1" applyAlignment="1" applyProtection="1">
      <alignment horizontal="right" vertical="center"/>
      <protection locked="0"/>
    </xf>
    <xf numFmtId="0" fontId="64" fillId="7" borderId="146" xfId="0" applyFont="1" applyFill="1" applyBorder="1" applyAlignment="1" applyProtection="1">
      <alignment horizontal="right" vertical="center"/>
      <protection locked="0"/>
    </xf>
    <xf numFmtId="2" fontId="35" fillId="0" borderId="142" xfId="0" applyNumberFormat="1" applyFont="1" applyBorder="1" applyAlignment="1">
      <alignment horizontal="right" vertical="center"/>
    </xf>
    <xf numFmtId="2" fontId="35" fillId="0" borderId="146" xfId="0" applyNumberFormat="1" applyFont="1" applyBorder="1" applyAlignment="1">
      <alignment horizontal="right" vertical="center"/>
    </xf>
    <xf numFmtId="177" fontId="128" fillId="0" borderId="122" xfId="0" applyNumberFormat="1" applyFont="1" applyBorder="1" applyAlignment="1">
      <alignment horizontal="center" vertical="center"/>
    </xf>
    <xf numFmtId="177" fontId="128" fillId="0" borderId="123" xfId="0" applyNumberFormat="1" applyFont="1" applyBorder="1" applyAlignment="1">
      <alignment horizontal="center" vertical="center"/>
    </xf>
    <xf numFmtId="38" fontId="128" fillId="7" borderId="122" xfId="0" applyNumberFormat="1" applyFont="1" applyFill="1" applyBorder="1" applyAlignment="1">
      <alignment horizontal="center" vertical="center"/>
    </xf>
    <xf numFmtId="38" fontId="128" fillId="7" borderId="123" xfId="0" applyNumberFormat="1" applyFont="1" applyFill="1" applyBorder="1" applyAlignment="1">
      <alignment horizontal="center" vertical="center"/>
    </xf>
    <xf numFmtId="0" fontId="49" fillId="7" borderId="154" xfId="0" applyFont="1" applyFill="1" applyBorder="1" applyAlignment="1">
      <alignment horizontal="center" vertical="center" shrinkToFit="1"/>
    </xf>
    <xf numFmtId="0" fontId="35" fillId="7" borderId="154" xfId="0" applyFont="1" applyFill="1" applyBorder="1" applyAlignment="1">
      <alignment horizontal="center" vertical="center" shrinkToFit="1"/>
    </xf>
    <xf numFmtId="0" fontId="44" fillId="7" borderId="155" xfId="0" applyFont="1" applyFill="1" applyBorder="1" applyAlignment="1">
      <alignment horizontal="center" vertical="center"/>
    </xf>
    <xf numFmtId="0" fontId="38" fillId="7" borderId="156" xfId="0" applyFont="1" applyFill="1" applyBorder="1" applyAlignment="1">
      <alignment horizontal="center" vertical="center"/>
    </xf>
    <xf numFmtId="38" fontId="89" fillId="0" borderId="142" xfId="138" applyFont="1" applyBorder="1" applyAlignment="1" applyProtection="1">
      <alignment horizontal="right" vertical="center"/>
      <protection locked="0"/>
    </xf>
    <xf numFmtId="38" fontId="89" fillId="0" borderId="146" xfId="138" applyFont="1" applyBorder="1" applyAlignment="1" applyProtection="1">
      <alignment horizontal="right" vertical="center"/>
      <protection locked="0"/>
    </xf>
    <xf numFmtId="0" fontId="81" fillId="7" borderId="47" xfId="0" applyFont="1" applyFill="1" applyBorder="1" applyAlignment="1">
      <alignment horizontal="center" vertical="center"/>
    </xf>
    <xf numFmtId="0" fontId="81" fillId="7" borderId="49" xfId="0" applyFont="1" applyFill="1" applyBorder="1" applyAlignment="1">
      <alignment horizontal="center" vertical="center"/>
    </xf>
    <xf numFmtId="0" fontId="44" fillId="7" borderId="66" xfId="0" applyFont="1" applyFill="1" applyBorder="1" applyAlignment="1">
      <alignment horizontal="center" vertical="center"/>
    </xf>
    <xf numFmtId="0" fontId="38" fillId="7" borderId="65" xfId="0" applyFont="1" applyFill="1" applyBorder="1" applyAlignment="1">
      <alignment horizontal="center" vertical="center"/>
    </xf>
    <xf numFmtId="0" fontId="42" fillId="24" borderId="135" xfId="0" applyFont="1" applyFill="1" applyBorder="1" applyAlignment="1">
      <alignment horizontal="left" vertical="center"/>
    </xf>
    <xf numFmtId="0" fontId="42" fillId="24" borderId="134" xfId="0" applyFont="1" applyFill="1" applyBorder="1" applyAlignment="1">
      <alignment horizontal="left" vertical="center"/>
    </xf>
    <xf numFmtId="0" fontId="49" fillId="0" borderId="13" xfId="0" applyFont="1" applyFill="1" applyBorder="1" applyAlignment="1">
      <alignment horizontal="center" vertical="center"/>
    </xf>
    <xf numFmtId="0" fontId="94" fillId="0" borderId="84" xfId="0" applyFont="1" applyFill="1" applyBorder="1" applyAlignment="1">
      <alignment horizontal="center" vertical="center"/>
    </xf>
    <xf numFmtId="0" fontId="64" fillId="7" borderId="126" xfId="0" applyFont="1" applyFill="1" applyBorder="1" applyAlignment="1" applyProtection="1">
      <alignment horizontal="right" vertical="center"/>
      <protection locked="0"/>
    </xf>
    <xf numFmtId="0" fontId="64" fillId="7" borderId="129" xfId="0" applyFont="1" applyFill="1" applyBorder="1" applyAlignment="1" applyProtection="1">
      <alignment horizontal="right" vertical="center"/>
      <protection locked="0"/>
    </xf>
    <xf numFmtId="38" fontId="64" fillId="7" borderId="126" xfId="138" applyFont="1" applyFill="1" applyBorder="1" applyAlignment="1" applyProtection="1">
      <alignment horizontal="right" vertical="center"/>
      <protection locked="0"/>
    </xf>
    <xf numFmtId="38" fontId="64" fillId="7" borderId="129" xfId="138" applyFont="1" applyFill="1" applyBorder="1" applyAlignment="1" applyProtection="1">
      <alignment horizontal="right" vertical="center"/>
      <protection locked="0"/>
    </xf>
    <xf numFmtId="0" fontId="44" fillId="0" borderId="66" xfId="0" applyFont="1" applyBorder="1" applyAlignment="1">
      <alignment horizontal="center" vertical="center"/>
    </xf>
    <xf numFmtId="0" fontId="38" fillId="0" borderId="67" xfId="0" applyFont="1" applyBorder="1" applyAlignment="1">
      <alignment horizontal="center" vertical="center"/>
    </xf>
    <xf numFmtId="0" fontId="49" fillId="7" borderId="66" xfId="0" applyFont="1" applyFill="1" applyBorder="1" applyAlignment="1">
      <alignment horizontal="center" vertical="center" wrapText="1"/>
    </xf>
    <xf numFmtId="0" fontId="49" fillId="7" borderId="67" xfId="0" applyFont="1" applyFill="1" applyBorder="1" applyAlignment="1">
      <alignment horizontal="center" vertical="center" wrapText="1"/>
    </xf>
    <xf numFmtId="0" fontId="49" fillId="7" borderId="126" xfId="0" applyFont="1" applyFill="1" applyBorder="1" applyAlignment="1">
      <alignment horizontal="center" vertical="center"/>
    </xf>
    <xf numFmtId="0" fontId="35" fillId="7" borderId="128" xfId="0" applyFont="1" applyFill="1" applyBorder="1" applyAlignment="1">
      <alignment horizontal="center" vertical="center"/>
    </xf>
    <xf numFmtId="188" fontId="125" fillId="38" borderId="74" xfId="138" applyNumberFormat="1" applyFont="1" applyFill="1" applyBorder="1" applyAlignment="1" applyProtection="1">
      <alignment horizontal="center" vertical="center"/>
      <protection locked="0"/>
    </xf>
    <xf numFmtId="188" fontId="125" fillId="38" borderId="75" xfId="138" applyNumberFormat="1" applyFont="1" applyFill="1" applyBorder="1" applyAlignment="1" applyProtection="1">
      <alignment horizontal="center" vertical="center"/>
      <protection locked="0"/>
    </xf>
    <xf numFmtId="0" fontId="44" fillId="0" borderId="142" xfId="0" applyFont="1" applyBorder="1" applyAlignment="1">
      <alignment horizontal="center" vertical="center"/>
    </xf>
    <xf numFmtId="0" fontId="44" fillId="0" borderId="143" xfId="0" applyFont="1" applyBorder="1" applyAlignment="1">
      <alignment horizontal="center" vertical="center"/>
    </xf>
    <xf numFmtId="0" fontId="96" fillId="5" borderId="0" xfId="0" applyFont="1" applyFill="1" applyAlignment="1">
      <alignment horizontal="center" vertical="center"/>
    </xf>
    <xf numFmtId="0" fontId="97" fillId="5" borderId="0" xfId="0" applyFont="1" applyFill="1" applyAlignment="1">
      <alignment horizontal="center" vertical="center"/>
    </xf>
    <xf numFmtId="0" fontId="48" fillId="3" borderId="0" xfId="0" applyFont="1" applyFill="1" applyAlignment="1">
      <alignment horizontal="center" vertical="center"/>
    </xf>
    <xf numFmtId="0" fontId="41" fillId="3" borderId="0" xfId="0" applyFont="1" applyFill="1" applyAlignment="1">
      <alignment horizontal="center" vertical="center"/>
    </xf>
    <xf numFmtId="0" fontId="42" fillId="3" borderId="0" xfId="0" applyFont="1" applyFill="1" applyAlignment="1">
      <alignment horizontal="center" vertical="center"/>
    </xf>
    <xf numFmtId="0" fontId="67" fillId="7" borderId="199" xfId="144" applyFont="1" applyFill="1" applyBorder="1" applyAlignment="1">
      <alignment horizontal="center" vertical="center"/>
    </xf>
    <xf numFmtId="0" fontId="67" fillId="7" borderId="0" xfId="144" applyFont="1" applyFill="1" applyBorder="1" applyAlignment="1">
      <alignment horizontal="center" vertical="center"/>
    </xf>
    <xf numFmtId="0" fontId="81" fillId="0" borderId="61" xfId="0" applyFont="1" applyBorder="1" applyAlignment="1">
      <alignment horizontal="center" vertical="center"/>
    </xf>
    <xf numFmtId="0" fontId="81" fillId="0" borderId="63" xfId="0" applyFont="1" applyBorder="1" applyAlignment="1">
      <alignment horizontal="center" vertical="center"/>
    </xf>
    <xf numFmtId="0" fontId="45" fillId="24" borderId="145" xfId="0" applyFont="1" applyFill="1" applyBorder="1" applyAlignment="1">
      <alignment horizontal="center" vertical="center"/>
    </xf>
    <xf numFmtId="0" fontId="45" fillId="24" borderId="110" xfId="0" applyFont="1" applyFill="1" applyBorder="1" applyAlignment="1">
      <alignment horizontal="center" vertical="center"/>
    </xf>
    <xf numFmtId="0" fontId="45" fillId="24" borderId="141" xfId="0" applyFont="1" applyFill="1" applyBorder="1" applyAlignment="1">
      <alignment horizontal="center" vertical="center"/>
    </xf>
    <xf numFmtId="0" fontId="45" fillId="24" borderId="13" xfId="0" applyFont="1" applyFill="1" applyBorder="1" applyAlignment="1">
      <alignment horizontal="center" vertical="center"/>
    </xf>
    <xf numFmtId="0" fontId="45" fillId="24" borderId="14" xfId="0" applyFont="1" applyFill="1" applyBorder="1" applyAlignment="1">
      <alignment horizontal="center" vertical="center"/>
    </xf>
    <xf numFmtId="0" fontId="45" fillId="24" borderId="43" xfId="0" applyFont="1" applyFill="1" applyBorder="1" applyAlignment="1">
      <alignment horizontal="center" vertical="center"/>
    </xf>
    <xf numFmtId="0" fontId="45" fillId="24" borderId="1" xfId="0" applyFont="1" applyFill="1" applyBorder="1" applyAlignment="1">
      <alignment horizontal="center" vertical="center"/>
    </xf>
    <xf numFmtId="0" fontId="45" fillId="24" borderId="37" xfId="0" applyFont="1" applyFill="1" applyBorder="1" applyAlignment="1">
      <alignment horizontal="center" vertical="center" wrapText="1"/>
    </xf>
    <xf numFmtId="0" fontId="45" fillId="24" borderId="46" xfId="0" applyFont="1" applyFill="1" applyBorder="1" applyAlignment="1">
      <alignment horizontal="center" vertical="center"/>
    </xf>
    <xf numFmtId="0" fontId="45" fillId="24" borderId="140" xfId="0" applyFont="1" applyFill="1" applyBorder="1" applyAlignment="1">
      <alignment horizontal="center" vertical="center"/>
    </xf>
    <xf numFmtId="0" fontId="45" fillId="24" borderId="115" xfId="0" applyFont="1" applyFill="1" applyBorder="1" applyAlignment="1">
      <alignment horizontal="center" vertical="center" wrapText="1"/>
    </xf>
    <xf numFmtId="0" fontId="45" fillId="24" borderId="46" xfId="0" applyFont="1" applyFill="1" applyBorder="1" applyAlignment="1">
      <alignment horizontal="center" vertical="center" wrapText="1"/>
    </xf>
    <xf numFmtId="0" fontId="45" fillId="24" borderId="116" xfId="0" applyFont="1" applyFill="1" applyBorder="1" applyAlignment="1">
      <alignment horizontal="center" vertical="center" wrapText="1"/>
    </xf>
    <xf numFmtId="0" fontId="45" fillId="24" borderId="111" xfId="0" applyFont="1" applyFill="1" applyBorder="1" applyAlignment="1">
      <alignment horizontal="center" vertical="center" wrapText="1"/>
    </xf>
    <xf numFmtId="0" fontId="138" fillId="12" borderId="13" xfId="0" applyFont="1" applyFill="1" applyBorder="1" applyAlignment="1">
      <alignment horizontal="center" vertical="center"/>
    </xf>
    <xf numFmtId="0" fontId="138" fillId="12" borderId="43" xfId="0" applyFont="1" applyFill="1" applyBorder="1" applyAlignment="1">
      <alignment horizontal="center" vertical="center"/>
    </xf>
    <xf numFmtId="0" fontId="92" fillId="2" borderId="23" xfId="3" applyFont="1" applyFill="1" applyBorder="1" applyAlignment="1">
      <alignment horizontal="center" vertical="center"/>
    </xf>
    <xf numFmtId="0" fontId="92" fillId="2" borderId="24" xfId="3" applyFont="1" applyFill="1" applyBorder="1" applyAlignment="1">
      <alignment horizontal="center" vertical="center"/>
    </xf>
    <xf numFmtId="0" fontId="92" fillId="2" borderId="25" xfId="3" applyFont="1" applyFill="1" applyBorder="1" applyAlignment="1">
      <alignment horizontal="center" vertical="center"/>
    </xf>
    <xf numFmtId="0" fontId="92" fillId="2" borderId="26" xfId="3" applyFont="1" applyFill="1" applyBorder="1" applyAlignment="1">
      <alignment horizontal="center" vertical="center"/>
    </xf>
    <xf numFmtId="0" fontId="92" fillId="2" borderId="27" xfId="3" applyFont="1" applyFill="1" applyBorder="1" applyAlignment="1">
      <alignment horizontal="center" vertical="center"/>
    </xf>
    <xf numFmtId="0" fontId="92" fillId="2" borderId="28" xfId="3" applyFont="1" applyFill="1" applyBorder="1" applyAlignment="1">
      <alignment horizontal="center" vertical="center"/>
    </xf>
  </cellXfs>
  <cellStyles count="211">
    <cellStyle name="20% - アクセント 4" xfId="142" builtinId="42"/>
    <cellStyle name="20% - アクセント 4 2" xfId="196"/>
    <cellStyle name="2x indented GHG Textfiels" xfId="53"/>
    <cellStyle name="2x indented GHG Textfiels 2" xfId="155"/>
    <cellStyle name="2x indented GHG Textfiels 3" xfId="193"/>
    <cellStyle name="5x indented GHG Textfiels" xfId="54"/>
    <cellStyle name="5x indented GHG Textfiels 2" xfId="156"/>
    <cellStyle name="5x indented GHG Textfiels 2 2" xfId="203"/>
    <cellStyle name="5x indented GHG Textfiels 3" xfId="192"/>
    <cellStyle name="AggblueBoldCels" xfId="55"/>
    <cellStyle name="AggblueBoldCels 2" xfId="56"/>
    <cellStyle name="AggblueCels" xfId="57"/>
    <cellStyle name="AggblueCels 2" xfId="58"/>
    <cellStyle name="AggblueCels_1x" xfId="59"/>
    <cellStyle name="AggBoldCells" xfId="60"/>
    <cellStyle name="AggCels" xfId="61"/>
    <cellStyle name="AggGreen" xfId="62"/>
    <cellStyle name="AggGreen 2" xfId="63"/>
    <cellStyle name="AggGreen 2 2" xfId="161"/>
    <cellStyle name="AggGreen 2 3" xfId="151"/>
    <cellStyle name="AggGreen 3" xfId="160"/>
    <cellStyle name="AggGreen 4" xfId="152"/>
    <cellStyle name="AggGreen_2-Fgas-A-2009" xfId="67"/>
    <cellStyle name="AggGreen12" xfId="64"/>
    <cellStyle name="AggGreen12 2" xfId="65"/>
    <cellStyle name="AggGreen12 2 2" xfId="163"/>
    <cellStyle name="AggGreen12 2 3" xfId="149"/>
    <cellStyle name="AggGreen12 3" xfId="162"/>
    <cellStyle name="AggGreen12 4" xfId="150"/>
    <cellStyle name="AggGreen12_2-Fgas-A-2009" xfId="66"/>
    <cellStyle name="AggOrange" xfId="68"/>
    <cellStyle name="AggOrange 2" xfId="69"/>
    <cellStyle name="AggOrange 2 2" xfId="165"/>
    <cellStyle name="AggOrange 2 3" xfId="190"/>
    <cellStyle name="AggOrange 3" xfId="164"/>
    <cellStyle name="AggOrange 4" xfId="191"/>
    <cellStyle name="AggOrange_B_border" xfId="73"/>
    <cellStyle name="AggOrange9" xfId="70"/>
    <cellStyle name="AggOrange9 2" xfId="71"/>
    <cellStyle name="AggOrange9 2 2" xfId="167"/>
    <cellStyle name="AggOrange9 2 3" xfId="188"/>
    <cellStyle name="AggOrange9 3" xfId="166"/>
    <cellStyle name="AggOrange9 4" xfId="189"/>
    <cellStyle name="AggOrange9_Sheet2" xfId="72"/>
    <cellStyle name="AggOrangeLB_2x" xfId="74"/>
    <cellStyle name="AggOrangeLBorder" xfId="75"/>
    <cellStyle name="AggOrangeLBorder 2" xfId="76"/>
    <cellStyle name="AggOrangeLBorder 2 2" xfId="169"/>
    <cellStyle name="AggOrangeLBorder 2 2 2" xfId="205"/>
    <cellStyle name="AggOrangeLBorder 2 3" xfId="145"/>
    <cellStyle name="AggOrangeLBorder 3" xfId="168"/>
    <cellStyle name="AggOrangeLBorder 3 2" xfId="204"/>
    <cellStyle name="AggOrangeLBorder 4" xfId="187"/>
    <cellStyle name="AggOrangeLBorder_2-Fgas-A-2009" xfId="77"/>
    <cellStyle name="AggOrangeRBorder" xfId="78"/>
    <cellStyle name="AggOrangeRBorder 2" xfId="79"/>
    <cellStyle name="AggOrangeRBorder 2 2" xfId="171"/>
    <cellStyle name="AggOrangeRBorder 2 2 2" xfId="207"/>
    <cellStyle name="AggOrangeRBorder 2 3" xfId="185"/>
    <cellStyle name="AggOrangeRBorder 3" xfId="170"/>
    <cellStyle name="AggOrangeRBorder 3 2" xfId="206"/>
    <cellStyle name="AggOrangeRBorder 4" xfId="186"/>
    <cellStyle name="AggOrangeRBorder_Sheet2" xfId="80"/>
    <cellStyle name="Bold GHG Numbers (0.00)" xfId="81"/>
    <cellStyle name="Constants" xfId="82"/>
    <cellStyle name="CustomCellsOrange" xfId="83"/>
    <cellStyle name="CustomCellsOrange 2" xfId="172"/>
    <cellStyle name="CustomCellsOrange 2 2" xfId="208"/>
    <cellStyle name="CustomCellsOrange 3" xfId="179"/>
    <cellStyle name="CustomizationCells" xfId="84"/>
    <cellStyle name="CustomizationCells 2" xfId="173"/>
    <cellStyle name="CustomizationCells 2 2" xfId="209"/>
    <cellStyle name="CustomizationCells 3" xfId="176"/>
    <cellStyle name="CustomizationGreenCells" xfId="85"/>
    <cellStyle name="CustomizationGreenCells 2" xfId="174"/>
    <cellStyle name="CustomizationGreenCells 2 2" xfId="210"/>
    <cellStyle name="CustomizationGreenCells 3" xfId="175"/>
    <cellStyle name="DocBox_EmptyRow" xfId="86"/>
    <cellStyle name="Empty_B_border" xfId="87"/>
    <cellStyle name="Headline" xfId="88"/>
    <cellStyle name="InputCells" xfId="89"/>
    <cellStyle name="InputCells12" xfId="90"/>
    <cellStyle name="InputCells12 2" xfId="91"/>
    <cellStyle name="InputCells12 2 2" xfId="178"/>
    <cellStyle name="InputCells12 2 3" xfId="158"/>
    <cellStyle name="InputCells12 3" xfId="177"/>
    <cellStyle name="InputCells12 4" xfId="159"/>
    <cellStyle name="InputCells12_2-Fgas-A-2009" xfId="92"/>
    <cellStyle name="IntCells" xfId="93"/>
    <cellStyle name="Normal GHG Numbers (0.00)" xfId="94"/>
    <cellStyle name="Normal GHG Numbers (0.00) 2" xfId="180"/>
    <cellStyle name="Normal GHG Numbers (0.00) 3" xfId="157"/>
    <cellStyle name="Normal GHG Textfiels Bold" xfId="95"/>
    <cellStyle name="Normal GHG Textfiels Bold 2" xfId="181"/>
    <cellStyle name="Normal GHG Textfiels Bold 3" xfId="199"/>
    <cellStyle name="Normal GHG whole table" xfId="96"/>
    <cellStyle name="Normal GHG whole table 2" xfId="182"/>
    <cellStyle name="Normal GHG whole table 3" xfId="200"/>
    <cellStyle name="Normal GHG-Shade" xfId="97"/>
    <cellStyle name="Normal GHG-Shade 2" xfId="98"/>
    <cellStyle name="Normal GHG-Shade_Sheet2" xfId="99"/>
    <cellStyle name="Pattern" xfId="100"/>
    <cellStyle name="Pattern 2" xfId="183"/>
    <cellStyle name="Pattern 3" xfId="201"/>
    <cellStyle name="Shade" xfId="101"/>
    <cellStyle name="Shade 2" xfId="184"/>
    <cellStyle name="Shade 3" xfId="202"/>
    <cellStyle name="Гиперссылка" xfId="102"/>
    <cellStyle name="Обычный_2++" xfId="103"/>
    <cellStyle name="スタイル 1" xfId="7"/>
    <cellStyle name="パーセント" xfId="1" builtinId="5"/>
    <cellStyle name="パーセント 10" xfId="104"/>
    <cellStyle name="パーセント 2" xfId="5"/>
    <cellStyle name="パーセント 2 2" xfId="148"/>
    <cellStyle name="パーセント 3" xfId="8"/>
    <cellStyle name="パーセント 4" xfId="9"/>
    <cellStyle name="パーセント 5" xfId="105"/>
    <cellStyle name="パーセント 6" xfId="106"/>
    <cellStyle name="パーセント 7" xfId="107"/>
    <cellStyle name="パーセント 8" xfId="108"/>
    <cellStyle name="パーセント 9" xfId="109"/>
    <cellStyle name="ハイパーリンク" xfId="2" builtinId="8"/>
    <cellStyle name="ハイパーリンク 2" xfId="6"/>
    <cellStyle name="ハイパーリンク 2 2" xfId="10"/>
    <cellStyle name="ハイパーリンク 3" xfId="11"/>
    <cellStyle name="ハイパーリンク 3 2" xfId="12"/>
    <cellStyle name="ハイパーリンク 4" xfId="13"/>
    <cellStyle name="ハイパーリンク 5" xfId="14"/>
    <cellStyle name="桁区切り" xfId="138" builtinId="6"/>
    <cellStyle name="桁区切り 10" xfId="110"/>
    <cellStyle name="桁区切り 11" xfId="140"/>
    <cellStyle name="桁区切り 11 2" xfId="195"/>
    <cellStyle name="桁区切り 2" xfId="4"/>
    <cellStyle name="桁区切り 2 2" xfId="147"/>
    <cellStyle name="桁区切り 3" xfId="15"/>
    <cellStyle name="桁区切り 4" xfId="111"/>
    <cellStyle name="桁区切り 5" xfId="112"/>
    <cellStyle name="桁区切り 6" xfId="113"/>
    <cellStyle name="桁区切り 7" xfId="114"/>
    <cellStyle name="桁区切り 8" xfId="115"/>
    <cellStyle name="桁区切り 9" xfId="116"/>
    <cellStyle name="標準" xfId="0" builtinId="0"/>
    <cellStyle name="標準 10" xfId="143"/>
    <cellStyle name="標準 10 2" xfId="144"/>
    <cellStyle name="標準 10 2 2" xfId="198"/>
    <cellStyle name="標準 10 3" xfId="197"/>
    <cellStyle name="標準 2" xfId="3"/>
    <cellStyle name="標準 2 2" xfId="16"/>
    <cellStyle name="標準 2 2 2" xfId="17"/>
    <cellStyle name="標準 2 3" xfId="18"/>
    <cellStyle name="標準 2 4" xfId="146"/>
    <cellStyle name="標準 3" xfId="19"/>
    <cellStyle name="標準 3 2" xfId="20"/>
    <cellStyle name="標準 3 3" xfId="21"/>
    <cellStyle name="標準 3 4" xfId="153"/>
    <cellStyle name="標準 4" xfId="22"/>
    <cellStyle name="標準 4 2" xfId="23"/>
    <cellStyle name="標準 5" xfId="24"/>
    <cellStyle name="標準 6" xfId="25"/>
    <cellStyle name="標準 6 2" xfId="154"/>
    <cellStyle name="標準 7" xfId="26"/>
    <cellStyle name="標準 8" xfId="139"/>
    <cellStyle name="標準 8 2" xfId="194"/>
    <cellStyle name="標準 9" xfId="27"/>
    <cellStyle name="標準_399部門原単位データ（1995）" xfId="14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未定義" xfId="28"/>
  </cellStyles>
  <dxfs count="919">
    <dxf>
      <font>
        <color theme="0"/>
      </font>
    </dxf>
    <dxf>
      <font>
        <color theme="0"/>
      </font>
    </dxf>
    <dxf>
      <font>
        <color theme="0"/>
      </font>
    </dxf>
    <dxf>
      <font>
        <color theme="0"/>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ont>
        <color theme="0"/>
      </font>
    </dxf>
    <dxf>
      <font>
        <color theme="0"/>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ill>
        <patternFill>
          <bgColor theme="3" tint="9.9948118533890809E-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ill>
        <patternFill>
          <bgColor theme="3" tint="9.9948118533890809E-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ont>
        <color theme="1"/>
      </font>
      <fill>
        <patternFill patternType="none">
          <bgColor auto="1"/>
        </patternFill>
      </fill>
      <border>
        <left style="thin">
          <color rgb="FF00A1DE"/>
        </left>
        <right style="thin">
          <color rgb="FF00A1DE"/>
        </right>
        <top style="thin">
          <color rgb="FF00A1DE"/>
        </top>
        <bottom style="thin">
          <color rgb="FF00A1DE"/>
        </bottom>
        <vertical/>
        <horizontal/>
      </border>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ont>
        <strike val="0"/>
        <color theme="6"/>
      </font>
      <fill>
        <patternFill patternType="none">
          <bgColor auto="1"/>
        </patternFill>
      </fill>
      <border>
        <left style="thin">
          <color rgb="FF00B0F0"/>
        </left>
        <right style="thin">
          <color rgb="FF00B0F0"/>
        </right>
        <top style="thin">
          <color rgb="FF00B0F0"/>
        </top>
        <bottom style="thin">
          <color rgb="FF00B0F0"/>
        </bottom>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ont>
        <color theme="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auto="1"/>
      </font>
      <fill>
        <patternFill>
          <bgColor theme="3" tint="9.9948118533890809E-2"/>
        </patternFill>
      </fill>
    </dxf>
    <dxf>
      <font>
        <color theme="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ill>
        <patternFill>
          <bgColor theme="3" tint="9.9948118533890809E-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ill>
        <patternFill>
          <bgColor theme="3" tint="9.9948118533890809E-2"/>
        </patternFill>
      </fill>
    </dxf>
    <dxf>
      <numFmt numFmtId="14" formatCode="0.00%"/>
      <fill>
        <patternFill>
          <bgColor theme="9" tint="0.59996337778862885"/>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ont>
        <color theme="1"/>
      </font>
      <fill>
        <patternFill patternType="none">
          <bgColor auto="1"/>
        </patternFill>
      </fill>
      <border>
        <left style="thin">
          <color rgb="FF00A1DE"/>
        </left>
        <right style="thin">
          <color rgb="FF00A1DE"/>
        </right>
        <top style="thin">
          <color rgb="FF00A1DE"/>
        </top>
        <bottom style="thin">
          <color rgb="FF00A1DE"/>
        </bottom>
        <vertical/>
        <horizontal/>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ont>
        <strike val="0"/>
        <color theme="6"/>
      </font>
      <fill>
        <patternFill patternType="none">
          <bgColor auto="1"/>
        </patternFill>
      </fill>
      <border>
        <left style="thin">
          <color rgb="FF00B0F0"/>
        </left>
        <right style="thin">
          <color rgb="FF00B0F0"/>
        </right>
        <top style="thin">
          <color rgb="FF00B0F0"/>
        </top>
        <bottom style="thin">
          <color rgb="FF00B0F0"/>
        </bottom>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auto="1"/>
      </font>
      <fill>
        <patternFill>
          <bgColor theme="3" tint="9.9948118533890809E-2"/>
        </patternFill>
      </fill>
    </dxf>
    <dxf>
      <font>
        <color theme="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ill>
        <patternFill>
          <bgColor theme="3" tint="9.9948118533890809E-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1"/>
      </font>
      <fill>
        <patternFill>
          <bgColor theme="3" tint="9.9948118533890809E-2"/>
        </patternFill>
      </fill>
    </dxf>
    <dxf>
      <font>
        <color theme="1"/>
      </font>
      <fill>
        <patternFill>
          <bgColor theme="3" tint="9.9948118533890809E-2"/>
        </patternFill>
      </fill>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1"/>
      </font>
      <fill>
        <patternFill patternType="none">
          <bgColor auto="1"/>
        </patternFill>
      </fill>
      <border>
        <left style="thin">
          <color rgb="FF00A1DE"/>
        </left>
        <right style="thin">
          <color rgb="FF00A1DE"/>
        </right>
        <top style="thin">
          <color rgb="FF00A1DE"/>
        </top>
        <bottom style="thin">
          <color rgb="FF00A1DE"/>
        </bottom>
        <vertical/>
        <horizontal/>
      </border>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ont>
        <strike val="0"/>
        <color theme="6"/>
      </font>
      <fill>
        <patternFill patternType="none">
          <bgColor auto="1"/>
        </patternFill>
      </fill>
      <border>
        <left style="thin">
          <color rgb="FF00B0F0"/>
        </left>
        <right style="thin">
          <color rgb="FF00B0F0"/>
        </right>
        <top style="thin">
          <color rgb="FF00B0F0"/>
        </top>
        <bottom style="thin">
          <color rgb="FF00B0F0"/>
        </bottom>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9" defaultPivotStyle="PivotStyleLight16"/>
  <colors>
    <mruColors>
      <color rgb="FFB191AF"/>
      <color rgb="FF81BC00"/>
      <color rgb="FFFFCCCC"/>
      <color rgb="FF00A1DE"/>
      <color rgb="FF72C7E7"/>
      <color rgb="FF9273CF"/>
      <color rgb="FF8C8C8C"/>
      <color rgb="FFB4B4B4"/>
      <color rgb="FFDCDCDC"/>
      <color rgb="FF57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ja-JP"/>
              <a:t>配分結果</a:t>
            </a:r>
            <a:r>
              <a:rPr lang="en-US"/>
              <a:t>[kg-CO2]</a:t>
            </a:r>
          </a:p>
          <a:p>
            <a:pPr>
              <a:defRPr/>
            </a:pPr>
            <a:r>
              <a:rPr lang="ja-JP" altLang="en-US"/>
              <a:t>＊熱量基準を原則として採用。困難な場合は体積基準を採用。</a:t>
            </a:r>
            <a:endParaRPr lang="ja-JP"/>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'製造(P)'!$AT$163</c:f>
              <c:strCache>
                <c:ptCount val="1"/>
                <c:pt idx="0">
                  <c:v>水素</c:v>
                </c:pt>
              </c:strCache>
            </c:strRef>
          </c:tx>
          <c:spPr>
            <a:solidFill>
              <a:schemeClr val="accent1"/>
            </a:solidFill>
            <a:ln>
              <a:noFill/>
            </a:ln>
            <a:effectLst/>
          </c:spPr>
          <c:invertIfNegative val="0"/>
          <c:cat>
            <c:strRef>
              <c:f>'製造(P)'!$AU$162:$AY$162</c:f>
              <c:strCache>
                <c:ptCount val="5"/>
                <c:pt idx="0">
                  <c:v>重量配分</c:v>
                </c:pt>
                <c:pt idx="1">
                  <c:v>熱量配分</c:v>
                </c:pt>
                <c:pt idx="2">
                  <c:v>金額配分</c:v>
                </c:pt>
                <c:pt idx="3">
                  <c:v>体積配分</c:v>
                </c:pt>
                <c:pt idx="4">
                  <c:v>代替</c:v>
                </c:pt>
              </c:strCache>
            </c:strRef>
          </c:cat>
          <c:val>
            <c:numRef>
              <c:f>'製造(P)'!$AU$163:$AY$163</c:f>
              <c:numCache>
                <c:formatCode>#,##0_);[Red]\(#,##0\)</c:formatCode>
                <c:ptCount val="5"/>
                <c:pt idx="0">
                  <c:v>0.49852819395117476</c:v>
                </c:pt>
                <c:pt idx="1">
                  <c:v>0.49852819395117476</c:v>
                </c:pt>
                <c:pt idx="2">
                  <c:v>0</c:v>
                </c:pt>
                <c:pt idx="3">
                  <c:v>0.49852819395117476</c:v>
                </c:pt>
                <c:pt idx="4">
                  <c:v>0.49852819395117476</c:v>
                </c:pt>
              </c:numCache>
            </c:numRef>
          </c:val>
          <c:extLst>
            <c:ext xmlns:c16="http://schemas.microsoft.com/office/drawing/2014/chart" uri="{C3380CC4-5D6E-409C-BE32-E72D297353CC}">
              <c16:uniqueId val="{00000000-E1E6-4D27-8359-DC0E7C4C40D0}"/>
            </c:ext>
          </c:extLst>
        </c:ser>
        <c:ser>
          <c:idx val="1"/>
          <c:order val="1"/>
          <c:tx>
            <c:strRef>
              <c:f>'製造(P)'!$AT$164</c:f>
              <c:strCache>
                <c:ptCount val="1"/>
              </c:strCache>
            </c:strRef>
          </c:tx>
          <c:spPr>
            <a:solidFill>
              <a:schemeClr val="accent2"/>
            </a:solidFill>
            <a:ln>
              <a:noFill/>
            </a:ln>
            <a:effectLst/>
          </c:spPr>
          <c:invertIfNegative val="0"/>
          <c:cat>
            <c:strRef>
              <c:f>'製造(P)'!$AU$162:$AY$162</c:f>
              <c:strCache>
                <c:ptCount val="5"/>
                <c:pt idx="0">
                  <c:v>重量配分</c:v>
                </c:pt>
                <c:pt idx="1">
                  <c:v>熱量配分</c:v>
                </c:pt>
                <c:pt idx="2">
                  <c:v>金額配分</c:v>
                </c:pt>
                <c:pt idx="3">
                  <c:v>体積配分</c:v>
                </c:pt>
                <c:pt idx="4">
                  <c:v>代替</c:v>
                </c:pt>
              </c:strCache>
            </c:strRef>
          </c:cat>
          <c:val>
            <c:numRef>
              <c:f>'製造(P)'!$AU$164:$AY$164</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1-E1E6-4D27-8359-DC0E7C4C40D0}"/>
            </c:ext>
          </c:extLst>
        </c:ser>
        <c:ser>
          <c:idx val="2"/>
          <c:order val="2"/>
          <c:tx>
            <c:strRef>
              <c:f>'製造(P)'!$AT$165</c:f>
              <c:strCache>
                <c:ptCount val="1"/>
              </c:strCache>
            </c:strRef>
          </c:tx>
          <c:spPr>
            <a:solidFill>
              <a:schemeClr val="accent3"/>
            </a:solidFill>
            <a:ln>
              <a:noFill/>
            </a:ln>
            <a:effectLst/>
          </c:spPr>
          <c:invertIfNegative val="0"/>
          <c:cat>
            <c:strRef>
              <c:f>'製造(P)'!$AU$162:$AY$162</c:f>
              <c:strCache>
                <c:ptCount val="5"/>
                <c:pt idx="0">
                  <c:v>重量配分</c:v>
                </c:pt>
                <c:pt idx="1">
                  <c:v>熱量配分</c:v>
                </c:pt>
                <c:pt idx="2">
                  <c:v>金額配分</c:v>
                </c:pt>
                <c:pt idx="3">
                  <c:v>体積配分</c:v>
                </c:pt>
                <c:pt idx="4">
                  <c:v>代替</c:v>
                </c:pt>
              </c:strCache>
            </c:strRef>
          </c:cat>
          <c:val>
            <c:numRef>
              <c:f>'製造(P)'!$AU$165:$AY$165</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2-E1E6-4D27-8359-DC0E7C4C40D0}"/>
            </c:ext>
          </c:extLst>
        </c:ser>
        <c:ser>
          <c:idx val="3"/>
          <c:order val="3"/>
          <c:tx>
            <c:strRef>
              <c:f>'製造(P)'!$AT$166</c:f>
              <c:strCache>
                <c:ptCount val="1"/>
              </c:strCache>
            </c:strRef>
          </c:tx>
          <c:spPr>
            <a:solidFill>
              <a:schemeClr val="accent4"/>
            </a:solidFill>
            <a:ln>
              <a:noFill/>
            </a:ln>
            <a:effectLst/>
          </c:spPr>
          <c:invertIfNegative val="0"/>
          <c:cat>
            <c:strRef>
              <c:f>'製造(P)'!$AU$162:$AY$162</c:f>
              <c:strCache>
                <c:ptCount val="5"/>
                <c:pt idx="0">
                  <c:v>重量配分</c:v>
                </c:pt>
                <c:pt idx="1">
                  <c:v>熱量配分</c:v>
                </c:pt>
                <c:pt idx="2">
                  <c:v>金額配分</c:v>
                </c:pt>
                <c:pt idx="3">
                  <c:v>体積配分</c:v>
                </c:pt>
                <c:pt idx="4">
                  <c:v>代替</c:v>
                </c:pt>
              </c:strCache>
            </c:strRef>
          </c:cat>
          <c:val>
            <c:numRef>
              <c:f>'製造(P)'!$AU$166:$AY$166</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3-E1E6-4D27-8359-DC0E7C4C40D0}"/>
            </c:ext>
          </c:extLst>
        </c:ser>
        <c:dLbls>
          <c:showLegendKey val="0"/>
          <c:showVal val="0"/>
          <c:showCatName val="0"/>
          <c:showSerName val="0"/>
          <c:showPercent val="0"/>
          <c:showBubbleSize val="0"/>
        </c:dLbls>
        <c:gapWidth val="219"/>
        <c:overlap val="-27"/>
        <c:axId val="789717440"/>
        <c:axId val="789728416"/>
      </c:barChart>
      <c:catAx>
        <c:axId val="78971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89728416"/>
        <c:crosses val="autoZero"/>
        <c:auto val="1"/>
        <c:lblAlgn val="ctr"/>
        <c:lblOffset val="100"/>
        <c:noMultiLvlLbl val="0"/>
      </c:catAx>
      <c:valAx>
        <c:axId val="789728416"/>
        <c:scaling>
          <c:orientation val="minMax"/>
        </c:scaling>
        <c:delete val="0"/>
        <c:axPos val="l"/>
        <c:majorGridlines>
          <c:spPr>
            <a:ln w="9525" cap="flat" cmpd="sng" algn="ctr">
              <a:solidFill>
                <a:schemeClr val="tx1">
                  <a:lumMod val="15000"/>
                  <a:lumOff val="85000"/>
                </a:schemeClr>
              </a:solidFill>
              <a:round/>
            </a:ln>
            <a:effectLst/>
          </c:spPr>
        </c:majorGridlines>
        <c:numFmt formatCode="#,##0.0;[Red]\-#,##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89717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40" b="0" i="0" u="none" strike="noStrike" kern="1200" spc="0" baseline="0">
                <a:solidFill>
                  <a:sysClr val="windowText" lastClr="000000">
                    <a:lumMod val="65000"/>
                    <a:lumOff val="35000"/>
                  </a:sysClr>
                </a:solidFill>
                <a:latin typeface="+mn-lt"/>
                <a:ea typeface="+mn-ea"/>
                <a:cs typeface="+mn-cs"/>
              </a:defRPr>
            </a:pPr>
            <a:r>
              <a:rPr lang="ja-JP"/>
              <a:t>配分結果</a:t>
            </a:r>
            <a:r>
              <a:rPr lang="en-US"/>
              <a:t>[kg-CO]</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ja-JP" altLang="ja-JP" sz="1440" b="0" i="0" u="none" strike="noStrike" kern="1200" spc="0" baseline="0">
                <a:solidFill>
                  <a:sysClr val="windowText" lastClr="000000">
                    <a:lumMod val="65000"/>
                    <a:lumOff val="35000"/>
                  </a:sysClr>
                </a:solidFill>
                <a:latin typeface="+mn-lt"/>
                <a:ea typeface="+mn-ea"/>
                <a:cs typeface="+mn-cs"/>
              </a:rPr>
              <a:t>＊熱量基準を原則として採用。困難な場合は体積基準を採用。</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ja-JP"/>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4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barChart>
        <c:barDir val="col"/>
        <c:grouping val="clustered"/>
        <c:varyColors val="0"/>
        <c:ser>
          <c:idx val="0"/>
          <c:order val="0"/>
          <c:tx>
            <c:strRef>
              <c:f>'貯蔵・輸送(ST)'!$AT$163</c:f>
              <c:strCache>
                <c:ptCount val="1"/>
                <c:pt idx="0">
                  <c:v>水素</c:v>
                </c:pt>
              </c:strCache>
            </c:strRef>
          </c:tx>
          <c:spPr>
            <a:solidFill>
              <a:schemeClr val="accent1"/>
            </a:solidFill>
            <a:ln>
              <a:noFill/>
            </a:ln>
            <a:effectLst/>
          </c:spPr>
          <c:invertIfNegative val="0"/>
          <c:cat>
            <c:strRef>
              <c:f>'貯蔵・輸送(ST)'!$AU$162:$AY$162</c:f>
              <c:strCache>
                <c:ptCount val="5"/>
                <c:pt idx="0">
                  <c:v>重量配分</c:v>
                </c:pt>
                <c:pt idx="1">
                  <c:v>熱量配分</c:v>
                </c:pt>
                <c:pt idx="2">
                  <c:v>金額配分</c:v>
                </c:pt>
                <c:pt idx="3">
                  <c:v>体積配分</c:v>
                </c:pt>
                <c:pt idx="4">
                  <c:v>代替</c:v>
                </c:pt>
              </c:strCache>
            </c:strRef>
          </c:cat>
          <c:val>
            <c:numRef>
              <c:f>'貯蔵・輸送(ST)'!$AU$163:$AY$163</c:f>
              <c:numCache>
                <c:formatCode>#,##0_);[Red]\(#,##0\)</c:formatCode>
                <c:ptCount val="5"/>
                <c:pt idx="0">
                  <c:v>6.9984054904509208E-2</c:v>
                </c:pt>
                <c:pt idx="1">
                  <c:v>6.9984054904509208E-2</c:v>
                </c:pt>
                <c:pt idx="2">
                  <c:v>0</c:v>
                </c:pt>
                <c:pt idx="3">
                  <c:v>6.9984054904509208E-2</c:v>
                </c:pt>
                <c:pt idx="4">
                  <c:v>6.9984054904509208E-2</c:v>
                </c:pt>
              </c:numCache>
            </c:numRef>
          </c:val>
          <c:extLst>
            <c:ext xmlns:c16="http://schemas.microsoft.com/office/drawing/2014/chart" uri="{C3380CC4-5D6E-409C-BE32-E72D297353CC}">
              <c16:uniqueId val="{00000000-AD8B-4D48-907E-4DFB8680A8A1}"/>
            </c:ext>
          </c:extLst>
        </c:ser>
        <c:ser>
          <c:idx val="1"/>
          <c:order val="1"/>
          <c:tx>
            <c:strRef>
              <c:f>'貯蔵・輸送(ST)'!$AT$164</c:f>
              <c:strCache>
                <c:ptCount val="1"/>
              </c:strCache>
            </c:strRef>
          </c:tx>
          <c:spPr>
            <a:solidFill>
              <a:schemeClr val="accent2"/>
            </a:solidFill>
            <a:ln>
              <a:noFill/>
            </a:ln>
            <a:effectLst/>
          </c:spPr>
          <c:invertIfNegative val="0"/>
          <c:cat>
            <c:strRef>
              <c:f>'貯蔵・輸送(ST)'!$AU$162:$AY$162</c:f>
              <c:strCache>
                <c:ptCount val="5"/>
                <c:pt idx="0">
                  <c:v>重量配分</c:v>
                </c:pt>
                <c:pt idx="1">
                  <c:v>熱量配分</c:v>
                </c:pt>
                <c:pt idx="2">
                  <c:v>金額配分</c:v>
                </c:pt>
                <c:pt idx="3">
                  <c:v>体積配分</c:v>
                </c:pt>
                <c:pt idx="4">
                  <c:v>代替</c:v>
                </c:pt>
              </c:strCache>
            </c:strRef>
          </c:cat>
          <c:val>
            <c:numRef>
              <c:f>'貯蔵・輸送(ST)'!$AU$164:$AY$164</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1-AD8B-4D48-907E-4DFB8680A8A1}"/>
            </c:ext>
          </c:extLst>
        </c:ser>
        <c:ser>
          <c:idx val="2"/>
          <c:order val="2"/>
          <c:tx>
            <c:strRef>
              <c:f>'貯蔵・輸送(ST)'!$AT$165</c:f>
              <c:strCache>
                <c:ptCount val="1"/>
              </c:strCache>
            </c:strRef>
          </c:tx>
          <c:spPr>
            <a:solidFill>
              <a:schemeClr val="accent3"/>
            </a:solidFill>
            <a:ln>
              <a:noFill/>
            </a:ln>
            <a:effectLst/>
          </c:spPr>
          <c:invertIfNegative val="0"/>
          <c:cat>
            <c:strRef>
              <c:f>'貯蔵・輸送(ST)'!$AU$162:$AY$162</c:f>
              <c:strCache>
                <c:ptCount val="5"/>
                <c:pt idx="0">
                  <c:v>重量配分</c:v>
                </c:pt>
                <c:pt idx="1">
                  <c:v>熱量配分</c:v>
                </c:pt>
                <c:pt idx="2">
                  <c:v>金額配分</c:v>
                </c:pt>
                <c:pt idx="3">
                  <c:v>体積配分</c:v>
                </c:pt>
                <c:pt idx="4">
                  <c:v>代替</c:v>
                </c:pt>
              </c:strCache>
            </c:strRef>
          </c:cat>
          <c:val>
            <c:numRef>
              <c:f>'貯蔵・輸送(ST)'!$AU$165:$AY$165</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2-AD8B-4D48-907E-4DFB8680A8A1}"/>
            </c:ext>
          </c:extLst>
        </c:ser>
        <c:ser>
          <c:idx val="3"/>
          <c:order val="3"/>
          <c:tx>
            <c:strRef>
              <c:f>'貯蔵・輸送(ST)'!$AT$166</c:f>
              <c:strCache>
                <c:ptCount val="1"/>
              </c:strCache>
            </c:strRef>
          </c:tx>
          <c:spPr>
            <a:solidFill>
              <a:schemeClr val="accent4"/>
            </a:solidFill>
            <a:ln>
              <a:noFill/>
            </a:ln>
            <a:effectLst/>
          </c:spPr>
          <c:invertIfNegative val="0"/>
          <c:cat>
            <c:strRef>
              <c:f>'貯蔵・輸送(ST)'!$AU$162:$AY$162</c:f>
              <c:strCache>
                <c:ptCount val="5"/>
                <c:pt idx="0">
                  <c:v>重量配分</c:v>
                </c:pt>
                <c:pt idx="1">
                  <c:v>熱量配分</c:v>
                </c:pt>
                <c:pt idx="2">
                  <c:v>金額配分</c:v>
                </c:pt>
                <c:pt idx="3">
                  <c:v>体積配分</c:v>
                </c:pt>
                <c:pt idx="4">
                  <c:v>代替</c:v>
                </c:pt>
              </c:strCache>
            </c:strRef>
          </c:cat>
          <c:val>
            <c:numRef>
              <c:f>'貯蔵・輸送(ST)'!$AU$166:$AY$166</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3-AD8B-4D48-907E-4DFB8680A8A1}"/>
            </c:ext>
          </c:extLst>
        </c:ser>
        <c:dLbls>
          <c:showLegendKey val="0"/>
          <c:showVal val="0"/>
          <c:showCatName val="0"/>
          <c:showSerName val="0"/>
          <c:showPercent val="0"/>
          <c:showBubbleSize val="0"/>
        </c:dLbls>
        <c:gapWidth val="219"/>
        <c:overlap val="-27"/>
        <c:axId val="789722536"/>
        <c:axId val="789726064"/>
      </c:barChart>
      <c:catAx>
        <c:axId val="789722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89726064"/>
        <c:crosses val="autoZero"/>
        <c:auto val="1"/>
        <c:lblAlgn val="ctr"/>
        <c:lblOffset val="100"/>
        <c:noMultiLvlLbl val="0"/>
      </c:catAx>
      <c:valAx>
        <c:axId val="789726064"/>
        <c:scaling>
          <c:orientation val="minMax"/>
        </c:scaling>
        <c:delete val="0"/>
        <c:axPos val="l"/>
        <c:majorGridlines>
          <c:spPr>
            <a:ln w="9525" cap="flat" cmpd="sng" algn="ctr">
              <a:solidFill>
                <a:schemeClr val="tx1">
                  <a:lumMod val="15000"/>
                  <a:lumOff val="85000"/>
                </a:schemeClr>
              </a:solidFill>
              <a:round/>
            </a:ln>
            <a:effectLst/>
          </c:spPr>
        </c:majorGridlines>
        <c:numFmt formatCode="#,##0.0;[Red]\-#,##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89722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40" b="0" i="0" u="none" strike="noStrike" kern="1200" spc="0" baseline="0">
                <a:solidFill>
                  <a:sysClr val="windowText" lastClr="000000">
                    <a:lumMod val="65000"/>
                    <a:lumOff val="35000"/>
                  </a:sysClr>
                </a:solidFill>
                <a:latin typeface="+mn-lt"/>
                <a:ea typeface="+mn-ea"/>
                <a:cs typeface="+mn-cs"/>
              </a:defRPr>
            </a:pPr>
            <a:r>
              <a:rPr lang="ja-JP"/>
              <a:t>配分結果</a:t>
            </a:r>
            <a:r>
              <a:rPr lang="en-US"/>
              <a:t>[kg-CO2]</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ja-JP" altLang="ja-JP" sz="1440" b="0" i="0" u="none" strike="noStrike" kern="1200" spc="0" baseline="0">
                <a:solidFill>
                  <a:sysClr val="windowText" lastClr="000000">
                    <a:lumMod val="65000"/>
                    <a:lumOff val="35000"/>
                  </a:sysClr>
                </a:solidFill>
                <a:latin typeface="+mn-lt"/>
                <a:ea typeface="+mn-ea"/>
                <a:cs typeface="+mn-cs"/>
              </a:rPr>
              <a:t>＊熱量基準を原則として採用。困難な場合は体積基準を採用。</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4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barChart>
        <c:barDir val="col"/>
        <c:grouping val="clustered"/>
        <c:varyColors val="0"/>
        <c:ser>
          <c:idx val="0"/>
          <c:order val="0"/>
          <c:tx>
            <c:strRef>
              <c:f>'供給(D)'!$AT$163</c:f>
              <c:strCache>
                <c:ptCount val="1"/>
                <c:pt idx="0">
                  <c:v>水素</c:v>
                </c:pt>
              </c:strCache>
            </c:strRef>
          </c:tx>
          <c:spPr>
            <a:solidFill>
              <a:schemeClr val="accent1"/>
            </a:solidFill>
            <a:ln>
              <a:noFill/>
            </a:ln>
            <a:effectLst/>
          </c:spPr>
          <c:invertIfNegative val="0"/>
          <c:cat>
            <c:strRef>
              <c:f>'供給(D)'!$AU$162:$AY$162</c:f>
              <c:strCache>
                <c:ptCount val="5"/>
                <c:pt idx="0">
                  <c:v>重量配分</c:v>
                </c:pt>
                <c:pt idx="1">
                  <c:v>熱量配分</c:v>
                </c:pt>
                <c:pt idx="2">
                  <c:v>金額配分</c:v>
                </c:pt>
                <c:pt idx="3">
                  <c:v>体積配分</c:v>
                </c:pt>
                <c:pt idx="4">
                  <c:v>代替</c:v>
                </c:pt>
              </c:strCache>
            </c:strRef>
          </c:cat>
          <c:val>
            <c:numRef>
              <c:f>'供給(D)'!$AU$163:$AY$163</c:f>
              <c:numCache>
                <c:formatCode>#,##0_);[Red]\(#,##0\)</c:formatCode>
                <c:ptCount val="5"/>
                <c:pt idx="0">
                  <c:v>2.5831325963531819E-2</c:v>
                </c:pt>
                <c:pt idx="1">
                  <c:v>2.5831325963531819E-2</c:v>
                </c:pt>
                <c:pt idx="2">
                  <c:v>0</c:v>
                </c:pt>
                <c:pt idx="3">
                  <c:v>2.5831325963531819E-2</c:v>
                </c:pt>
                <c:pt idx="4">
                  <c:v>2.5831325963531819E-2</c:v>
                </c:pt>
              </c:numCache>
            </c:numRef>
          </c:val>
          <c:extLst>
            <c:ext xmlns:c16="http://schemas.microsoft.com/office/drawing/2014/chart" uri="{C3380CC4-5D6E-409C-BE32-E72D297353CC}">
              <c16:uniqueId val="{00000000-692B-458C-9999-51B54E927989}"/>
            </c:ext>
          </c:extLst>
        </c:ser>
        <c:ser>
          <c:idx val="1"/>
          <c:order val="1"/>
          <c:tx>
            <c:strRef>
              <c:f>'供給(D)'!$AT$164</c:f>
              <c:strCache>
                <c:ptCount val="1"/>
              </c:strCache>
            </c:strRef>
          </c:tx>
          <c:spPr>
            <a:solidFill>
              <a:schemeClr val="accent2"/>
            </a:solidFill>
            <a:ln>
              <a:noFill/>
            </a:ln>
            <a:effectLst/>
          </c:spPr>
          <c:invertIfNegative val="0"/>
          <c:cat>
            <c:strRef>
              <c:f>'供給(D)'!$AU$162:$AY$162</c:f>
              <c:strCache>
                <c:ptCount val="5"/>
                <c:pt idx="0">
                  <c:v>重量配分</c:v>
                </c:pt>
                <c:pt idx="1">
                  <c:v>熱量配分</c:v>
                </c:pt>
                <c:pt idx="2">
                  <c:v>金額配分</c:v>
                </c:pt>
                <c:pt idx="3">
                  <c:v>体積配分</c:v>
                </c:pt>
                <c:pt idx="4">
                  <c:v>代替</c:v>
                </c:pt>
              </c:strCache>
            </c:strRef>
          </c:cat>
          <c:val>
            <c:numRef>
              <c:f>'供給(D)'!$AU$164:$AY$164</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1-692B-458C-9999-51B54E927989}"/>
            </c:ext>
          </c:extLst>
        </c:ser>
        <c:ser>
          <c:idx val="2"/>
          <c:order val="2"/>
          <c:tx>
            <c:strRef>
              <c:f>'供給(D)'!$AT$165</c:f>
              <c:strCache>
                <c:ptCount val="1"/>
              </c:strCache>
            </c:strRef>
          </c:tx>
          <c:spPr>
            <a:solidFill>
              <a:schemeClr val="accent3"/>
            </a:solidFill>
            <a:ln>
              <a:noFill/>
            </a:ln>
            <a:effectLst/>
          </c:spPr>
          <c:invertIfNegative val="0"/>
          <c:cat>
            <c:strRef>
              <c:f>'供給(D)'!$AU$162:$AY$162</c:f>
              <c:strCache>
                <c:ptCount val="5"/>
                <c:pt idx="0">
                  <c:v>重量配分</c:v>
                </c:pt>
                <c:pt idx="1">
                  <c:v>熱量配分</c:v>
                </c:pt>
                <c:pt idx="2">
                  <c:v>金額配分</c:v>
                </c:pt>
                <c:pt idx="3">
                  <c:v>体積配分</c:v>
                </c:pt>
                <c:pt idx="4">
                  <c:v>代替</c:v>
                </c:pt>
              </c:strCache>
            </c:strRef>
          </c:cat>
          <c:val>
            <c:numRef>
              <c:f>'供給(D)'!$AU$165:$AY$165</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2-692B-458C-9999-51B54E927989}"/>
            </c:ext>
          </c:extLst>
        </c:ser>
        <c:ser>
          <c:idx val="3"/>
          <c:order val="3"/>
          <c:tx>
            <c:strRef>
              <c:f>'供給(D)'!$AT$166</c:f>
              <c:strCache>
                <c:ptCount val="1"/>
              </c:strCache>
            </c:strRef>
          </c:tx>
          <c:spPr>
            <a:solidFill>
              <a:schemeClr val="accent4"/>
            </a:solidFill>
            <a:ln>
              <a:noFill/>
            </a:ln>
            <a:effectLst/>
          </c:spPr>
          <c:invertIfNegative val="0"/>
          <c:cat>
            <c:strRef>
              <c:f>'供給(D)'!$AU$162:$AY$162</c:f>
              <c:strCache>
                <c:ptCount val="5"/>
                <c:pt idx="0">
                  <c:v>重量配分</c:v>
                </c:pt>
                <c:pt idx="1">
                  <c:v>熱量配分</c:v>
                </c:pt>
                <c:pt idx="2">
                  <c:v>金額配分</c:v>
                </c:pt>
                <c:pt idx="3">
                  <c:v>体積配分</c:v>
                </c:pt>
                <c:pt idx="4">
                  <c:v>代替</c:v>
                </c:pt>
              </c:strCache>
            </c:strRef>
          </c:cat>
          <c:val>
            <c:numRef>
              <c:f>'供給(D)'!$AU$166:$AY$166</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3-692B-458C-9999-51B54E927989}"/>
            </c:ext>
          </c:extLst>
        </c:ser>
        <c:dLbls>
          <c:showLegendKey val="0"/>
          <c:showVal val="0"/>
          <c:showCatName val="0"/>
          <c:showSerName val="0"/>
          <c:showPercent val="0"/>
          <c:showBubbleSize val="0"/>
        </c:dLbls>
        <c:gapWidth val="219"/>
        <c:overlap val="-27"/>
        <c:axId val="789735080"/>
        <c:axId val="789735864"/>
      </c:barChart>
      <c:catAx>
        <c:axId val="789735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89735864"/>
        <c:crosses val="autoZero"/>
        <c:auto val="1"/>
        <c:lblAlgn val="ctr"/>
        <c:lblOffset val="100"/>
        <c:noMultiLvlLbl val="0"/>
      </c:catAx>
      <c:valAx>
        <c:axId val="789735864"/>
        <c:scaling>
          <c:orientation val="minMax"/>
        </c:scaling>
        <c:delete val="0"/>
        <c:axPos val="l"/>
        <c:majorGridlines>
          <c:spPr>
            <a:ln w="9525" cap="flat" cmpd="sng" algn="ctr">
              <a:solidFill>
                <a:schemeClr val="tx1">
                  <a:lumMod val="15000"/>
                  <a:lumOff val="85000"/>
                </a:schemeClr>
              </a:solidFill>
              <a:round/>
            </a:ln>
            <a:effectLst/>
          </c:spPr>
        </c:majorGridlines>
        <c:numFmt formatCode="#,##0.0;[Red]\-#,##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89735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下限</c:v>
          </c:tx>
          <c:spPr>
            <a:noFill/>
            <a:ln>
              <a:noFill/>
            </a:ln>
            <a:effectLst/>
          </c:spPr>
          <c:invertIfNegative val="0"/>
          <c:cat>
            <c:strRef>
              <c:f>'小計（製造から供給）'!$C$6:$F$6</c:f>
              <c:strCache>
                <c:ptCount val="4"/>
                <c:pt idx="0">
                  <c:v>製造</c:v>
                </c:pt>
                <c:pt idx="1">
                  <c:v>貯蔵・輸送</c:v>
                </c:pt>
                <c:pt idx="2">
                  <c:v>供給</c:v>
                </c:pt>
                <c:pt idx="3">
                  <c:v>合計</c:v>
                </c:pt>
              </c:strCache>
            </c:strRef>
          </c:cat>
          <c:val>
            <c:numRef>
              <c:f>'小計（製造から供給）'!$K$14:$K$17</c:f>
              <c:numCache>
                <c:formatCode>General</c:formatCode>
                <c:ptCount val="4"/>
                <c:pt idx="0">
                  <c:v>0</c:v>
                </c:pt>
                <c:pt idx="1">
                  <c:v>0.49852819395117481</c:v>
                </c:pt>
                <c:pt idx="2">
                  <c:v>0.56851224885568397</c:v>
                </c:pt>
                <c:pt idx="3">
                  <c:v>0</c:v>
                </c:pt>
              </c:numCache>
            </c:numRef>
          </c:val>
          <c:extLst>
            <c:ext xmlns:c16="http://schemas.microsoft.com/office/drawing/2014/chart" uri="{C3380CC4-5D6E-409C-BE32-E72D297353CC}">
              <c16:uniqueId val="{00000000-75D4-443F-BED7-7A7728DC6C06}"/>
            </c:ext>
          </c:extLst>
        </c:ser>
        <c:ser>
          <c:idx val="1"/>
          <c:order val="1"/>
          <c:tx>
            <c:v>資本財</c:v>
          </c:tx>
          <c:spPr>
            <a:solidFill>
              <a:schemeClr val="accent2"/>
            </a:solidFill>
            <a:ln>
              <a:noFill/>
            </a:ln>
            <a:effectLst/>
          </c:spPr>
          <c:invertIfNegative val="0"/>
          <c:cat>
            <c:strRef>
              <c:f>'小計（製造から供給）'!$C$6:$F$6</c:f>
              <c:strCache>
                <c:ptCount val="4"/>
                <c:pt idx="0">
                  <c:v>製造</c:v>
                </c:pt>
                <c:pt idx="1">
                  <c:v>貯蔵・輸送</c:v>
                </c:pt>
                <c:pt idx="2">
                  <c:v>供給</c:v>
                </c:pt>
                <c:pt idx="3">
                  <c:v>合計</c:v>
                </c:pt>
              </c:strCache>
            </c:strRef>
          </c:cat>
          <c:val>
            <c:numRef>
              <c:f>'小計（製造から供給）'!$L$14:$L$17</c:f>
              <c:numCache>
                <c:formatCode>#,##0.0000;[Red]\-#,##0.0000</c:formatCode>
                <c:ptCount val="4"/>
                <c:pt idx="0">
                  <c:v>0.46266064572081733</c:v>
                </c:pt>
                <c:pt idx="1">
                  <c:v>6.7617388237842538E-2</c:v>
                </c:pt>
                <c:pt idx="2">
                  <c:v>2.434032596353182E-2</c:v>
                </c:pt>
                <c:pt idx="3" formatCode="#,##0.000;[Red]\-#,##0.000">
                  <c:v>0.55461835992219177</c:v>
                </c:pt>
              </c:numCache>
            </c:numRef>
          </c:val>
          <c:extLst>
            <c:ext xmlns:c16="http://schemas.microsoft.com/office/drawing/2014/chart" uri="{C3380CC4-5D6E-409C-BE32-E72D297353CC}">
              <c16:uniqueId val="{00000001-75D4-443F-BED7-7A7728DC6C06}"/>
            </c:ext>
          </c:extLst>
        </c:ser>
        <c:ser>
          <c:idx val="2"/>
          <c:order val="2"/>
          <c:tx>
            <c:v>原材料、ユーティリティ等</c:v>
          </c:tx>
          <c:spPr>
            <a:solidFill>
              <a:schemeClr val="accent3"/>
            </a:solidFill>
            <a:ln>
              <a:noFill/>
            </a:ln>
            <a:effectLst/>
          </c:spPr>
          <c:invertIfNegative val="0"/>
          <c:cat>
            <c:strRef>
              <c:f>'小計（製造から供給）'!$C$6:$F$6</c:f>
              <c:strCache>
                <c:ptCount val="4"/>
                <c:pt idx="0">
                  <c:v>製造</c:v>
                </c:pt>
                <c:pt idx="1">
                  <c:v>貯蔵・輸送</c:v>
                </c:pt>
                <c:pt idx="2">
                  <c:v>供給</c:v>
                </c:pt>
                <c:pt idx="3">
                  <c:v>合計</c:v>
                </c:pt>
              </c:strCache>
            </c:strRef>
          </c:cat>
          <c:val>
            <c:numRef>
              <c:f>'小計（製造から供給）'!$M$14:$M$17</c:f>
              <c:numCache>
                <c:formatCode>#,##0.0000;[Red]\-#,##0.0000</c:formatCode>
                <c:ptCount val="4"/>
                <c:pt idx="0">
                  <c:v>3.5867548230357482E-2</c:v>
                </c:pt>
                <c:pt idx="1">
                  <c:v>2.3666666666666697E-3</c:v>
                </c:pt>
                <c:pt idx="2">
                  <c:v>1.4909999999999993E-3</c:v>
                </c:pt>
                <c:pt idx="3">
                  <c:v>3.9725214897024151E-2</c:v>
                </c:pt>
              </c:numCache>
            </c:numRef>
          </c:val>
          <c:extLst>
            <c:ext xmlns:c16="http://schemas.microsoft.com/office/drawing/2014/chart" uri="{C3380CC4-5D6E-409C-BE32-E72D297353CC}">
              <c16:uniqueId val="{00000002-75D4-443F-BED7-7A7728DC6C06}"/>
            </c:ext>
          </c:extLst>
        </c:ser>
        <c:dLbls>
          <c:showLegendKey val="0"/>
          <c:showVal val="0"/>
          <c:showCatName val="0"/>
          <c:showSerName val="0"/>
          <c:showPercent val="0"/>
          <c:showBubbleSize val="0"/>
        </c:dLbls>
        <c:gapWidth val="75"/>
        <c:overlap val="100"/>
        <c:axId val="789741352"/>
        <c:axId val="789733120"/>
      </c:barChart>
      <c:catAx>
        <c:axId val="789741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9733120"/>
        <c:crosses val="autoZero"/>
        <c:auto val="1"/>
        <c:lblAlgn val="ctr"/>
        <c:lblOffset val="100"/>
        <c:noMultiLvlLbl val="0"/>
      </c:catAx>
      <c:valAx>
        <c:axId val="789733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a:t>GHG</a:t>
                </a:r>
                <a:r>
                  <a:rPr lang="ja-JP" altLang="en-US"/>
                  <a:t>排出量 </a:t>
                </a:r>
                <a:r>
                  <a:rPr lang="en-US" altLang="ja-JP"/>
                  <a:t>[kgCO2/</a:t>
                </a:r>
                <a:r>
                  <a:rPr lang="ja-JP" altLang="en-US"/>
                  <a:t>単位供給量</a:t>
                </a:r>
                <a:r>
                  <a:rPr lang="en-US" altLang="ja-JP" sz="1000" b="0" i="0" u="none" strike="noStrike" baseline="0">
                    <a:effectLst/>
                  </a:rPr>
                  <a:t>]</a:t>
                </a:r>
                <a:endParaRPr lang="ja-JP" altLang="en-US" sz="600"/>
              </a:p>
            </c:rich>
          </c:tx>
          <c:overlay val="0"/>
          <c:spPr>
            <a:noFill/>
            <a:ln>
              <a:noFill/>
            </a:ln>
            <a:effectLst/>
          </c:spPr>
        </c:title>
        <c:numFmt formatCode="General" sourceLinked="1"/>
        <c:majorTickMark val="out"/>
        <c:minorTickMark val="none"/>
        <c:tickLblPos val="nextTo"/>
        <c:spPr>
          <a:noFill/>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9741352"/>
        <c:crosses val="autoZero"/>
        <c:crossBetween val="between"/>
      </c:valAx>
      <c:spPr>
        <a:noFill/>
        <a:ln>
          <a:noFill/>
        </a:ln>
        <a:effectLst/>
      </c:spPr>
    </c:plotArea>
    <c:legend>
      <c:legendPos val="r"/>
      <c:overlay val="0"/>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利用機器別</a:t>
            </a:r>
            <a:r>
              <a:rPr lang="en-US" altLang="ja-JP"/>
              <a:t>GHG</a:t>
            </a:r>
            <a:r>
              <a:rPr lang="ja-JP" altLang="en-US"/>
              <a:t>排出量</a:t>
            </a:r>
          </a:p>
        </c:rich>
      </c:tx>
      <c:overlay val="0"/>
      <c:spPr>
        <a:noFill/>
        <a:ln>
          <a:noFill/>
        </a:ln>
        <a:effectLst/>
      </c:spPr>
    </c:title>
    <c:autoTitleDeleted val="0"/>
    <c:plotArea>
      <c:layout/>
      <c:barChart>
        <c:barDir val="col"/>
        <c:grouping val="clustered"/>
        <c:varyColors val="0"/>
        <c:ser>
          <c:idx val="0"/>
          <c:order val="0"/>
          <c:tx>
            <c:v>評価対象</c:v>
          </c:tx>
          <c:invertIfNegative val="0"/>
          <c:cat>
            <c:strRef>
              <c:f>[0]!利用集計グラフ軸</c:f>
              <c:strCache>
                <c:ptCount val="1"/>
                <c:pt idx="0">
                  <c:v>燃料電池車</c:v>
                </c:pt>
              </c:strCache>
              <c:extLst xmlns:c15="http://schemas.microsoft.com/office/drawing/2012/chart" xmlns:c16="http://schemas.microsoft.com/office/drawing/2014/chart"/>
            </c:strRef>
          </c:cat>
          <c:val>
            <c:numRef>
              <c:f>[0]!利用集計グラフデータ</c:f>
              <c:numCache>
                <c:formatCode>General</c:formatCode>
                <c:ptCount val="1"/>
                <c:pt idx="0">
                  <c:v>4.3334539640103399E-2</c:v>
                </c:pt>
              </c:numCache>
            </c:numRef>
          </c:val>
          <c:extLst>
            <c:ext xmlns:c16="http://schemas.microsoft.com/office/drawing/2014/chart" uri="{C3380CC4-5D6E-409C-BE32-E72D297353CC}">
              <c16:uniqueId val="{00000000-0DD7-49C8-BCD9-24E7DB612E81}"/>
            </c:ext>
          </c:extLst>
        </c:ser>
        <c:ser>
          <c:idx val="1"/>
          <c:order val="1"/>
          <c:tx>
            <c:v>比較対象</c:v>
          </c:tx>
          <c:invertIfNegative val="0"/>
          <c:cat>
            <c:strRef>
              <c:f>[0]!利用集計グラフ軸</c:f>
              <c:strCache>
                <c:ptCount val="1"/>
                <c:pt idx="0">
                  <c:v>燃料電池車</c:v>
                </c:pt>
              </c:strCache>
              <c:extLst xmlns:c15="http://schemas.microsoft.com/office/drawing/2012/chart" xmlns:c16="http://schemas.microsoft.com/office/drawing/2014/chart"/>
            </c:strRef>
          </c:cat>
          <c:val>
            <c:numRef>
              <c:f>[0]!利用集計グラフ比較対象データ</c:f>
              <c:numCache>
                <c:formatCode>General</c:formatCode>
                <c:ptCount val="1"/>
                <c:pt idx="0">
                  <c:v>0.17404848484848512</c:v>
                </c:pt>
              </c:numCache>
            </c:numRef>
          </c:val>
          <c:extLst>
            <c:ext xmlns:c16="http://schemas.microsoft.com/office/drawing/2014/chart" uri="{C3380CC4-5D6E-409C-BE32-E72D297353CC}">
              <c16:uniqueId val="{00000001-0DD7-49C8-BCD9-24E7DB612E81}"/>
            </c:ext>
          </c:extLst>
        </c:ser>
        <c:dLbls>
          <c:showLegendKey val="0"/>
          <c:showVal val="0"/>
          <c:showCatName val="0"/>
          <c:showSerName val="0"/>
          <c:showPercent val="0"/>
          <c:showBubbleSize val="0"/>
        </c:dLbls>
        <c:gapWidth val="150"/>
        <c:axId val="789737824"/>
        <c:axId val="789739000"/>
      </c:barChart>
      <c:catAx>
        <c:axId val="7897378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9739000"/>
        <c:crosses val="autoZero"/>
        <c:auto val="1"/>
        <c:lblAlgn val="ctr"/>
        <c:lblOffset val="100"/>
        <c:noMultiLvlLbl val="0"/>
      </c:catAx>
      <c:valAx>
        <c:axId val="7897390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a:t>GHG</a:t>
                </a:r>
                <a:r>
                  <a:rPr lang="ja-JP" altLang="en-US"/>
                  <a:t>排出量 </a:t>
                </a:r>
                <a:r>
                  <a:rPr lang="en-US" altLang="ja-JP"/>
                  <a:t>[kgCO</a:t>
                </a:r>
                <a:r>
                  <a:rPr lang="en-US" altLang="ja-JP" sz="600"/>
                  <a:t>2</a:t>
                </a:r>
                <a:r>
                  <a:rPr lang="en-US" altLang="ja-JP"/>
                  <a:t>]</a:t>
                </a:r>
                <a:endParaRPr lang="ja-JP" altLang="en-US"/>
              </a:p>
            </c:rich>
          </c:tx>
          <c:overlay val="0"/>
          <c:spPr>
            <a:noFill/>
            <a:ln>
              <a:noFill/>
            </a:ln>
            <a:effectLst/>
          </c:spPr>
        </c:title>
        <c:numFmt formatCode="#,##0_);[Red]\(#,##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9737824"/>
        <c:crosses val="autoZero"/>
        <c:crossBetween val="between"/>
      </c:valAx>
      <c:spPr>
        <a:noFill/>
        <a:ln>
          <a:solidFill>
            <a:schemeClr val="tx1"/>
          </a:solidFill>
        </a:ln>
        <a:effectLst/>
      </c:spPr>
    </c:plotArea>
    <c:legend>
      <c:legendPos val="r"/>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23567;&#35336;&#65288;&#35069;&#36896;&#12363;&#12425;&#20379;&#32102;&#65289;'!A1"/><Relationship Id="rId3" Type="http://schemas.openxmlformats.org/officeDocument/2006/relationships/hyperlink" Target="#'&#36015;&#34101;&#12539;&#36664;&#36865;(ST)'!A1"/><Relationship Id="rId7" Type="http://schemas.openxmlformats.org/officeDocument/2006/relationships/hyperlink" Target="#&#36039;&#26412;&#36001;!A1"/><Relationship Id="rId2" Type="http://schemas.openxmlformats.org/officeDocument/2006/relationships/hyperlink" Target="#'&#35069;&#36896;(P)'!A1"/><Relationship Id="rId1" Type="http://schemas.openxmlformats.org/officeDocument/2006/relationships/hyperlink" Target="#'&#20107;&#26989;&#24773;&#22577; '!A1"/><Relationship Id="rId6" Type="http://schemas.openxmlformats.org/officeDocument/2006/relationships/hyperlink" Target="#&#35036;&#21161;&#65432;&#65405;&#65412;!A1"/><Relationship Id="rId11" Type="http://schemas.openxmlformats.org/officeDocument/2006/relationships/hyperlink" Target="#&#30906;&#35469;&#38917;&#30446;!A1"/><Relationship Id="rId5" Type="http://schemas.openxmlformats.org/officeDocument/2006/relationships/hyperlink" Target="#IDEAv2!A1"/><Relationship Id="rId10" Type="http://schemas.openxmlformats.org/officeDocument/2006/relationships/hyperlink" Target="#&#21033;&#29992;&#38598;&#35336;!A1"/><Relationship Id="rId4" Type="http://schemas.openxmlformats.org/officeDocument/2006/relationships/hyperlink" Target="#'&#20379;&#32102;(D)'!A1"/><Relationship Id="rId9" Type="http://schemas.openxmlformats.org/officeDocument/2006/relationships/hyperlink" Target="#'&#21033;&#29992;(U)'!A1"/></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171449</xdr:rowOff>
    </xdr:from>
    <xdr:to>
      <xdr:col>19</xdr:col>
      <xdr:colOff>304800</xdr:colOff>
      <xdr:row>33</xdr:row>
      <xdr:rowOff>142874</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360714" y="552449"/>
          <a:ext cx="11778343" cy="5370739"/>
          <a:chOff x="633919" y="1972372"/>
          <a:chExt cx="8856156" cy="3635565"/>
        </a:xfrm>
      </xdr:grpSpPr>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633919" y="2058970"/>
            <a:ext cx="1237877" cy="663547"/>
          </a:xfrm>
          <a:prstGeom prst="rect">
            <a:avLst/>
          </a:prstGeom>
          <a:solidFill>
            <a:srgbClr val="53565A"/>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 lastClr="FFFFFF"/>
                </a:solidFill>
              </a:rPr>
              <a:t>事業情報</a:t>
            </a:r>
            <a:r>
              <a:rPr kumimoji="1" lang="ja-JP" altLang="en-US" sz="1400" b="1" u="sng" baseline="0">
                <a:solidFill>
                  <a:sysClr val="window" lastClr="FFFFFF"/>
                </a:solidFill>
              </a:rPr>
              <a:t> </a:t>
            </a:r>
            <a:r>
              <a:rPr kumimoji="1" lang="en-US" altLang="ja-JP" sz="1400" b="1" u="sng">
                <a:solidFill>
                  <a:sysClr val="window" lastClr="FFFFFF"/>
                </a:solidFill>
              </a:rPr>
              <a:t>Sheet</a:t>
            </a:r>
          </a:p>
          <a:p>
            <a:pPr algn="ctr"/>
            <a:r>
              <a:rPr kumimoji="1" lang="ja-JP" altLang="en-US" sz="1200">
                <a:solidFill>
                  <a:sysClr val="window" lastClr="FFFFFF"/>
                </a:solidFill>
              </a:rPr>
              <a:t>・水素の全般的情報</a:t>
            </a:r>
          </a:p>
          <a:p>
            <a:pPr algn="ctr"/>
            <a:r>
              <a:rPr kumimoji="1" lang="ja-JP" altLang="en-US" sz="1200">
                <a:solidFill>
                  <a:sysClr val="window" lastClr="FFFFFF"/>
                </a:solidFill>
              </a:rPr>
              <a:t>・水素の性状・取扱量</a:t>
            </a: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410531" y="2371421"/>
            <a:ext cx="1068148" cy="663547"/>
          </a:xfrm>
          <a:prstGeom prst="rect">
            <a:avLst/>
          </a:prstGeom>
          <a:solidFill>
            <a:srgbClr val="62B5E5"/>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b="1">
                <a:solidFill>
                  <a:sysClr val="window" lastClr="FFFFFF"/>
                </a:solidFill>
              </a:rPr>
              <a:t>データ入力</a:t>
            </a:r>
            <a:endParaRPr kumimoji="1" lang="en-US" altLang="ja-JP" sz="1200" b="1">
              <a:solidFill>
                <a:sysClr val="window" lastClr="FFFFFF"/>
              </a:solidFill>
            </a:endParaRPr>
          </a:p>
          <a:p>
            <a:pPr algn="ctr"/>
            <a:r>
              <a:rPr kumimoji="1" lang="ja-JP" altLang="en-US" sz="1200">
                <a:solidFill>
                  <a:sysClr val="window" lastClr="FFFFFF"/>
                </a:solidFill>
              </a:rPr>
              <a:t>・システム構成</a:t>
            </a:r>
            <a:endParaRPr kumimoji="1" lang="en-US" altLang="ja-JP" sz="1200">
              <a:solidFill>
                <a:sysClr val="window" lastClr="FFFFFF"/>
              </a:solidFill>
            </a:endParaRPr>
          </a:p>
          <a:p>
            <a:pPr algn="ctr"/>
            <a:r>
              <a:rPr kumimoji="1" lang="ja-JP" altLang="en-US" sz="1200">
                <a:solidFill>
                  <a:sysClr val="window" lastClr="FFFFFF"/>
                </a:solidFill>
              </a:rPr>
              <a:t>・インプット、アウトプット入力</a:t>
            </a:r>
            <a:endParaRPr kumimoji="1" lang="en-US" altLang="ja-JP" sz="1200">
              <a:solidFill>
                <a:sysClr val="window" lastClr="FFFFFF"/>
              </a:solidFill>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706306" y="2371421"/>
            <a:ext cx="1068148" cy="663547"/>
          </a:xfrm>
          <a:prstGeom prst="rect">
            <a:avLst/>
          </a:prstGeom>
          <a:solidFill>
            <a:srgbClr val="62B5E5"/>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en-US" altLang="ja-JP" sz="1200" b="1">
                <a:solidFill>
                  <a:sysClr val="window" lastClr="FFFFFF"/>
                </a:solidFill>
              </a:rPr>
              <a:t>GHG</a:t>
            </a:r>
            <a:r>
              <a:rPr kumimoji="1" lang="ja-JP" altLang="en-US" sz="1200" b="1">
                <a:solidFill>
                  <a:sysClr val="window" lastClr="FFFFFF"/>
                </a:solidFill>
              </a:rPr>
              <a:t>排出量小計</a:t>
            </a:r>
            <a:endParaRPr kumimoji="1" lang="en-US" altLang="ja-JP" sz="1200" b="1">
              <a:solidFill>
                <a:sysClr val="window" lastClr="FFFFFF"/>
              </a:solidFill>
            </a:endParaRPr>
          </a:p>
        </xdr:txBody>
      </xdr:sp>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250521" y="2084201"/>
            <a:ext cx="2741239" cy="1050041"/>
          </a:xfrm>
          <a:prstGeom prst="roundRect">
            <a:avLst/>
          </a:prstGeom>
          <a:noFill/>
          <a:ln w="12700" cap="flat" cmpd="sng" algn="ctr">
            <a:solidFill>
              <a:srgbClr val="62B5E5"/>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2410531" y="3589671"/>
            <a:ext cx="1068148" cy="663547"/>
          </a:xfrm>
          <a:prstGeom prst="rect">
            <a:avLst/>
          </a:prstGeom>
          <a:solidFill>
            <a:srgbClr val="046A38"/>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b="1">
                <a:solidFill>
                  <a:sysClr val="window" lastClr="FFFFFF"/>
                </a:solidFill>
              </a:rPr>
              <a:t>データ入力</a:t>
            </a: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706306" y="3589671"/>
            <a:ext cx="1068148" cy="663547"/>
          </a:xfrm>
          <a:prstGeom prst="rect">
            <a:avLst/>
          </a:prstGeom>
          <a:solidFill>
            <a:srgbClr val="046A38"/>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en-US" altLang="ja-JP" sz="1200" b="1">
                <a:solidFill>
                  <a:sysClr val="window" lastClr="FFFFFF"/>
                </a:solidFill>
              </a:rPr>
              <a:t>GHG</a:t>
            </a:r>
            <a:r>
              <a:rPr kumimoji="1" lang="ja-JP" altLang="en-US" sz="1200" b="1">
                <a:solidFill>
                  <a:sysClr val="window" lastClr="FFFFFF"/>
                </a:solidFill>
              </a:rPr>
              <a:t>排出量小計</a:t>
            </a:r>
          </a:p>
        </xdr:txBody>
      </xdr:sp>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2247137" y="3300950"/>
            <a:ext cx="2744623" cy="1030333"/>
          </a:xfrm>
          <a:prstGeom prst="roundRect">
            <a:avLst/>
          </a:prstGeom>
          <a:noFill/>
          <a:ln w="12700" cap="flat" cmpd="sng" algn="ctr">
            <a:solidFill>
              <a:srgbClr val="046A38"/>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a:solidFill>
                  <a:sysClr val="windowText" lastClr="000000"/>
                </a:solidFill>
              </a:rPr>
              <a:t>　</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410531" y="4769274"/>
            <a:ext cx="1068148" cy="663547"/>
          </a:xfrm>
          <a:prstGeom prst="rect">
            <a:avLst/>
          </a:prstGeom>
          <a:solidFill>
            <a:srgbClr val="012169"/>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b="1">
                <a:solidFill>
                  <a:sysClr val="window" lastClr="FFFFFF"/>
                </a:solidFill>
              </a:rPr>
              <a:t>データ入力</a:t>
            </a: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706306" y="4769274"/>
            <a:ext cx="1068148" cy="663547"/>
          </a:xfrm>
          <a:prstGeom prst="rect">
            <a:avLst/>
          </a:prstGeom>
          <a:solidFill>
            <a:srgbClr val="012169"/>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en-US" altLang="ja-JP" sz="1200" b="1">
                <a:solidFill>
                  <a:sysClr val="window" lastClr="FFFFFF"/>
                </a:solidFill>
              </a:rPr>
              <a:t>GHG</a:t>
            </a:r>
            <a:r>
              <a:rPr kumimoji="1" lang="ja-JP" altLang="en-US" sz="1200" b="1">
                <a:solidFill>
                  <a:sysClr val="window" lastClr="FFFFFF"/>
                </a:solidFill>
              </a:rPr>
              <a:t>排出量小計</a:t>
            </a:r>
          </a:p>
        </xdr:txBody>
      </xdr:sp>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2237697" y="4494152"/>
            <a:ext cx="2754063" cy="1019269"/>
          </a:xfrm>
          <a:prstGeom prst="roundRect">
            <a:avLst/>
          </a:prstGeom>
          <a:noFill/>
          <a:ln w="12700" cap="flat" cmpd="sng" algn="ctr">
            <a:solidFill>
              <a:srgbClr val="012169"/>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14" name="テキスト ボックス 86">
            <a:hlinkClick xmlns:r="http://schemas.openxmlformats.org/officeDocument/2006/relationships" r:id="rId2"/>
            <a:extLst>
              <a:ext uri="{FF2B5EF4-FFF2-40B4-BE49-F238E27FC236}">
                <a16:creationId xmlns:a16="http://schemas.microsoft.com/office/drawing/2014/main" id="{00000000-0008-0000-0000-00000E000000}"/>
              </a:ext>
            </a:extLst>
          </xdr:cNvPr>
          <xdr:cNvSpPr txBox="1"/>
        </xdr:nvSpPr>
        <xdr:spPr>
          <a:xfrm>
            <a:off x="2417756" y="2084201"/>
            <a:ext cx="1261884" cy="224012"/>
          </a:xfrm>
          <a:prstGeom prst="rect">
            <a:avLst/>
          </a:prstGeom>
          <a:noFill/>
        </xdr:spPr>
        <xdr:txBody>
          <a:bodyPr wrap="square" rtlCol="0">
            <a:spAutoFit/>
          </a:bodyP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r>
              <a:rPr kumimoji="1" lang="ja-JP" altLang="en-US" sz="1400" b="1" u="sng">
                <a:solidFill>
                  <a:srgbClr val="62B5E5"/>
                </a:solidFill>
              </a:rPr>
              <a:t>製造 </a:t>
            </a:r>
            <a:r>
              <a:rPr kumimoji="1" lang="en-US" altLang="ja-JP" sz="1400" b="1" u="sng">
                <a:solidFill>
                  <a:srgbClr val="62B5E5"/>
                </a:solidFill>
              </a:rPr>
              <a:t>(P)</a:t>
            </a:r>
            <a:r>
              <a:rPr kumimoji="1" lang="ja-JP" altLang="en-US" sz="1400" b="1" u="sng">
                <a:solidFill>
                  <a:srgbClr val="62B5E5"/>
                </a:solidFill>
              </a:rPr>
              <a:t>　</a:t>
            </a:r>
            <a:r>
              <a:rPr kumimoji="1" lang="en-US" altLang="ja-JP" sz="1400" b="1" u="sng">
                <a:solidFill>
                  <a:srgbClr val="62B5E5"/>
                </a:solidFill>
              </a:rPr>
              <a:t>Sheet</a:t>
            </a:r>
            <a:endParaRPr kumimoji="1" lang="ja-JP" altLang="en-US" sz="1400" b="1" u="sng">
              <a:solidFill>
                <a:srgbClr val="62B5E5"/>
              </a:solidFill>
            </a:endParaRPr>
          </a:p>
        </xdr:txBody>
      </xdr:sp>
      <xdr:sp macro="" textlink="">
        <xdr:nvSpPr>
          <xdr:cNvPr id="15" name="テキスト ボックス 87">
            <a:hlinkClick xmlns:r="http://schemas.openxmlformats.org/officeDocument/2006/relationships" r:id="rId3"/>
            <a:extLst>
              <a:ext uri="{FF2B5EF4-FFF2-40B4-BE49-F238E27FC236}">
                <a16:creationId xmlns:a16="http://schemas.microsoft.com/office/drawing/2014/main" id="{00000000-0008-0000-0000-00000F000000}"/>
              </a:ext>
            </a:extLst>
          </xdr:cNvPr>
          <xdr:cNvSpPr txBox="1"/>
        </xdr:nvSpPr>
        <xdr:spPr>
          <a:xfrm>
            <a:off x="2414239" y="3297111"/>
            <a:ext cx="1826141" cy="224012"/>
          </a:xfrm>
          <a:prstGeom prst="rect">
            <a:avLst/>
          </a:prstGeom>
          <a:noFill/>
        </xdr:spPr>
        <xdr:txBody>
          <a:bodyPr wrap="square" rtlCol="0">
            <a:spAutoFit/>
          </a:bodyP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r>
              <a:rPr kumimoji="1" lang="ja-JP" altLang="en-US" sz="1400" b="1" u="sng">
                <a:solidFill>
                  <a:srgbClr val="046A38"/>
                </a:solidFill>
              </a:rPr>
              <a:t>貯蔵・輸送 </a:t>
            </a:r>
            <a:r>
              <a:rPr kumimoji="1" lang="en-US" altLang="ja-JP" sz="1400" b="1" u="sng">
                <a:solidFill>
                  <a:srgbClr val="046A38"/>
                </a:solidFill>
              </a:rPr>
              <a:t>(ST)</a:t>
            </a:r>
            <a:r>
              <a:rPr kumimoji="1" lang="ja-JP" altLang="en-US" sz="1400" b="1" u="sng">
                <a:solidFill>
                  <a:srgbClr val="046A38"/>
                </a:solidFill>
              </a:rPr>
              <a:t>　</a:t>
            </a:r>
            <a:r>
              <a:rPr kumimoji="1" lang="en-US" altLang="ja-JP" sz="1400" b="1" u="sng">
                <a:solidFill>
                  <a:srgbClr val="046A38"/>
                </a:solidFill>
              </a:rPr>
              <a:t>Sheet</a:t>
            </a:r>
            <a:r>
              <a:rPr kumimoji="1" lang="ja-JP" altLang="en-US" sz="1400" b="1" u="sng">
                <a:solidFill>
                  <a:srgbClr val="046A38"/>
                </a:solidFill>
              </a:rPr>
              <a:t>　</a:t>
            </a:r>
          </a:p>
        </xdr:txBody>
      </xdr:sp>
      <xdr:sp macro="" textlink="">
        <xdr:nvSpPr>
          <xdr:cNvPr id="16" name="テキスト ボックス 88">
            <a:hlinkClick xmlns:r="http://schemas.openxmlformats.org/officeDocument/2006/relationships" r:id="rId4"/>
            <a:extLst>
              <a:ext uri="{FF2B5EF4-FFF2-40B4-BE49-F238E27FC236}">
                <a16:creationId xmlns:a16="http://schemas.microsoft.com/office/drawing/2014/main" id="{00000000-0008-0000-0000-000010000000}"/>
              </a:ext>
            </a:extLst>
          </xdr:cNvPr>
          <xdr:cNvSpPr txBox="1"/>
        </xdr:nvSpPr>
        <xdr:spPr>
          <a:xfrm>
            <a:off x="2423074" y="4491249"/>
            <a:ext cx="1269899" cy="224012"/>
          </a:xfrm>
          <a:prstGeom prst="rect">
            <a:avLst/>
          </a:prstGeom>
          <a:noFill/>
        </xdr:spPr>
        <xdr:txBody>
          <a:bodyPr wrap="square" rtlCol="0">
            <a:spAutoFit/>
          </a:bodyP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r>
              <a:rPr kumimoji="1" lang="ja-JP" altLang="en-US" sz="1400" b="1" u="sng">
                <a:solidFill>
                  <a:srgbClr val="012169"/>
                </a:solidFill>
              </a:rPr>
              <a:t>供給 </a:t>
            </a:r>
            <a:r>
              <a:rPr kumimoji="1" lang="en-US" altLang="ja-JP" sz="1400" b="1" u="sng">
                <a:solidFill>
                  <a:srgbClr val="012169"/>
                </a:solidFill>
              </a:rPr>
              <a:t>(D)</a:t>
            </a:r>
            <a:r>
              <a:rPr kumimoji="1" lang="ja-JP" altLang="en-US" sz="1400" b="1" u="sng">
                <a:solidFill>
                  <a:srgbClr val="012169"/>
                </a:solidFill>
              </a:rPr>
              <a:t>　</a:t>
            </a:r>
            <a:r>
              <a:rPr kumimoji="1" lang="en-US" altLang="ja-JP" sz="1400" b="1" u="sng">
                <a:solidFill>
                  <a:srgbClr val="012169"/>
                </a:solidFill>
              </a:rPr>
              <a:t>Sheet</a:t>
            </a:r>
            <a:endParaRPr kumimoji="1" lang="ja-JP" altLang="en-US" sz="1400" b="1" u="sng">
              <a:solidFill>
                <a:srgbClr val="012169"/>
              </a:solidFill>
            </a:endParaRPr>
          </a:p>
        </xdr:txBody>
      </xdr:sp>
      <xdr:sp macro="" textlink="">
        <xdr:nvSpPr>
          <xdr:cNvPr id="17" name="右矢印 16">
            <a:extLst>
              <a:ext uri="{FF2B5EF4-FFF2-40B4-BE49-F238E27FC236}">
                <a16:creationId xmlns:a16="http://schemas.microsoft.com/office/drawing/2014/main" id="{00000000-0008-0000-0000-000011000000}"/>
              </a:ext>
            </a:extLst>
          </xdr:cNvPr>
          <xdr:cNvSpPr/>
        </xdr:nvSpPr>
        <xdr:spPr>
          <a:xfrm>
            <a:off x="3554888" y="2553535"/>
            <a:ext cx="124752" cy="331773"/>
          </a:xfrm>
          <a:prstGeom prst="rightArrow">
            <a:avLst/>
          </a:prstGeom>
          <a:solidFill>
            <a:srgbClr val="B4B4B4"/>
          </a:solidFill>
          <a:ln w="12700" cap="flat" cmpd="sng" algn="ctr">
            <a:solidFill>
              <a:srgbClr val="B4B4B4"/>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18" name="右矢印 17">
            <a:extLst>
              <a:ext uri="{FF2B5EF4-FFF2-40B4-BE49-F238E27FC236}">
                <a16:creationId xmlns:a16="http://schemas.microsoft.com/office/drawing/2014/main" id="{00000000-0008-0000-0000-000012000000}"/>
              </a:ext>
            </a:extLst>
          </xdr:cNvPr>
          <xdr:cNvSpPr/>
        </xdr:nvSpPr>
        <xdr:spPr>
          <a:xfrm>
            <a:off x="3554888" y="3750054"/>
            <a:ext cx="124752" cy="331773"/>
          </a:xfrm>
          <a:prstGeom prst="rightArrow">
            <a:avLst/>
          </a:prstGeom>
          <a:solidFill>
            <a:srgbClr val="B4B4B4"/>
          </a:solidFill>
          <a:ln w="12700" cap="flat" cmpd="sng" algn="ctr">
            <a:solidFill>
              <a:srgbClr val="B4B4B4"/>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19" name="右矢印 18">
            <a:extLst>
              <a:ext uri="{FF2B5EF4-FFF2-40B4-BE49-F238E27FC236}">
                <a16:creationId xmlns:a16="http://schemas.microsoft.com/office/drawing/2014/main" id="{00000000-0008-0000-0000-000013000000}"/>
              </a:ext>
            </a:extLst>
          </xdr:cNvPr>
          <xdr:cNvSpPr/>
        </xdr:nvSpPr>
        <xdr:spPr>
          <a:xfrm>
            <a:off x="3554888" y="4931117"/>
            <a:ext cx="124752" cy="331773"/>
          </a:xfrm>
          <a:prstGeom prst="rightArrow">
            <a:avLst/>
          </a:prstGeom>
          <a:solidFill>
            <a:srgbClr val="B4B4B4"/>
          </a:solidFill>
          <a:ln w="12700" cap="flat" cmpd="sng" algn="ctr">
            <a:solidFill>
              <a:srgbClr val="B4B4B4"/>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gray">
          <a:xfrm>
            <a:off x="4715071" y="3548423"/>
            <a:ext cx="356505" cy="663547"/>
          </a:xfrm>
          <a:prstGeom prst="rect">
            <a:avLst/>
          </a:prstGeom>
          <a:noFill/>
          <a:ln w="12700" algn="ctr">
            <a:noFill/>
            <a:miter lim="800000"/>
            <a:headEnd/>
            <a:tailEnd/>
          </a:ln>
        </xdr:spPr>
        <xdr:txBody>
          <a:bodyPr wrap="square" lIns="36000" tIns="36000" rIns="36000" bIns="36000" rtlCol="0" anchor="ct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pPr algn="ctr">
              <a:buFont typeface="Wingdings 2" pitchFamily="18" charset="2"/>
              <a:buNone/>
            </a:pPr>
            <a:endParaRPr kumimoji="1" lang="ja-JP" altLang="en-US" sz="1200"/>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gray">
          <a:xfrm>
            <a:off x="2142016" y="1972372"/>
            <a:ext cx="2929560" cy="3635565"/>
          </a:xfrm>
          <a:prstGeom prst="rect">
            <a:avLst/>
          </a:prstGeom>
          <a:noFill/>
          <a:ln w="12700" algn="ctr">
            <a:solidFill>
              <a:srgbClr val="53565A"/>
            </a:solidFill>
            <a:prstDash val="sysDot"/>
            <a:miter lim="800000"/>
            <a:headEnd/>
            <a:tailEnd/>
          </a:ln>
        </xdr:spPr>
        <xdr:txBody>
          <a:bodyPr rot="0" spcFirstLastPara="0" vert="horz" wrap="square" lIns="36000" tIns="36000" rIns="36000" bIns="3600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pPr algn="ctr">
              <a:buFont typeface="Wingdings 2" pitchFamily="18" charset="2"/>
              <a:buNone/>
            </a:pPr>
            <a:endParaRPr kumimoji="1" lang="ja-JP" altLang="en-US" sz="1200" baseline="0">
              <a:latin typeface="Arial"/>
            </a:endParaRPr>
          </a:p>
        </xdr:txBody>
      </xdr:sp>
      <xdr:sp macro="" textlink="">
        <xdr:nvSpPr>
          <xdr:cNvPr id="22" name="正方形/長方形 21">
            <a:hlinkClick xmlns:r="http://schemas.openxmlformats.org/officeDocument/2006/relationships" r:id="rId5"/>
            <a:extLst>
              <a:ext uri="{FF2B5EF4-FFF2-40B4-BE49-F238E27FC236}">
                <a16:creationId xmlns:a16="http://schemas.microsoft.com/office/drawing/2014/main" id="{00000000-0008-0000-0000-000016000000}"/>
              </a:ext>
            </a:extLst>
          </xdr:cNvPr>
          <xdr:cNvSpPr/>
        </xdr:nvSpPr>
        <xdr:spPr>
          <a:xfrm>
            <a:off x="633919" y="4824643"/>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原単位（</a:t>
            </a:r>
            <a:r>
              <a:rPr kumimoji="1" lang="en-US" altLang="ja-JP" sz="1400" b="1" u="sng">
                <a:solidFill>
                  <a:sysClr val="windowText" lastClr="000000"/>
                </a:solidFill>
              </a:rPr>
              <a:t>IDEA</a:t>
            </a:r>
            <a:r>
              <a:rPr kumimoji="1" lang="ja-JP" altLang="en-US" sz="1400" b="1" u="sng">
                <a:solidFill>
                  <a:sysClr val="windowText" lastClr="000000"/>
                </a:solidFill>
              </a:rPr>
              <a:t>、</a:t>
            </a:r>
            <a:r>
              <a:rPr kumimoji="1" lang="en-US" altLang="ja-JP" sz="1400" b="1" u="sng">
                <a:solidFill>
                  <a:sysClr val="windowText" lastClr="000000"/>
                </a:solidFill>
              </a:rPr>
              <a:t>GLIO</a:t>
            </a:r>
            <a:r>
              <a:rPr kumimoji="1" lang="ja-JP" altLang="en-US" sz="1400" b="1" u="sng">
                <a:solidFill>
                  <a:sysClr val="windowText" lastClr="000000"/>
                </a:solidFill>
              </a:rPr>
              <a:t>、共通</a:t>
            </a:r>
            <a:r>
              <a:rPr kumimoji="1" lang="en-US" altLang="ja-JP" sz="1400" b="1" u="sng">
                <a:solidFill>
                  <a:sysClr val="windowText" lastClr="000000"/>
                </a:solidFill>
              </a:rPr>
              <a:t>DB</a:t>
            </a:r>
            <a:r>
              <a:rPr kumimoji="1" lang="ja-JP" altLang="en-US" sz="1400" b="1" u="sng">
                <a:solidFill>
                  <a:sysClr val="windowText" lastClr="000000"/>
                </a:solidFill>
              </a:rPr>
              <a:t>）</a:t>
            </a:r>
          </a:p>
        </xdr:txBody>
      </xdr:sp>
      <xdr:sp macro="" textlink="">
        <xdr:nvSpPr>
          <xdr:cNvPr id="23" name="正方形/長方形 22">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633919" y="2980861"/>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補助リスト</a:t>
            </a:r>
            <a:r>
              <a:rPr kumimoji="1" lang="en-US" altLang="ja-JP" sz="1400" b="1" u="sng" baseline="0">
                <a:solidFill>
                  <a:sysClr val="windowText" lastClr="000000"/>
                </a:solidFill>
              </a:rPr>
              <a:t> </a:t>
            </a:r>
            <a:r>
              <a:rPr kumimoji="1" lang="en-US" altLang="ja-JP" sz="1400" b="1" u="sng">
                <a:solidFill>
                  <a:sysClr val="windowText" lastClr="000000"/>
                </a:solidFill>
              </a:rPr>
              <a:t>Sheet</a:t>
            </a:r>
          </a:p>
          <a:p>
            <a:pPr algn="ctr"/>
            <a:r>
              <a:rPr kumimoji="1" lang="ja-JP" altLang="en-US" sz="1200">
                <a:solidFill>
                  <a:sysClr val="windowText" lastClr="000000"/>
                </a:solidFill>
              </a:rPr>
              <a:t>・任意のデータ入力を補助</a:t>
            </a:r>
            <a:endParaRPr kumimoji="1" lang="en-US" altLang="ja-JP" sz="1200">
              <a:solidFill>
                <a:sysClr val="windowText" lastClr="000000"/>
              </a:solidFill>
            </a:endParaRPr>
          </a:p>
        </xdr:txBody>
      </xdr:sp>
      <xdr:sp macro="" textlink="">
        <xdr:nvSpPr>
          <xdr:cNvPr id="24" name="正方形/長方形 23">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633919" y="3902752"/>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資本財</a:t>
            </a:r>
            <a:r>
              <a:rPr kumimoji="1" lang="en-US" altLang="ja-JP" sz="1400" b="1" u="sng" baseline="0">
                <a:solidFill>
                  <a:sysClr val="windowText" lastClr="000000"/>
                </a:solidFill>
              </a:rPr>
              <a:t> </a:t>
            </a:r>
            <a:r>
              <a:rPr kumimoji="1" lang="en-US" altLang="ja-JP" sz="1400" b="1" u="sng">
                <a:solidFill>
                  <a:sysClr val="windowText" lastClr="000000"/>
                </a:solidFill>
              </a:rPr>
              <a:t>Sheet</a:t>
            </a:r>
          </a:p>
          <a:p>
            <a:pPr algn="ctr"/>
            <a:r>
              <a:rPr kumimoji="1" lang="ja-JP" altLang="en-US" sz="1200">
                <a:solidFill>
                  <a:sysClr val="windowText" lastClr="000000"/>
                </a:solidFill>
              </a:rPr>
              <a:t>・資本財のデータ入力</a:t>
            </a:r>
          </a:p>
        </xdr:txBody>
      </xdr:sp>
      <xdr:sp macro="" textlink="">
        <xdr:nvSpPr>
          <xdr:cNvPr id="25" name="正方形/長方形 24">
            <a:hlinkClick xmlns:r="http://schemas.openxmlformats.org/officeDocument/2006/relationships" r:id="rId8"/>
            <a:extLst>
              <a:ext uri="{FF2B5EF4-FFF2-40B4-BE49-F238E27FC236}">
                <a16:creationId xmlns:a16="http://schemas.microsoft.com/office/drawing/2014/main" id="{00000000-0008-0000-0000-000019000000}"/>
              </a:ext>
            </a:extLst>
          </xdr:cNvPr>
          <xdr:cNvSpPr/>
        </xdr:nvSpPr>
        <xdr:spPr>
          <a:xfrm>
            <a:off x="5294242" y="3458380"/>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製造→供給</a:t>
            </a:r>
            <a:endParaRPr kumimoji="1" lang="en-US" altLang="ja-JP" sz="1400" b="1" u="sng">
              <a:solidFill>
                <a:sysClr val="windowText" lastClr="000000"/>
              </a:solidFill>
            </a:endParaRPr>
          </a:p>
          <a:p>
            <a:pPr algn="ctr"/>
            <a:r>
              <a:rPr kumimoji="1" lang="ja-JP" altLang="en-US" sz="1400" b="1" u="sng">
                <a:solidFill>
                  <a:sysClr val="windowText" lastClr="000000"/>
                </a:solidFill>
              </a:rPr>
              <a:t>小計</a:t>
            </a:r>
            <a:r>
              <a:rPr kumimoji="1" lang="en-US" altLang="ja-JP" sz="1400" b="1" u="sng">
                <a:solidFill>
                  <a:sysClr val="windowText" lastClr="000000"/>
                </a:solidFill>
              </a:rPr>
              <a:t>Sheet</a:t>
            </a:r>
          </a:p>
          <a:p>
            <a:pPr algn="ctr"/>
            <a:r>
              <a:rPr kumimoji="1" lang="ja-JP" altLang="en-US" sz="1200" b="0" u="none">
                <a:solidFill>
                  <a:sysClr val="windowText" lastClr="000000"/>
                </a:solidFill>
              </a:rPr>
              <a:t>・機能単位当たりの</a:t>
            </a:r>
            <a:r>
              <a:rPr kumimoji="1" lang="en-US" altLang="ja-JP" sz="1200" b="0" u="none">
                <a:solidFill>
                  <a:sysClr val="windowText" lastClr="000000"/>
                </a:solidFill>
              </a:rPr>
              <a:t>GHG</a:t>
            </a:r>
            <a:r>
              <a:rPr kumimoji="1" lang="ja-JP" altLang="en-US" sz="1200" b="0" u="none">
                <a:solidFill>
                  <a:sysClr val="windowText" lastClr="000000"/>
                </a:solidFill>
              </a:rPr>
              <a:t>集計</a:t>
            </a:r>
          </a:p>
        </xdr:txBody>
      </xdr:sp>
      <xdr:sp macro="" textlink="">
        <xdr:nvSpPr>
          <xdr:cNvPr id="26" name="正方形/長方形 25">
            <a:hlinkClick xmlns:r="http://schemas.openxmlformats.org/officeDocument/2006/relationships" r:id="rId9"/>
            <a:extLst>
              <a:ext uri="{FF2B5EF4-FFF2-40B4-BE49-F238E27FC236}">
                <a16:creationId xmlns:a16="http://schemas.microsoft.com/office/drawing/2014/main" id="{00000000-0008-0000-0000-00001A000000}"/>
              </a:ext>
            </a:extLst>
          </xdr:cNvPr>
          <xdr:cNvSpPr/>
        </xdr:nvSpPr>
        <xdr:spPr>
          <a:xfrm>
            <a:off x="6910220" y="3458380"/>
            <a:ext cx="1068148" cy="663547"/>
          </a:xfrm>
          <a:prstGeom prst="rect">
            <a:avLst/>
          </a:prstGeom>
          <a:solidFill>
            <a:srgbClr val="86BC25"/>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 lastClr="FFFFFF"/>
                </a:solidFill>
              </a:rPr>
              <a:t>利用</a:t>
            </a:r>
            <a:r>
              <a:rPr kumimoji="1" lang="en-US" altLang="ja-JP" sz="1400" b="1" u="sng">
                <a:solidFill>
                  <a:sysClr val="window" lastClr="FFFFFF"/>
                </a:solidFill>
              </a:rPr>
              <a:t>(U)</a:t>
            </a:r>
            <a:r>
              <a:rPr kumimoji="1" lang="en-US" altLang="ja-JP" sz="1400" b="1" u="sng" baseline="0">
                <a:solidFill>
                  <a:sysClr val="window" lastClr="FFFFFF"/>
                </a:solidFill>
              </a:rPr>
              <a:t> </a:t>
            </a:r>
            <a:r>
              <a:rPr kumimoji="1" lang="en-US" altLang="ja-JP" sz="1400" b="1" u="sng">
                <a:solidFill>
                  <a:sysClr val="window" lastClr="FFFFFF"/>
                </a:solidFill>
              </a:rPr>
              <a:t>Sheet</a:t>
            </a:r>
          </a:p>
          <a:p>
            <a:pPr algn="ctr"/>
            <a:r>
              <a:rPr kumimoji="1" lang="ja-JP" altLang="en-US" sz="1200" b="0" u="none">
                <a:solidFill>
                  <a:sysClr val="window" lastClr="FFFFFF"/>
                </a:solidFill>
              </a:rPr>
              <a:t>・ベースライン機器との比較</a:t>
            </a:r>
          </a:p>
        </xdr:txBody>
      </xdr:sp>
      <xdr:sp macro="" textlink="">
        <xdr:nvSpPr>
          <xdr:cNvPr id="27" name="正方形/長方形 26">
            <a:hlinkClick xmlns:r="http://schemas.openxmlformats.org/officeDocument/2006/relationships" r:id="rId10"/>
            <a:extLst>
              <a:ext uri="{FF2B5EF4-FFF2-40B4-BE49-F238E27FC236}">
                <a16:creationId xmlns:a16="http://schemas.microsoft.com/office/drawing/2014/main" id="{00000000-0008-0000-0000-00001B000000}"/>
              </a:ext>
            </a:extLst>
          </xdr:cNvPr>
          <xdr:cNvSpPr/>
        </xdr:nvSpPr>
        <xdr:spPr>
          <a:xfrm>
            <a:off x="8205995" y="3458380"/>
            <a:ext cx="1068148" cy="663547"/>
          </a:xfrm>
          <a:prstGeom prst="rect">
            <a:avLst/>
          </a:prstGeom>
          <a:solidFill>
            <a:srgbClr val="86BC25"/>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 lastClr="FFFFFF"/>
                </a:solidFill>
              </a:rPr>
              <a:t>利用集計</a:t>
            </a:r>
            <a:r>
              <a:rPr kumimoji="1" lang="en-US" altLang="ja-JP" sz="1400" b="1" u="sng" baseline="0">
                <a:solidFill>
                  <a:sysClr val="window" lastClr="FFFFFF"/>
                </a:solidFill>
              </a:rPr>
              <a:t> </a:t>
            </a:r>
            <a:r>
              <a:rPr kumimoji="1" lang="en-US" altLang="ja-JP" sz="1400" b="1" u="sng">
                <a:solidFill>
                  <a:sysClr val="window" lastClr="FFFFFF"/>
                </a:solidFill>
              </a:rPr>
              <a:t>Sheet</a:t>
            </a:r>
            <a:endParaRPr kumimoji="1" lang="ja-JP" altLang="en-US" sz="1400" b="1" u="sng">
              <a:solidFill>
                <a:sysClr val="window" lastClr="FFFFFF"/>
              </a:solidFill>
            </a:endParaRPr>
          </a:p>
        </xdr:txBody>
      </xdr:sp>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6745452" y="3274986"/>
            <a:ext cx="2744623" cy="1030333"/>
          </a:xfrm>
          <a:prstGeom prst="roundRect">
            <a:avLst/>
          </a:prstGeom>
          <a:noFill/>
          <a:ln w="12700" cap="flat" cmpd="sng" algn="ctr">
            <a:solidFill>
              <a:srgbClr val="86BC25"/>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a:solidFill>
                  <a:sysClr val="windowText" lastClr="000000"/>
                </a:solidFill>
              </a:rPr>
              <a:t>　</a:t>
            </a:r>
          </a:p>
        </xdr:txBody>
      </xdr:sp>
      <xdr:sp macro="" textlink="">
        <xdr:nvSpPr>
          <xdr:cNvPr id="29" name="右矢印 28">
            <a:extLst>
              <a:ext uri="{FF2B5EF4-FFF2-40B4-BE49-F238E27FC236}">
                <a16:creationId xmlns:a16="http://schemas.microsoft.com/office/drawing/2014/main" id="{00000000-0008-0000-0000-00001D000000}"/>
              </a:ext>
            </a:extLst>
          </xdr:cNvPr>
          <xdr:cNvSpPr/>
        </xdr:nvSpPr>
        <xdr:spPr>
          <a:xfrm>
            <a:off x="8054577" y="3618763"/>
            <a:ext cx="124752" cy="331773"/>
          </a:xfrm>
          <a:prstGeom prst="rightArrow">
            <a:avLst/>
          </a:prstGeom>
          <a:solidFill>
            <a:srgbClr val="B4B4B4"/>
          </a:solidFill>
          <a:ln w="12700" cap="flat" cmpd="sng" algn="ctr">
            <a:solidFill>
              <a:srgbClr val="B4B4B4"/>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30" name="正方形/長方形 29">
            <a:hlinkClick xmlns:r="http://schemas.openxmlformats.org/officeDocument/2006/relationships" r:id="rId11"/>
            <a:extLst>
              <a:ext uri="{FF2B5EF4-FFF2-40B4-BE49-F238E27FC236}">
                <a16:creationId xmlns:a16="http://schemas.microsoft.com/office/drawing/2014/main" id="{00000000-0008-0000-0000-00001E000000}"/>
              </a:ext>
            </a:extLst>
          </xdr:cNvPr>
          <xdr:cNvSpPr/>
        </xdr:nvSpPr>
        <xdr:spPr>
          <a:xfrm>
            <a:off x="8080506" y="4820747"/>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確認項目</a:t>
            </a:r>
            <a:r>
              <a:rPr kumimoji="1" lang="en-US" altLang="ja-JP" sz="1400" b="1" u="sng" baseline="0">
                <a:solidFill>
                  <a:sysClr val="windowText" lastClr="000000"/>
                </a:solidFill>
              </a:rPr>
              <a:t> </a:t>
            </a:r>
            <a:r>
              <a:rPr kumimoji="1" lang="en-US" altLang="ja-JP" sz="1400" b="1" u="sng">
                <a:solidFill>
                  <a:sysClr val="windowText" lastClr="000000"/>
                </a:solidFill>
              </a:rPr>
              <a:t>Sheet</a:t>
            </a:r>
          </a:p>
          <a:p>
            <a:pPr algn="ctr"/>
            <a:r>
              <a:rPr kumimoji="1" lang="ja-JP" altLang="en-US" sz="1200" b="0" u="none">
                <a:solidFill>
                  <a:sysClr val="windowText" lastClr="000000"/>
                </a:solidFill>
              </a:rPr>
              <a:t>・入力項目のチェック</a:t>
            </a:r>
          </a:p>
        </xdr:txBody>
      </xdr:sp>
      <xdr:cxnSp macro="">
        <xdr:nvCxnSpPr>
          <xdr:cNvPr id="31" name="直線矢印コネクタ 30">
            <a:extLst>
              <a:ext uri="{FF2B5EF4-FFF2-40B4-BE49-F238E27FC236}">
                <a16:creationId xmlns:a16="http://schemas.microsoft.com/office/drawing/2014/main" id="{00000000-0008-0000-0000-00001F000000}"/>
              </a:ext>
            </a:extLst>
          </xdr:cNvPr>
          <xdr:cNvCxnSpPr>
            <a:stCxn id="4" idx="2"/>
            <a:endCxn id="23" idx="0"/>
          </xdr:cNvCxnSpPr>
        </xdr:nvCxnSpPr>
        <xdr:spPr>
          <a:xfrm>
            <a:off x="1252858" y="2722517"/>
            <a:ext cx="0" cy="258344"/>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a:extLst>
              <a:ext uri="{FF2B5EF4-FFF2-40B4-BE49-F238E27FC236}">
                <a16:creationId xmlns:a16="http://schemas.microsoft.com/office/drawing/2014/main" id="{00000000-0008-0000-0000-000020000000}"/>
              </a:ext>
            </a:extLst>
          </xdr:cNvPr>
          <xdr:cNvCxnSpPr>
            <a:stCxn id="23" idx="2"/>
            <a:endCxn id="24" idx="0"/>
          </xdr:cNvCxnSpPr>
        </xdr:nvCxnSpPr>
        <xdr:spPr>
          <a:xfrm>
            <a:off x="1252858" y="3644408"/>
            <a:ext cx="0" cy="258344"/>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3" name="カギ線コネクタ 32">
            <a:extLst>
              <a:ext uri="{FF2B5EF4-FFF2-40B4-BE49-F238E27FC236}">
                <a16:creationId xmlns:a16="http://schemas.microsoft.com/office/drawing/2014/main" id="{00000000-0008-0000-0000-000021000000}"/>
              </a:ext>
            </a:extLst>
          </xdr:cNvPr>
          <xdr:cNvCxnSpPr>
            <a:stCxn id="21" idx="3"/>
            <a:endCxn id="25" idx="1"/>
          </xdr:cNvCxnSpPr>
        </xdr:nvCxnSpPr>
        <xdr:spPr>
          <a:xfrm flipV="1">
            <a:off x="5071576" y="3790154"/>
            <a:ext cx="222666" cy="1"/>
          </a:xfrm>
          <a:prstGeom prst="bentConnector3">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4" name="カギ線コネクタ 33">
            <a:extLst>
              <a:ext uri="{FF2B5EF4-FFF2-40B4-BE49-F238E27FC236}">
                <a16:creationId xmlns:a16="http://schemas.microsoft.com/office/drawing/2014/main" id="{00000000-0008-0000-0000-000022000000}"/>
              </a:ext>
            </a:extLst>
          </xdr:cNvPr>
          <xdr:cNvCxnSpPr>
            <a:stCxn id="25" idx="3"/>
            <a:endCxn id="28" idx="1"/>
          </xdr:cNvCxnSpPr>
        </xdr:nvCxnSpPr>
        <xdr:spPr>
          <a:xfrm flipV="1">
            <a:off x="6532119" y="3790153"/>
            <a:ext cx="213333" cy="1"/>
          </a:xfrm>
          <a:prstGeom prst="bentConnector3">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000-000023000000}"/>
              </a:ext>
            </a:extLst>
          </xdr:cNvPr>
          <xdr:cNvCxnSpPr>
            <a:endCxn id="30" idx="0"/>
          </xdr:cNvCxnSpPr>
        </xdr:nvCxnSpPr>
        <xdr:spPr>
          <a:xfrm>
            <a:off x="8699444" y="4301423"/>
            <a:ext cx="1" cy="519324"/>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a:extLst>
              <a:ext uri="{FF2B5EF4-FFF2-40B4-BE49-F238E27FC236}">
                <a16:creationId xmlns:a16="http://schemas.microsoft.com/office/drawing/2014/main" id="{00000000-0008-0000-0000-000024000000}"/>
              </a:ext>
            </a:extLst>
          </xdr:cNvPr>
          <xdr:cNvCxnSpPr>
            <a:stCxn id="23" idx="3"/>
          </xdr:cNvCxnSpPr>
        </xdr:nvCxnSpPr>
        <xdr:spPr>
          <a:xfrm>
            <a:off x="1871796" y="3312635"/>
            <a:ext cx="270220" cy="0"/>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a:extLst>
              <a:ext uri="{FF2B5EF4-FFF2-40B4-BE49-F238E27FC236}">
                <a16:creationId xmlns:a16="http://schemas.microsoft.com/office/drawing/2014/main" id="{00000000-0008-0000-0000-000025000000}"/>
              </a:ext>
            </a:extLst>
          </xdr:cNvPr>
          <xdr:cNvCxnSpPr>
            <a:stCxn id="24" idx="3"/>
          </xdr:cNvCxnSpPr>
        </xdr:nvCxnSpPr>
        <xdr:spPr>
          <a:xfrm>
            <a:off x="1871796" y="4234526"/>
            <a:ext cx="270220" cy="0"/>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558800</xdr:colOff>
      <xdr:row>2</xdr:row>
      <xdr:rowOff>152400</xdr:rowOff>
    </xdr:from>
    <xdr:to>
      <xdr:col>2</xdr:col>
      <xdr:colOff>177800</xdr:colOff>
      <xdr:row>4</xdr:row>
      <xdr:rowOff>88900</xdr:rowOff>
    </xdr:to>
    <xdr:sp macro="" textlink="">
      <xdr:nvSpPr>
        <xdr:cNvPr id="38" name="円/楕円 37">
          <a:extLst>
            <a:ext uri="{FF2B5EF4-FFF2-40B4-BE49-F238E27FC236}">
              <a16:creationId xmlns:a16="http://schemas.microsoft.com/office/drawing/2014/main" id="{00000000-0008-0000-0000-000026000000}"/>
            </a:ext>
          </a:extLst>
        </xdr:cNvPr>
        <xdr:cNvSpPr/>
      </xdr:nvSpPr>
      <xdr:spPr>
        <a:xfrm>
          <a:off x="1231900" y="5334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600"/>
            <a:t>１</a:t>
          </a:r>
        </a:p>
      </xdr:txBody>
    </xdr:sp>
    <xdr:clientData/>
  </xdr:twoCellAnchor>
  <xdr:twoCellAnchor>
    <xdr:from>
      <xdr:col>1</xdr:col>
      <xdr:colOff>520700</xdr:colOff>
      <xdr:row>10</xdr:row>
      <xdr:rowOff>88900</xdr:rowOff>
    </xdr:from>
    <xdr:to>
      <xdr:col>2</xdr:col>
      <xdr:colOff>139700</xdr:colOff>
      <xdr:row>12</xdr:row>
      <xdr:rowOff>25400</xdr:rowOff>
    </xdr:to>
    <xdr:sp macro="" textlink="">
      <xdr:nvSpPr>
        <xdr:cNvPr id="39" name="円/楕円 38">
          <a:extLst>
            <a:ext uri="{FF2B5EF4-FFF2-40B4-BE49-F238E27FC236}">
              <a16:creationId xmlns:a16="http://schemas.microsoft.com/office/drawing/2014/main" id="{00000000-0008-0000-0000-000027000000}"/>
            </a:ext>
          </a:extLst>
        </xdr:cNvPr>
        <xdr:cNvSpPr/>
      </xdr:nvSpPr>
      <xdr:spPr>
        <a:xfrm>
          <a:off x="1193800" y="18923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2</a:t>
          </a:r>
          <a:endParaRPr kumimoji="1" lang="ja-JP" altLang="en-US" sz="1600"/>
        </a:p>
      </xdr:txBody>
    </xdr:sp>
    <xdr:clientData/>
  </xdr:twoCellAnchor>
  <xdr:twoCellAnchor>
    <xdr:from>
      <xdr:col>1</xdr:col>
      <xdr:colOff>551330</xdr:colOff>
      <xdr:row>18</xdr:row>
      <xdr:rowOff>101600</xdr:rowOff>
    </xdr:from>
    <xdr:to>
      <xdr:col>2</xdr:col>
      <xdr:colOff>171077</xdr:colOff>
      <xdr:row>20</xdr:row>
      <xdr:rowOff>38100</xdr:rowOff>
    </xdr:to>
    <xdr:sp macro="" textlink="">
      <xdr:nvSpPr>
        <xdr:cNvPr id="40" name="円/楕円 39">
          <a:extLst>
            <a:ext uri="{FF2B5EF4-FFF2-40B4-BE49-F238E27FC236}">
              <a16:creationId xmlns:a16="http://schemas.microsoft.com/office/drawing/2014/main" id="{00000000-0008-0000-0000-000028000000}"/>
            </a:ext>
          </a:extLst>
        </xdr:cNvPr>
        <xdr:cNvSpPr/>
      </xdr:nvSpPr>
      <xdr:spPr>
        <a:xfrm>
          <a:off x="1223683" y="3346824"/>
          <a:ext cx="292100" cy="29508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3</a:t>
          </a:r>
          <a:endParaRPr kumimoji="1" lang="ja-JP" altLang="en-US" sz="1600"/>
        </a:p>
      </xdr:txBody>
    </xdr:sp>
    <xdr:clientData/>
  </xdr:twoCellAnchor>
  <xdr:twoCellAnchor>
    <xdr:from>
      <xdr:col>5</xdr:col>
      <xdr:colOff>101600</xdr:colOff>
      <xdr:row>3</xdr:row>
      <xdr:rowOff>25400</xdr:rowOff>
    </xdr:from>
    <xdr:to>
      <xdr:col>5</xdr:col>
      <xdr:colOff>393700</xdr:colOff>
      <xdr:row>4</xdr:row>
      <xdr:rowOff>139700</xdr:rowOff>
    </xdr:to>
    <xdr:sp macro="" textlink="">
      <xdr:nvSpPr>
        <xdr:cNvPr id="41" name="円/楕円 40">
          <a:extLst>
            <a:ext uri="{FF2B5EF4-FFF2-40B4-BE49-F238E27FC236}">
              <a16:creationId xmlns:a16="http://schemas.microsoft.com/office/drawing/2014/main" id="{00000000-0008-0000-0000-000029000000}"/>
            </a:ext>
          </a:extLst>
        </xdr:cNvPr>
        <xdr:cNvSpPr/>
      </xdr:nvSpPr>
      <xdr:spPr>
        <a:xfrm>
          <a:off x="3467100" y="5842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4</a:t>
          </a:r>
          <a:endParaRPr kumimoji="1" lang="ja-JP" altLang="en-US" sz="1600"/>
        </a:p>
      </xdr:txBody>
    </xdr:sp>
    <xdr:clientData/>
  </xdr:twoCellAnchor>
  <xdr:twoCellAnchor>
    <xdr:from>
      <xdr:col>5</xdr:col>
      <xdr:colOff>101600</xdr:colOff>
      <xdr:row>13</xdr:row>
      <xdr:rowOff>88900</xdr:rowOff>
    </xdr:from>
    <xdr:to>
      <xdr:col>5</xdr:col>
      <xdr:colOff>393700</xdr:colOff>
      <xdr:row>15</xdr:row>
      <xdr:rowOff>25400</xdr:rowOff>
    </xdr:to>
    <xdr:sp macro="" textlink="">
      <xdr:nvSpPr>
        <xdr:cNvPr id="42" name="円/楕円 41">
          <a:extLst>
            <a:ext uri="{FF2B5EF4-FFF2-40B4-BE49-F238E27FC236}">
              <a16:creationId xmlns:a16="http://schemas.microsoft.com/office/drawing/2014/main" id="{00000000-0008-0000-0000-00002A000000}"/>
            </a:ext>
          </a:extLst>
        </xdr:cNvPr>
        <xdr:cNvSpPr/>
      </xdr:nvSpPr>
      <xdr:spPr>
        <a:xfrm>
          <a:off x="3467100" y="24257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5</a:t>
          </a:r>
          <a:endParaRPr kumimoji="1" lang="ja-JP" altLang="en-US" sz="1600"/>
        </a:p>
      </xdr:txBody>
    </xdr:sp>
    <xdr:clientData/>
  </xdr:twoCellAnchor>
  <xdr:twoCellAnchor>
    <xdr:from>
      <xdr:col>5</xdr:col>
      <xdr:colOff>101600</xdr:colOff>
      <xdr:row>23</xdr:row>
      <xdr:rowOff>152400</xdr:rowOff>
    </xdr:from>
    <xdr:to>
      <xdr:col>5</xdr:col>
      <xdr:colOff>393700</xdr:colOff>
      <xdr:row>25</xdr:row>
      <xdr:rowOff>88900</xdr:rowOff>
    </xdr:to>
    <xdr:sp macro="" textlink="">
      <xdr:nvSpPr>
        <xdr:cNvPr id="44" name="円/楕円 43">
          <a:extLst>
            <a:ext uri="{FF2B5EF4-FFF2-40B4-BE49-F238E27FC236}">
              <a16:creationId xmlns:a16="http://schemas.microsoft.com/office/drawing/2014/main" id="{00000000-0008-0000-0000-00002C000000}"/>
            </a:ext>
          </a:extLst>
        </xdr:cNvPr>
        <xdr:cNvSpPr/>
      </xdr:nvSpPr>
      <xdr:spPr>
        <a:xfrm>
          <a:off x="3467100" y="42672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6</a:t>
          </a:r>
          <a:endParaRPr kumimoji="1" lang="ja-JP" altLang="en-US" sz="1600"/>
        </a:p>
      </xdr:txBody>
    </xdr:sp>
    <xdr:clientData/>
  </xdr:twoCellAnchor>
  <xdr:twoCellAnchor>
    <xdr:from>
      <xdr:col>11</xdr:col>
      <xdr:colOff>0</xdr:colOff>
      <xdr:row>14</xdr:row>
      <xdr:rowOff>165100</xdr:rowOff>
    </xdr:from>
    <xdr:to>
      <xdr:col>11</xdr:col>
      <xdr:colOff>292100</xdr:colOff>
      <xdr:row>16</xdr:row>
      <xdr:rowOff>101600</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7404100" y="26797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7</a:t>
          </a:r>
          <a:endParaRPr kumimoji="1" lang="ja-JP" altLang="en-US" sz="1600"/>
        </a:p>
      </xdr:txBody>
    </xdr:sp>
    <xdr:clientData/>
  </xdr:twoCellAnchor>
  <xdr:twoCellAnchor>
    <xdr:from>
      <xdr:col>14</xdr:col>
      <xdr:colOff>161365</xdr:colOff>
      <xdr:row>14</xdr:row>
      <xdr:rowOff>165100</xdr:rowOff>
    </xdr:from>
    <xdr:to>
      <xdr:col>14</xdr:col>
      <xdr:colOff>453465</xdr:colOff>
      <xdr:row>16</xdr:row>
      <xdr:rowOff>101600</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a:xfrm>
          <a:off x="9574306" y="2693147"/>
          <a:ext cx="292100" cy="29508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8</a:t>
          </a:r>
          <a:endParaRPr kumimoji="1" lang="ja-JP" altLang="en-US" sz="1600"/>
        </a:p>
      </xdr:txBody>
    </xdr:sp>
    <xdr:clientData/>
  </xdr:twoCellAnchor>
  <xdr:twoCellAnchor>
    <xdr:from>
      <xdr:col>16</xdr:col>
      <xdr:colOff>484094</xdr:colOff>
      <xdr:row>14</xdr:row>
      <xdr:rowOff>165100</xdr:rowOff>
    </xdr:from>
    <xdr:to>
      <xdr:col>17</xdr:col>
      <xdr:colOff>103841</xdr:colOff>
      <xdr:row>16</xdr:row>
      <xdr:rowOff>101600</xdr:rowOff>
    </xdr:to>
    <xdr:sp macro="" textlink="">
      <xdr:nvSpPr>
        <xdr:cNvPr id="47" name="円/楕円 46">
          <a:extLst>
            <a:ext uri="{FF2B5EF4-FFF2-40B4-BE49-F238E27FC236}">
              <a16:creationId xmlns:a16="http://schemas.microsoft.com/office/drawing/2014/main" id="{00000000-0008-0000-0000-00002F000000}"/>
            </a:ext>
          </a:extLst>
        </xdr:cNvPr>
        <xdr:cNvSpPr/>
      </xdr:nvSpPr>
      <xdr:spPr>
        <a:xfrm>
          <a:off x="11241741" y="2693147"/>
          <a:ext cx="292100" cy="29508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9</a:t>
          </a:r>
          <a:endParaRPr kumimoji="1" lang="ja-JP" altLang="en-US" sz="1600"/>
        </a:p>
      </xdr:txBody>
    </xdr:sp>
    <xdr:clientData/>
  </xdr:twoCellAnchor>
  <xdr:twoCellAnchor>
    <xdr:from>
      <xdr:col>16</xdr:col>
      <xdr:colOff>304800</xdr:colOff>
      <xdr:row>26</xdr:row>
      <xdr:rowOff>12700</xdr:rowOff>
    </xdr:from>
    <xdr:to>
      <xdr:col>16</xdr:col>
      <xdr:colOff>596900</xdr:colOff>
      <xdr:row>27</xdr:row>
      <xdr:rowOff>128493</xdr:rowOff>
    </xdr:to>
    <xdr:sp macro="" textlink="">
      <xdr:nvSpPr>
        <xdr:cNvPr id="48" name="円/楕円 47">
          <a:extLst>
            <a:ext uri="{FF2B5EF4-FFF2-40B4-BE49-F238E27FC236}">
              <a16:creationId xmlns:a16="http://schemas.microsoft.com/office/drawing/2014/main" id="{00000000-0008-0000-0000-000030000000}"/>
            </a:ext>
          </a:extLst>
        </xdr:cNvPr>
        <xdr:cNvSpPr/>
      </xdr:nvSpPr>
      <xdr:spPr>
        <a:xfrm>
          <a:off x="11062447" y="4692276"/>
          <a:ext cx="292100" cy="29508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400"/>
            <a:t>10</a:t>
          </a:r>
          <a:endParaRPr kumimoji="1" lang="ja-JP" altLang="en-US"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631372</xdr:colOff>
      <xdr:row>24</xdr:row>
      <xdr:rowOff>43543</xdr:rowOff>
    </xdr:from>
    <xdr:to>
      <xdr:col>15</xdr:col>
      <xdr:colOff>9797</xdr:colOff>
      <xdr:row>29</xdr:row>
      <xdr:rowOff>161537</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9797143" y="4484914"/>
          <a:ext cx="2796540" cy="10432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11</xdr:col>
      <xdr:colOff>680059</xdr:colOff>
      <xdr:row>25</xdr:row>
      <xdr:rowOff>124857</xdr:rowOff>
    </xdr:from>
    <xdr:to>
      <xdr:col>14</xdr:col>
      <xdr:colOff>975487</xdr:colOff>
      <xdr:row>29</xdr:row>
      <xdr:rowOff>95193</xdr:rowOff>
    </xdr:to>
    <xdr:pic>
      <xdr:nvPicPr>
        <xdr:cNvPr id="3" name="図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5830" y="4751286"/>
          <a:ext cx="2712057" cy="710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108683</xdr:colOff>
      <xdr:row>31</xdr:row>
      <xdr:rowOff>16562</xdr:rowOff>
    </xdr:from>
    <xdr:to>
      <xdr:col>18</xdr:col>
      <xdr:colOff>184883</xdr:colOff>
      <xdr:row>37</xdr:row>
      <xdr:rowOff>8282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368140" y="4745932"/>
          <a:ext cx="2801178" cy="108502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11</xdr:col>
      <xdr:colOff>157370</xdr:colOff>
      <xdr:row>32</xdr:row>
      <xdr:rowOff>107674</xdr:rowOff>
    </xdr:from>
    <xdr:to>
      <xdr:col>18</xdr:col>
      <xdr:colOff>149087</xdr:colOff>
      <xdr:row>36</xdr:row>
      <xdr:rowOff>117198</xdr:rowOff>
    </xdr:to>
    <xdr:pic>
      <xdr:nvPicPr>
        <xdr:cNvPr id="8" name="図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6827" y="5019261"/>
          <a:ext cx="2716695" cy="738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240641</xdr:colOff>
      <xdr:row>63</xdr:row>
      <xdr:rowOff>9359</xdr:rowOff>
    </xdr:from>
    <xdr:to>
      <xdr:col>18</xdr:col>
      <xdr:colOff>369676</xdr:colOff>
      <xdr:row>64</xdr:row>
      <xdr:rowOff>82065</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421370" y="11636583"/>
          <a:ext cx="900000" cy="252000"/>
        </a:xfrm>
        <a:prstGeom prst="rect">
          <a:avLst/>
        </a:prstGeom>
        <a:no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アウトプット</a:t>
          </a:r>
        </a:p>
      </xdr:txBody>
    </xdr:sp>
    <xdr:clientData/>
  </xdr:twoCellAnchor>
  <xdr:twoCellAnchor>
    <xdr:from>
      <xdr:col>19</xdr:col>
      <xdr:colOff>75845</xdr:colOff>
      <xdr:row>62</xdr:row>
      <xdr:rowOff>179243</xdr:rowOff>
    </xdr:from>
    <xdr:to>
      <xdr:col>20</xdr:col>
      <xdr:colOff>590362</xdr:colOff>
      <xdr:row>64</xdr:row>
      <xdr:rowOff>82066</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413021" y="11627172"/>
          <a:ext cx="900000" cy="261412"/>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設備</a:t>
          </a:r>
        </a:p>
      </xdr:txBody>
    </xdr:sp>
    <xdr:clientData/>
  </xdr:twoCellAnchor>
  <xdr:twoCellAnchor>
    <xdr:from>
      <xdr:col>12</xdr:col>
      <xdr:colOff>308134</xdr:colOff>
      <xdr:row>62</xdr:row>
      <xdr:rowOff>107578</xdr:rowOff>
    </xdr:from>
    <xdr:to>
      <xdr:col>20</xdr:col>
      <xdr:colOff>664181</xdr:colOff>
      <xdr:row>66</xdr:row>
      <xdr:rowOff>15178</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bwMode="gray">
        <a:xfrm>
          <a:off x="5946934" y="11555507"/>
          <a:ext cx="3439906" cy="624777"/>
        </a:xfrm>
        <a:prstGeom prst="rect">
          <a:avLst/>
        </a:prstGeom>
        <a:noFill/>
        <a:ln w="12700" algn="ctr">
          <a:solidFill>
            <a:schemeClr val="accent6"/>
          </a:solidFill>
          <a:miter lim="800000"/>
          <a:headEnd/>
          <a:tailEnd/>
        </a:ln>
      </xdr:spPr>
      <xdr:txBody>
        <a:bodyPr wrap="square" lIns="36000" tIns="36000" rIns="36000" bIns="3600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buFont typeface="Wingdings 2" pitchFamily="18" charset="2"/>
            <a:buNone/>
          </a:pPr>
          <a:r>
            <a:rPr kumimoji="1" lang="ja-JP" altLang="en-US" sz="1200"/>
            <a:t>凡例</a:t>
          </a:r>
        </a:p>
      </xdr:txBody>
    </xdr:sp>
    <xdr:clientData/>
  </xdr:twoCellAnchor>
  <xdr:twoCellAnchor>
    <xdr:from>
      <xdr:col>1</xdr:col>
      <xdr:colOff>221215</xdr:colOff>
      <xdr:row>67</xdr:row>
      <xdr:rowOff>26405</xdr:rowOff>
    </xdr:from>
    <xdr:to>
      <xdr:col>9</xdr:col>
      <xdr:colOff>368486</xdr:colOff>
      <xdr:row>69</xdr:row>
      <xdr:rowOff>27817</xdr:rowOff>
    </xdr:to>
    <xdr:grpSp>
      <xdr:nvGrpSpPr>
        <xdr:cNvPr id="141" name="グループ化 140">
          <a:extLst>
            <a:ext uri="{FF2B5EF4-FFF2-40B4-BE49-F238E27FC236}">
              <a16:creationId xmlns:a16="http://schemas.microsoft.com/office/drawing/2014/main" id="{00000000-0008-0000-0100-00008D000000}"/>
            </a:ext>
          </a:extLst>
        </xdr:cNvPr>
        <xdr:cNvGrpSpPr/>
      </xdr:nvGrpSpPr>
      <xdr:grpSpPr>
        <a:xfrm>
          <a:off x="384501" y="12066005"/>
          <a:ext cx="4479785" cy="349755"/>
          <a:chOff x="1677060" y="1500900"/>
          <a:chExt cx="3816000" cy="360000"/>
        </a:xfrm>
      </xdr:grpSpPr>
      <xdr:sp macro="" textlink="">
        <xdr:nvSpPr>
          <xdr:cNvPr id="180" name="正方形/長方形 179">
            <a:extLst>
              <a:ext uri="{FF2B5EF4-FFF2-40B4-BE49-F238E27FC236}">
                <a16:creationId xmlns:a16="http://schemas.microsoft.com/office/drawing/2014/main" id="{00000000-0008-0000-0100-0000B4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製造段階</a:t>
            </a:r>
            <a:endParaRPr lang="en-US" altLang="ja-JP" sz="1200">
              <a:solidFill>
                <a:schemeClr val="tx1"/>
              </a:solidFill>
            </a:endParaRPr>
          </a:p>
        </xdr:txBody>
      </xdr:sp>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368487</xdr:colOff>
      <xdr:row>67</xdr:row>
      <xdr:rowOff>26405</xdr:rowOff>
    </xdr:from>
    <xdr:to>
      <xdr:col>16</xdr:col>
      <xdr:colOff>8554</xdr:colOff>
      <xdr:row>69</xdr:row>
      <xdr:rowOff>27817</xdr:rowOff>
    </xdr:to>
    <xdr:grpSp>
      <xdr:nvGrpSpPr>
        <xdr:cNvPr id="142" name="グループ化 141">
          <a:extLst>
            <a:ext uri="{FF2B5EF4-FFF2-40B4-BE49-F238E27FC236}">
              <a16:creationId xmlns:a16="http://schemas.microsoft.com/office/drawing/2014/main" id="{00000000-0008-0000-0100-00008E000000}"/>
            </a:ext>
          </a:extLst>
        </xdr:cNvPr>
        <xdr:cNvGrpSpPr/>
      </xdr:nvGrpSpPr>
      <xdr:grpSpPr>
        <a:xfrm>
          <a:off x="4864287" y="12066005"/>
          <a:ext cx="2383267" cy="349755"/>
          <a:chOff x="1677060" y="1500900"/>
          <a:chExt cx="3816000" cy="360000"/>
        </a:xfrm>
      </xdr:grpSpPr>
      <xdr:sp macro="" textlink="">
        <xdr:nvSpPr>
          <xdr:cNvPr id="178" name="正方形/長方形 177">
            <a:extLst>
              <a:ext uri="{FF2B5EF4-FFF2-40B4-BE49-F238E27FC236}">
                <a16:creationId xmlns:a16="http://schemas.microsoft.com/office/drawing/2014/main" id="{00000000-0008-0000-0100-0000B2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貯蔵・輸送段階</a:t>
            </a:r>
            <a:endParaRPr lang="en-US" altLang="ja-JP" sz="1200">
              <a:solidFill>
                <a:schemeClr val="tx1"/>
              </a:solidFill>
            </a:endParaRPr>
          </a:p>
        </xdr:txBody>
      </xdr:sp>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8555</xdr:colOff>
      <xdr:row>67</xdr:row>
      <xdr:rowOff>26405</xdr:rowOff>
    </xdr:from>
    <xdr:to>
      <xdr:col>18</xdr:col>
      <xdr:colOff>369675</xdr:colOff>
      <xdr:row>69</xdr:row>
      <xdr:rowOff>27817</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247555" y="12066005"/>
          <a:ext cx="1144891" cy="349755"/>
          <a:chOff x="1677060" y="1500900"/>
          <a:chExt cx="3816000" cy="360000"/>
        </a:xfrm>
      </xdr:grpSpPr>
      <xdr:sp macro="" textlink="">
        <xdr:nvSpPr>
          <xdr:cNvPr id="176" name="正方形/長方形 175">
            <a:extLst>
              <a:ext uri="{FF2B5EF4-FFF2-40B4-BE49-F238E27FC236}">
                <a16:creationId xmlns:a16="http://schemas.microsoft.com/office/drawing/2014/main" id="{00000000-0008-0000-0100-0000B0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供給段階</a:t>
            </a:r>
            <a:endParaRPr lang="en-US" altLang="ja-JP" sz="1200">
              <a:solidFill>
                <a:schemeClr val="tx1"/>
              </a:solidFill>
            </a:endParaRPr>
          </a:p>
        </xdr:txBody>
      </xdr:sp>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369676</xdr:colOff>
      <xdr:row>67</xdr:row>
      <xdr:rowOff>26405</xdr:rowOff>
    </xdr:from>
    <xdr:to>
      <xdr:col>20</xdr:col>
      <xdr:colOff>665256</xdr:colOff>
      <xdr:row>69</xdr:row>
      <xdr:rowOff>27817</xdr:rowOff>
    </xdr:to>
    <xdr:grpSp>
      <xdr:nvGrpSpPr>
        <xdr:cNvPr id="144" name="グループ化 143">
          <a:extLst>
            <a:ext uri="{FF2B5EF4-FFF2-40B4-BE49-F238E27FC236}">
              <a16:creationId xmlns:a16="http://schemas.microsoft.com/office/drawing/2014/main" id="{00000000-0008-0000-0100-000090000000}"/>
            </a:ext>
          </a:extLst>
        </xdr:cNvPr>
        <xdr:cNvGrpSpPr/>
      </xdr:nvGrpSpPr>
      <xdr:grpSpPr>
        <a:xfrm>
          <a:off x="8392447" y="12066005"/>
          <a:ext cx="1079352" cy="349755"/>
          <a:chOff x="1677060" y="1500900"/>
          <a:chExt cx="3816000" cy="360000"/>
        </a:xfrm>
      </xdr:grpSpPr>
      <xdr:sp macro="" textlink="">
        <xdr:nvSpPr>
          <xdr:cNvPr id="174" name="正方形/長方形 173">
            <a:extLst>
              <a:ext uri="{FF2B5EF4-FFF2-40B4-BE49-F238E27FC236}">
                <a16:creationId xmlns:a16="http://schemas.microsoft.com/office/drawing/2014/main" id="{00000000-0008-0000-0100-0000AE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利用段階</a:t>
            </a:r>
            <a:endParaRPr lang="en-US" altLang="ja-JP" sz="1200">
              <a:solidFill>
                <a:schemeClr val="tx1"/>
              </a:solidFill>
            </a:endParaRPr>
          </a:p>
        </xdr:txBody>
      </xdr:sp>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150739</xdr:colOff>
      <xdr:row>74</xdr:row>
      <xdr:rowOff>141200</xdr:rowOff>
    </xdr:from>
    <xdr:to>
      <xdr:col>20</xdr:col>
      <xdr:colOff>665256</xdr:colOff>
      <xdr:row>77</xdr:row>
      <xdr:rowOff>118937</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487915"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en-US" altLang="ja-JP" sz="1200" b="1">
              <a:solidFill>
                <a:schemeClr val="tx1"/>
              </a:solidFill>
            </a:rPr>
            <a:t>FCV</a:t>
          </a:r>
          <a:endParaRPr kumimoji="1" lang="ja-JP" altLang="en-US" sz="1200" b="1">
            <a:solidFill>
              <a:schemeClr val="tx1"/>
            </a:solidFill>
          </a:endParaRPr>
        </a:p>
      </xdr:txBody>
    </xdr:sp>
    <xdr:clientData/>
  </xdr:twoCellAnchor>
  <xdr:twoCellAnchor>
    <xdr:from>
      <xdr:col>16</xdr:col>
      <xdr:colOff>139452</xdr:colOff>
      <xdr:row>74</xdr:row>
      <xdr:rowOff>141200</xdr:rowOff>
    </xdr:from>
    <xdr:to>
      <xdr:col>18</xdr:col>
      <xdr:colOff>268487</xdr:colOff>
      <xdr:row>77</xdr:row>
      <xdr:rowOff>118937</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320181"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r>
            <a:rPr kumimoji="1" lang="en-US" altLang="ja-JP" sz="1200" b="1">
              <a:solidFill>
                <a:schemeClr val="tx1"/>
              </a:solidFill>
            </a:rPr>
            <a:t>ST</a:t>
          </a:r>
          <a:endParaRPr kumimoji="1" lang="ja-JP" altLang="en-US" sz="1200" b="1">
            <a:solidFill>
              <a:schemeClr val="tx1"/>
            </a:solidFill>
          </a:endParaRPr>
        </a:p>
      </xdr:txBody>
    </xdr:sp>
    <xdr:clientData/>
  </xdr:twoCellAnchor>
  <xdr:twoCellAnchor>
    <xdr:from>
      <xdr:col>13</xdr:col>
      <xdr:colOff>128163</xdr:colOff>
      <xdr:row>74</xdr:row>
      <xdr:rowOff>141200</xdr:rowOff>
    </xdr:from>
    <xdr:to>
      <xdr:col>15</xdr:col>
      <xdr:colOff>257198</xdr:colOff>
      <xdr:row>77</xdr:row>
      <xdr:rowOff>118937</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6152445"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圧縮機</a:t>
          </a:r>
        </a:p>
      </xdr:txBody>
    </xdr:sp>
    <xdr:clientData/>
  </xdr:twoCellAnchor>
  <xdr:twoCellAnchor>
    <xdr:from>
      <xdr:col>10</xdr:col>
      <xdr:colOff>116874</xdr:colOff>
      <xdr:row>74</xdr:row>
      <xdr:rowOff>141200</xdr:rowOff>
    </xdr:from>
    <xdr:to>
      <xdr:col>12</xdr:col>
      <xdr:colOff>245909</xdr:colOff>
      <xdr:row>77</xdr:row>
      <xdr:rowOff>118937</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4984709"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貯蔵タンク</a:t>
          </a:r>
        </a:p>
      </xdr:txBody>
    </xdr:sp>
    <xdr:clientData/>
  </xdr:twoCellAnchor>
  <xdr:twoCellAnchor>
    <xdr:from>
      <xdr:col>2</xdr:col>
      <xdr:colOff>558136</xdr:colOff>
      <xdr:row>74</xdr:row>
      <xdr:rowOff>141200</xdr:rowOff>
    </xdr:from>
    <xdr:to>
      <xdr:col>4</xdr:col>
      <xdr:colOff>256866</xdr:colOff>
      <xdr:row>77</xdr:row>
      <xdr:rowOff>118937</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481501"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受変電・</a:t>
          </a:r>
          <a:endParaRPr kumimoji="1" lang="en-US" altLang="ja-JP" sz="1200" b="1">
            <a:solidFill>
              <a:schemeClr val="tx1"/>
            </a:solidFill>
          </a:endParaRPr>
        </a:p>
        <a:p>
          <a:pPr algn="ctr"/>
          <a:r>
            <a:rPr kumimoji="1" lang="ja-JP" altLang="en-US" sz="1200" b="1">
              <a:solidFill>
                <a:schemeClr val="tx1"/>
              </a:solidFill>
            </a:rPr>
            <a:t>電気設備</a:t>
          </a:r>
        </a:p>
      </xdr:txBody>
    </xdr:sp>
    <xdr:clientData/>
  </xdr:twoCellAnchor>
  <xdr:twoCellAnchor>
    <xdr:from>
      <xdr:col>1</xdr:col>
      <xdr:colOff>152400</xdr:colOff>
      <xdr:row>74</xdr:row>
      <xdr:rowOff>141200</xdr:rowOff>
    </xdr:from>
    <xdr:to>
      <xdr:col>2</xdr:col>
      <xdr:colOff>290400</xdr:colOff>
      <xdr:row>77</xdr:row>
      <xdr:rowOff>118937</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313765"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風力発電</a:t>
          </a:r>
        </a:p>
      </xdr:txBody>
    </xdr:sp>
    <xdr:clientData/>
  </xdr:twoCellAnchor>
  <xdr:twoCellAnchor>
    <xdr:from>
      <xdr:col>4</xdr:col>
      <xdr:colOff>524602</xdr:colOff>
      <xdr:row>74</xdr:row>
      <xdr:rowOff>141200</xdr:rowOff>
    </xdr:from>
    <xdr:to>
      <xdr:col>6</xdr:col>
      <xdr:colOff>223331</xdr:colOff>
      <xdr:row>77</xdr:row>
      <xdr:rowOff>118937</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2649237"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蓄電</a:t>
          </a:r>
          <a:endParaRPr kumimoji="1" lang="en-US" altLang="ja-JP" sz="1200" b="1">
            <a:solidFill>
              <a:schemeClr val="tx1"/>
            </a:solidFill>
          </a:endParaRPr>
        </a:p>
        <a:p>
          <a:pPr algn="ctr"/>
          <a:r>
            <a:rPr kumimoji="1" lang="ja-JP" altLang="en-US" sz="1200" b="1">
              <a:solidFill>
                <a:schemeClr val="tx1"/>
              </a:solidFill>
            </a:rPr>
            <a:t>システム</a:t>
          </a:r>
          <a:endParaRPr kumimoji="1" lang="en-US" altLang="ja-JP" sz="1200" b="1">
            <a:solidFill>
              <a:schemeClr val="tx1"/>
            </a:solidFill>
          </a:endParaRPr>
        </a:p>
      </xdr:txBody>
    </xdr:sp>
    <xdr:clientData/>
  </xdr:twoCellAnchor>
  <xdr:twoCellAnchor>
    <xdr:from>
      <xdr:col>7</xdr:col>
      <xdr:colOff>105585</xdr:colOff>
      <xdr:row>74</xdr:row>
      <xdr:rowOff>141200</xdr:rowOff>
    </xdr:from>
    <xdr:to>
      <xdr:col>9</xdr:col>
      <xdr:colOff>234620</xdr:colOff>
      <xdr:row>77</xdr:row>
      <xdr:rowOff>118937</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816973"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水電解</a:t>
          </a:r>
          <a:endParaRPr kumimoji="1" lang="en-US" altLang="ja-JP" sz="1200" b="1">
            <a:solidFill>
              <a:schemeClr val="tx1"/>
            </a:solidFill>
          </a:endParaRPr>
        </a:p>
        <a:p>
          <a:pPr algn="ctr"/>
          <a:r>
            <a:rPr kumimoji="1" lang="ja-JP" altLang="en-US" sz="1200" b="1">
              <a:solidFill>
                <a:schemeClr val="tx1"/>
              </a:solidFill>
            </a:rPr>
            <a:t>装置</a:t>
          </a:r>
          <a:endParaRPr kumimoji="1" lang="en-US" altLang="ja-JP" sz="1200" b="1">
            <a:solidFill>
              <a:schemeClr val="tx1"/>
            </a:solidFill>
          </a:endParaRPr>
        </a:p>
      </xdr:txBody>
    </xdr:sp>
    <xdr:clientData/>
  </xdr:twoCellAnchor>
  <xdr:twoCellAnchor>
    <xdr:from>
      <xdr:col>9</xdr:col>
      <xdr:colOff>372971</xdr:colOff>
      <xdr:row>67</xdr:row>
      <xdr:rowOff>26404</xdr:rowOff>
    </xdr:from>
    <xdr:to>
      <xdr:col>9</xdr:col>
      <xdr:colOff>372971</xdr:colOff>
      <xdr:row>83</xdr:row>
      <xdr:rowOff>37698</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4855324" y="12370804"/>
          <a:ext cx="0" cy="288000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8556</xdr:colOff>
      <xdr:row>67</xdr:row>
      <xdr:rowOff>26404</xdr:rowOff>
    </xdr:from>
    <xdr:to>
      <xdr:col>16</xdr:col>
      <xdr:colOff>8556</xdr:colOff>
      <xdr:row>83</xdr:row>
      <xdr:rowOff>37698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189285" y="12370804"/>
          <a:ext cx="0" cy="288000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369676</xdr:colOff>
      <xdr:row>67</xdr:row>
      <xdr:rowOff>26404</xdr:rowOff>
    </xdr:from>
    <xdr:to>
      <xdr:col>18</xdr:col>
      <xdr:colOff>369676</xdr:colOff>
      <xdr:row>83</xdr:row>
      <xdr:rowOff>37698</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8321370" y="12370804"/>
          <a:ext cx="0" cy="288000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290400</xdr:colOff>
      <xdr:row>76</xdr:row>
      <xdr:rowOff>40422</xdr:rowOff>
    </xdr:from>
    <xdr:to>
      <xdr:col>2</xdr:col>
      <xdr:colOff>558136</xdr:colOff>
      <xdr:row>76</xdr:row>
      <xdr:rowOff>40422</xdr:rowOff>
    </xdr:to>
    <xdr:cxnSp macro="">
      <xdr:nvCxnSpPr>
        <xdr:cNvPr id="156" name="直線矢印コネクタ 155">
          <a:extLst>
            <a:ext uri="{FF2B5EF4-FFF2-40B4-BE49-F238E27FC236}">
              <a16:creationId xmlns:a16="http://schemas.microsoft.com/office/drawing/2014/main" id="{00000000-0008-0000-0100-00009C000000}"/>
            </a:ext>
          </a:extLst>
        </xdr:cNvPr>
        <xdr:cNvCxnSpPr>
          <a:stCxn id="150" idx="3"/>
          <a:endCxn id="149" idx="1"/>
        </xdr:cNvCxnSpPr>
      </xdr:nvCxnSpPr>
      <xdr:spPr>
        <a:xfrm>
          <a:off x="1213765" y="13998469"/>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256866</xdr:colOff>
      <xdr:row>76</xdr:row>
      <xdr:rowOff>40422</xdr:rowOff>
    </xdr:from>
    <xdr:to>
      <xdr:col>4</xdr:col>
      <xdr:colOff>524602</xdr:colOff>
      <xdr:row>76</xdr:row>
      <xdr:rowOff>40422</xdr:rowOff>
    </xdr:to>
    <xdr:cxnSp macro="">
      <xdr:nvCxnSpPr>
        <xdr:cNvPr id="157" name="直線矢印コネクタ 156">
          <a:extLst>
            <a:ext uri="{FF2B5EF4-FFF2-40B4-BE49-F238E27FC236}">
              <a16:creationId xmlns:a16="http://schemas.microsoft.com/office/drawing/2014/main" id="{00000000-0008-0000-0100-00009D000000}"/>
            </a:ext>
          </a:extLst>
        </xdr:cNvPr>
        <xdr:cNvCxnSpPr>
          <a:stCxn id="149" idx="3"/>
          <a:endCxn id="151" idx="1"/>
        </xdr:cNvCxnSpPr>
      </xdr:nvCxnSpPr>
      <xdr:spPr>
        <a:xfrm>
          <a:off x="2381501" y="13998469"/>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223331</xdr:colOff>
      <xdr:row>76</xdr:row>
      <xdr:rowOff>40422</xdr:rowOff>
    </xdr:from>
    <xdr:to>
      <xdr:col>7</xdr:col>
      <xdr:colOff>105585</xdr:colOff>
      <xdr:row>76</xdr:row>
      <xdr:rowOff>40422</xdr:rowOff>
    </xdr:to>
    <xdr:cxnSp macro="">
      <xdr:nvCxnSpPr>
        <xdr:cNvPr id="158" name="直線矢印コネクタ 157">
          <a:extLst>
            <a:ext uri="{FF2B5EF4-FFF2-40B4-BE49-F238E27FC236}">
              <a16:creationId xmlns:a16="http://schemas.microsoft.com/office/drawing/2014/main" id="{00000000-0008-0000-0100-00009E000000}"/>
            </a:ext>
          </a:extLst>
        </xdr:cNvPr>
        <xdr:cNvCxnSpPr>
          <a:stCxn id="151" idx="3"/>
          <a:endCxn id="152" idx="1"/>
        </xdr:cNvCxnSpPr>
      </xdr:nvCxnSpPr>
      <xdr:spPr>
        <a:xfrm>
          <a:off x="3549237" y="13998469"/>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234620</xdr:colOff>
      <xdr:row>76</xdr:row>
      <xdr:rowOff>40422</xdr:rowOff>
    </xdr:from>
    <xdr:to>
      <xdr:col>10</xdr:col>
      <xdr:colOff>116874</xdr:colOff>
      <xdr:row>76</xdr:row>
      <xdr:rowOff>40422</xdr:rowOff>
    </xdr:to>
    <xdr:cxnSp macro="">
      <xdr:nvCxnSpPr>
        <xdr:cNvPr id="159" name="直線矢印コネクタ 158">
          <a:extLst>
            <a:ext uri="{FF2B5EF4-FFF2-40B4-BE49-F238E27FC236}">
              <a16:creationId xmlns:a16="http://schemas.microsoft.com/office/drawing/2014/main" id="{00000000-0008-0000-0100-00009F000000}"/>
            </a:ext>
          </a:extLst>
        </xdr:cNvPr>
        <xdr:cNvCxnSpPr>
          <a:stCxn id="152" idx="3"/>
          <a:endCxn id="148" idx="1"/>
        </xdr:cNvCxnSpPr>
      </xdr:nvCxnSpPr>
      <xdr:spPr>
        <a:xfrm>
          <a:off x="4716973" y="13998469"/>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245909</xdr:colOff>
      <xdr:row>76</xdr:row>
      <xdr:rowOff>40422</xdr:rowOff>
    </xdr:from>
    <xdr:to>
      <xdr:col>13</xdr:col>
      <xdr:colOff>128163</xdr:colOff>
      <xdr:row>76</xdr:row>
      <xdr:rowOff>40422</xdr:rowOff>
    </xdr:to>
    <xdr:cxnSp macro="">
      <xdr:nvCxnSpPr>
        <xdr:cNvPr id="160" name="直線矢印コネクタ 159">
          <a:extLst>
            <a:ext uri="{FF2B5EF4-FFF2-40B4-BE49-F238E27FC236}">
              <a16:creationId xmlns:a16="http://schemas.microsoft.com/office/drawing/2014/main" id="{00000000-0008-0000-0100-0000A0000000}"/>
            </a:ext>
          </a:extLst>
        </xdr:cNvPr>
        <xdr:cNvCxnSpPr>
          <a:stCxn id="148" idx="3"/>
          <a:endCxn id="147" idx="1"/>
        </xdr:cNvCxnSpPr>
      </xdr:nvCxnSpPr>
      <xdr:spPr>
        <a:xfrm>
          <a:off x="5884709" y="13998469"/>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257198</xdr:colOff>
      <xdr:row>76</xdr:row>
      <xdr:rowOff>40422</xdr:rowOff>
    </xdr:from>
    <xdr:to>
      <xdr:col>16</xdr:col>
      <xdr:colOff>139452</xdr:colOff>
      <xdr:row>76</xdr:row>
      <xdr:rowOff>40422</xdr:rowOff>
    </xdr:to>
    <xdr:cxnSp macro="">
      <xdr:nvCxnSpPr>
        <xdr:cNvPr id="161" name="直線矢印コネクタ 160">
          <a:extLst>
            <a:ext uri="{FF2B5EF4-FFF2-40B4-BE49-F238E27FC236}">
              <a16:creationId xmlns:a16="http://schemas.microsoft.com/office/drawing/2014/main" id="{00000000-0008-0000-0100-0000A1000000}"/>
            </a:ext>
          </a:extLst>
        </xdr:cNvPr>
        <xdr:cNvCxnSpPr>
          <a:stCxn id="147" idx="3"/>
          <a:endCxn id="146" idx="1"/>
        </xdr:cNvCxnSpPr>
      </xdr:nvCxnSpPr>
      <xdr:spPr>
        <a:xfrm>
          <a:off x="7052445" y="13998469"/>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268487</xdr:colOff>
      <xdr:row>76</xdr:row>
      <xdr:rowOff>40422</xdr:rowOff>
    </xdr:from>
    <xdr:to>
      <xdr:col>19</xdr:col>
      <xdr:colOff>150739</xdr:colOff>
      <xdr:row>76</xdr:row>
      <xdr:rowOff>40422</xdr:rowOff>
    </xdr:to>
    <xdr:cxnSp macro="">
      <xdr:nvCxnSpPr>
        <xdr:cNvPr id="162" name="直線矢印コネクタ 161">
          <a:extLst>
            <a:ext uri="{FF2B5EF4-FFF2-40B4-BE49-F238E27FC236}">
              <a16:creationId xmlns:a16="http://schemas.microsoft.com/office/drawing/2014/main" id="{00000000-0008-0000-0100-0000A2000000}"/>
            </a:ext>
          </a:extLst>
        </xdr:cNvPr>
        <xdr:cNvCxnSpPr>
          <a:stCxn id="146" idx="3"/>
          <a:endCxn id="145" idx="1"/>
        </xdr:cNvCxnSpPr>
      </xdr:nvCxnSpPr>
      <xdr:spPr>
        <a:xfrm>
          <a:off x="8220181" y="13998469"/>
          <a:ext cx="267734"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104074</xdr:colOff>
      <xdr:row>70</xdr:row>
      <xdr:rowOff>148123</xdr:rowOff>
    </xdr:from>
    <xdr:to>
      <xdr:col>9</xdr:col>
      <xdr:colOff>233109</xdr:colOff>
      <xdr:row>72</xdr:row>
      <xdr:rowOff>41534</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3815462" y="13030405"/>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水道水</a:t>
          </a:r>
        </a:p>
      </xdr:txBody>
    </xdr:sp>
    <xdr:clientData/>
  </xdr:twoCellAnchor>
  <xdr:twoCellAnchor>
    <xdr:from>
      <xdr:col>13</xdr:col>
      <xdr:colOff>125141</xdr:colOff>
      <xdr:row>70</xdr:row>
      <xdr:rowOff>148123</xdr:rowOff>
    </xdr:from>
    <xdr:to>
      <xdr:col>15</xdr:col>
      <xdr:colOff>254176</xdr:colOff>
      <xdr:row>72</xdr:row>
      <xdr:rowOff>41534</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6149423" y="13030405"/>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16</xdr:col>
      <xdr:colOff>148419</xdr:colOff>
      <xdr:row>70</xdr:row>
      <xdr:rowOff>148123</xdr:rowOff>
    </xdr:from>
    <xdr:to>
      <xdr:col>18</xdr:col>
      <xdr:colOff>277454</xdr:colOff>
      <xdr:row>72</xdr:row>
      <xdr:rowOff>41534</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7329148" y="13030405"/>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8</xdr:col>
      <xdr:colOff>168591</xdr:colOff>
      <xdr:row>72</xdr:row>
      <xdr:rowOff>41534</xdr:rowOff>
    </xdr:from>
    <xdr:to>
      <xdr:col>8</xdr:col>
      <xdr:colOff>170102</xdr:colOff>
      <xdr:row>74</xdr:row>
      <xdr:rowOff>141200</xdr:rowOff>
    </xdr:to>
    <xdr:cxnSp macro="">
      <xdr:nvCxnSpPr>
        <xdr:cNvPr id="166" name="直線矢印コネクタ 165">
          <a:extLst>
            <a:ext uri="{FF2B5EF4-FFF2-40B4-BE49-F238E27FC236}">
              <a16:creationId xmlns:a16="http://schemas.microsoft.com/office/drawing/2014/main" id="{00000000-0008-0000-0100-0000A6000000}"/>
            </a:ext>
          </a:extLst>
        </xdr:cNvPr>
        <xdr:cNvCxnSpPr>
          <a:stCxn id="163" idx="2"/>
          <a:endCxn id="152" idx="0"/>
        </xdr:cNvCxnSpPr>
      </xdr:nvCxnSpPr>
      <xdr:spPr>
        <a:xfrm>
          <a:off x="4265462" y="13282405"/>
          <a:ext cx="1511"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189658</xdr:colOff>
      <xdr:row>72</xdr:row>
      <xdr:rowOff>41534</xdr:rowOff>
    </xdr:from>
    <xdr:to>
      <xdr:col>14</xdr:col>
      <xdr:colOff>192680</xdr:colOff>
      <xdr:row>74</xdr:row>
      <xdr:rowOff>141200</xdr:rowOff>
    </xdr:to>
    <xdr:cxnSp macro="">
      <xdr:nvCxnSpPr>
        <xdr:cNvPr id="167" name="直線矢印コネクタ 166">
          <a:extLst>
            <a:ext uri="{FF2B5EF4-FFF2-40B4-BE49-F238E27FC236}">
              <a16:creationId xmlns:a16="http://schemas.microsoft.com/office/drawing/2014/main" id="{00000000-0008-0000-0100-0000A7000000}"/>
            </a:ext>
          </a:extLst>
        </xdr:cNvPr>
        <xdr:cNvCxnSpPr>
          <a:stCxn id="164" idx="2"/>
          <a:endCxn id="147" idx="0"/>
        </xdr:cNvCxnSpPr>
      </xdr:nvCxnSpPr>
      <xdr:spPr>
        <a:xfrm>
          <a:off x="6599423" y="13282405"/>
          <a:ext cx="3022"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203969</xdr:colOff>
      <xdr:row>72</xdr:row>
      <xdr:rowOff>41534</xdr:rowOff>
    </xdr:from>
    <xdr:to>
      <xdr:col>17</xdr:col>
      <xdr:colOff>212936</xdr:colOff>
      <xdr:row>74</xdr:row>
      <xdr:rowOff>141200</xdr:rowOff>
    </xdr:to>
    <xdr:cxnSp macro="">
      <xdr:nvCxnSpPr>
        <xdr:cNvPr id="168" name="直線矢印コネクタ 167">
          <a:extLst>
            <a:ext uri="{FF2B5EF4-FFF2-40B4-BE49-F238E27FC236}">
              <a16:creationId xmlns:a16="http://schemas.microsoft.com/office/drawing/2014/main" id="{00000000-0008-0000-0100-0000A8000000}"/>
            </a:ext>
          </a:extLst>
        </xdr:cNvPr>
        <xdr:cNvCxnSpPr>
          <a:stCxn id="165" idx="2"/>
          <a:endCxn id="146" idx="0"/>
        </xdr:cNvCxnSpPr>
      </xdr:nvCxnSpPr>
      <xdr:spPr>
        <a:xfrm flipH="1">
          <a:off x="7770181" y="13282405"/>
          <a:ext cx="8967"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19955</xdr:colOff>
      <xdr:row>63</xdr:row>
      <xdr:rowOff>9359</xdr:rowOff>
    </xdr:from>
    <xdr:to>
      <xdr:col>16</xdr:col>
      <xdr:colOff>148991</xdr:colOff>
      <xdr:row>64</xdr:row>
      <xdr:rowOff>82065</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6429720" y="11636583"/>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インプット</a:t>
          </a:r>
        </a:p>
      </xdr:txBody>
    </xdr:sp>
    <xdr:clientData/>
  </xdr:twoCellAnchor>
  <xdr:twoCellAnchor>
    <xdr:from>
      <xdr:col>16</xdr:col>
      <xdr:colOff>218422</xdr:colOff>
      <xdr:row>65</xdr:row>
      <xdr:rowOff>55841</xdr:rowOff>
    </xdr:from>
    <xdr:to>
      <xdr:col>17</xdr:col>
      <xdr:colOff>100675</xdr:colOff>
      <xdr:row>65</xdr:row>
      <xdr:rowOff>55841</xdr:rowOff>
    </xdr:to>
    <xdr:cxnSp macro="">
      <xdr:nvCxnSpPr>
        <xdr:cNvPr id="170" name="直線矢印コネクタ 169">
          <a:extLst>
            <a:ext uri="{FF2B5EF4-FFF2-40B4-BE49-F238E27FC236}">
              <a16:creationId xmlns:a16="http://schemas.microsoft.com/office/drawing/2014/main" id="{00000000-0008-0000-0100-0000AA000000}"/>
            </a:ext>
          </a:extLst>
        </xdr:cNvPr>
        <xdr:cNvCxnSpPr/>
      </xdr:nvCxnSpPr>
      <xdr:spPr>
        <a:xfrm>
          <a:off x="7399151" y="12041653"/>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319549</xdr:colOff>
      <xdr:row>64</xdr:row>
      <xdr:rowOff>72796</xdr:rowOff>
    </xdr:from>
    <xdr:to>
      <xdr:col>16</xdr:col>
      <xdr:colOff>290334</xdr:colOff>
      <xdr:row>65</xdr:row>
      <xdr:rowOff>170501</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6343831" y="11879314"/>
          <a:ext cx="1127232" cy="276999"/>
        </a:xfrm>
        <a:prstGeom prst="rect">
          <a:avLst/>
        </a:prstGeom>
      </xdr:spPr>
      <xdr:txBody>
        <a:bodyPr wrap="square">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buFont typeface="Wingdings 2" pitchFamily="18" charset="2"/>
            <a:buNone/>
          </a:pPr>
          <a:r>
            <a:rPr kumimoji="1" lang="ja-JP" altLang="en-US" sz="1200"/>
            <a:t>水素のフロー：</a:t>
          </a:r>
        </a:p>
      </xdr:txBody>
    </xdr:sp>
    <xdr:clientData/>
  </xdr:twoCellAnchor>
  <xdr:twoCellAnchor>
    <xdr:from>
      <xdr:col>20</xdr:col>
      <xdr:colOff>332572</xdr:colOff>
      <xdr:row>65</xdr:row>
      <xdr:rowOff>55841</xdr:rowOff>
    </xdr:from>
    <xdr:to>
      <xdr:col>20</xdr:col>
      <xdr:colOff>600308</xdr:colOff>
      <xdr:row>65</xdr:row>
      <xdr:rowOff>55841</xdr:rowOff>
    </xdr:to>
    <xdr:cxnSp macro="">
      <xdr:nvCxnSpPr>
        <xdr:cNvPr id="172" name="直線矢印コネクタ 171">
          <a:extLst>
            <a:ext uri="{FF2B5EF4-FFF2-40B4-BE49-F238E27FC236}">
              <a16:creationId xmlns:a16="http://schemas.microsoft.com/office/drawing/2014/main" id="{00000000-0008-0000-0100-0000AC000000}"/>
            </a:ext>
          </a:extLst>
        </xdr:cNvPr>
        <xdr:cNvCxnSpPr/>
      </xdr:nvCxnSpPr>
      <xdr:spPr>
        <a:xfrm>
          <a:off x="9055231" y="12041653"/>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311779</xdr:colOff>
      <xdr:row>64</xdr:row>
      <xdr:rowOff>77876</xdr:rowOff>
    </xdr:from>
    <xdr:to>
      <xdr:col>20</xdr:col>
      <xdr:colOff>425231</xdr:colOff>
      <xdr:row>65</xdr:row>
      <xdr:rowOff>175581</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7877991" y="11884394"/>
          <a:ext cx="1269899" cy="276999"/>
        </a:xfrm>
        <a:prstGeom prst="rect">
          <a:avLst/>
        </a:prstGeom>
      </xdr:spPr>
      <xdr:txBody>
        <a:bodyPr wrap="square">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buFont typeface="Wingdings 2" pitchFamily="18" charset="2"/>
            <a:buNone/>
          </a:pPr>
          <a:r>
            <a:rPr kumimoji="1" lang="ja-JP" altLang="en-US" sz="1200"/>
            <a:t>その他のフロー：</a:t>
          </a:r>
        </a:p>
      </xdr:txBody>
    </xdr:sp>
    <xdr:clientData/>
  </xdr:twoCellAnchor>
  <xdr:twoCellAnchor>
    <xdr:from>
      <xdr:col>1</xdr:col>
      <xdr:colOff>256238</xdr:colOff>
      <xdr:row>107</xdr:row>
      <xdr:rowOff>80683</xdr:rowOff>
    </xdr:from>
    <xdr:to>
      <xdr:col>7</xdr:col>
      <xdr:colOff>4412</xdr:colOff>
      <xdr:row>109</xdr:row>
      <xdr:rowOff>82095</xdr:rowOff>
    </xdr:to>
    <xdr:grpSp>
      <xdr:nvGrpSpPr>
        <xdr:cNvPr id="291" name="グループ化 290">
          <a:extLst>
            <a:ext uri="{FF2B5EF4-FFF2-40B4-BE49-F238E27FC236}">
              <a16:creationId xmlns:a16="http://schemas.microsoft.com/office/drawing/2014/main" id="{00000000-0008-0000-0100-000023010000}"/>
            </a:ext>
          </a:extLst>
        </xdr:cNvPr>
        <xdr:cNvGrpSpPr/>
      </xdr:nvGrpSpPr>
      <xdr:grpSpPr>
        <a:xfrm>
          <a:off x="419524" y="19108912"/>
          <a:ext cx="3296917" cy="349754"/>
          <a:chOff x="1677060" y="1500900"/>
          <a:chExt cx="3816000" cy="360000"/>
        </a:xfrm>
      </xdr:grpSpPr>
      <xdr:sp macro="" textlink="">
        <xdr:nvSpPr>
          <xdr:cNvPr id="341" name="正方形/長方形 340">
            <a:extLst>
              <a:ext uri="{FF2B5EF4-FFF2-40B4-BE49-F238E27FC236}">
                <a16:creationId xmlns:a16="http://schemas.microsoft.com/office/drawing/2014/main" id="{00000000-0008-0000-0100-000055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製造段階</a:t>
            </a:r>
            <a:endParaRPr lang="en-US" altLang="ja-JP" sz="1200">
              <a:solidFill>
                <a:schemeClr val="tx1"/>
              </a:solidFill>
            </a:endParaRPr>
          </a:p>
        </xdr:txBody>
      </xdr:sp>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4413</xdr:colOff>
      <xdr:row>107</xdr:row>
      <xdr:rowOff>80683</xdr:rowOff>
    </xdr:from>
    <xdr:to>
      <xdr:col>16</xdr:col>
      <xdr:colOff>29317</xdr:colOff>
      <xdr:row>109</xdr:row>
      <xdr:rowOff>82095</xdr:rowOff>
    </xdr:to>
    <xdr:grpSp>
      <xdr:nvGrpSpPr>
        <xdr:cNvPr id="292" name="グループ化 291">
          <a:extLst>
            <a:ext uri="{FF2B5EF4-FFF2-40B4-BE49-F238E27FC236}">
              <a16:creationId xmlns:a16="http://schemas.microsoft.com/office/drawing/2014/main" id="{00000000-0008-0000-0100-000024010000}"/>
            </a:ext>
          </a:extLst>
        </xdr:cNvPr>
        <xdr:cNvGrpSpPr/>
      </xdr:nvGrpSpPr>
      <xdr:grpSpPr>
        <a:xfrm>
          <a:off x="3716442" y="19108912"/>
          <a:ext cx="3551875" cy="349754"/>
          <a:chOff x="1677060" y="1500900"/>
          <a:chExt cx="3816000" cy="360000"/>
        </a:xfrm>
      </xdr:grpSpPr>
      <xdr:sp macro="" textlink="">
        <xdr:nvSpPr>
          <xdr:cNvPr id="339" name="正方形/長方形 338">
            <a:extLst>
              <a:ext uri="{FF2B5EF4-FFF2-40B4-BE49-F238E27FC236}">
                <a16:creationId xmlns:a16="http://schemas.microsoft.com/office/drawing/2014/main" id="{00000000-0008-0000-0100-000053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貯蔵・輸送段階</a:t>
            </a:r>
            <a:endParaRPr lang="en-US" altLang="ja-JP" sz="1200">
              <a:solidFill>
                <a:schemeClr val="tx1"/>
              </a:solidFill>
            </a:endParaRPr>
          </a:p>
        </xdr:txBody>
      </xdr:sp>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19216</xdr:colOff>
      <xdr:row>107</xdr:row>
      <xdr:rowOff>80683</xdr:rowOff>
    </xdr:from>
    <xdr:to>
      <xdr:col>19</xdr:col>
      <xdr:colOff>19216</xdr:colOff>
      <xdr:row>109</xdr:row>
      <xdr:rowOff>82095</xdr:rowOff>
    </xdr:to>
    <xdr:grpSp>
      <xdr:nvGrpSpPr>
        <xdr:cNvPr id="293" name="グループ化 292">
          <a:extLst>
            <a:ext uri="{FF2B5EF4-FFF2-40B4-BE49-F238E27FC236}">
              <a16:creationId xmlns:a16="http://schemas.microsoft.com/office/drawing/2014/main" id="{00000000-0008-0000-0100-000025010000}"/>
            </a:ext>
          </a:extLst>
        </xdr:cNvPr>
        <xdr:cNvGrpSpPr/>
      </xdr:nvGrpSpPr>
      <xdr:grpSpPr>
        <a:xfrm>
          <a:off x="7258216" y="19108912"/>
          <a:ext cx="1175657" cy="349754"/>
          <a:chOff x="1677060" y="1500900"/>
          <a:chExt cx="3816000" cy="360000"/>
        </a:xfrm>
      </xdr:grpSpPr>
      <xdr:sp macro="" textlink="">
        <xdr:nvSpPr>
          <xdr:cNvPr id="337" name="正方形/長方形 336">
            <a:extLst>
              <a:ext uri="{FF2B5EF4-FFF2-40B4-BE49-F238E27FC236}">
                <a16:creationId xmlns:a16="http://schemas.microsoft.com/office/drawing/2014/main" id="{00000000-0008-0000-0100-000051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供給段階</a:t>
            </a:r>
            <a:endParaRPr lang="en-US" altLang="ja-JP" sz="1200">
              <a:solidFill>
                <a:schemeClr val="tx1"/>
              </a:solidFill>
            </a:endParaRPr>
          </a:p>
        </xdr:txBody>
      </xdr:sp>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19217</xdr:colOff>
      <xdr:row>107</xdr:row>
      <xdr:rowOff>80683</xdr:rowOff>
    </xdr:from>
    <xdr:to>
      <xdr:col>21</xdr:col>
      <xdr:colOff>18962</xdr:colOff>
      <xdr:row>109</xdr:row>
      <xdr:rowOff>82095</xdr:rowOff>
    </xdr:to>
    <xdr:grpSp>
      <xdr:nvGrpSpPr>
        <xdr:cNvPr id="294" name="グループ化 293">
          <a:extLst>
            <a:ext uri="{FF2B5EF4-FFF2-40B4-BE49-F238E27FC236}">
              <a16:creationId xmlns:a16="http://schemas.microsoft.com/office/drawing/2014/main" id="{00000000-0008-0000-0100-000026010000}"/>
            </a:ext>
          </a:extLst>
        </xdr:cNvPr>
        <xdr:cNvGrpSpPr/>
      </xdr:nvGrpSpPr>
      <xdr:grpSpPr>
        <a:xfrm>
          <a:off x="8433874" y="19108912"/>
          <a:ext cx="1066545" cy="349754"/>
          <a:chOff x="1677060" y="1500900"/>
          <a:chExt cx="3816000" cy="360000"/>
        </a:xfrm>
      </xdr:grpSpPr>
      <xdr:sp macro="" textlink="">
        <xdr:nvSpPr>
          <xdr:cNvPr id="335" name="正方形/長方形 334">
            <a:extLst>
              <a:ext uri="{FF2B5EF4-FFF2-40B4-BE49-F238E27FC236}">
                <a16:creationId xmlns:a16="http://schemas.microsoft.com/office/drawing/2014/main" id="{00000000-0008-0000-0100-00004F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利用段階</a:t>
            </a:r>
            <a:endParaRPr lang="en-US" altLang="ja-JP" sz="1200">
              <a:solidFill>
                <a:schemeClr val="tx1"/>
              </a:solidFill>
            </a:endParaRPr>
          </a:p>
        </xdr:txBody>
      </xdr:sp>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185762</xdr:colOff>
      <xdr:row>118</xdr:row>
      <xdr:rowOff>65136</xdr:rowOff>
    </xdr:from>
    <xdr:to>
      <xdr:col>21</xdr:col>
      <xdr:colOff>18962</xdr:colOff>
      <xdr:row>121</xdr:row>
      <xdr:rowOff>100179</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522938"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en-US" altLang="ja-JP" sz="1200" b="1">
              <a:solidFill>
                <a:schemeClr val="tx1"/>
              </a:solidFill>
            </a:rPr>
            <a:t>FC</a:t>
          </a:r>
          <a:r>
            <a:rPr kumimoji="1" lang="ja-JP" altLang="en-US" sz="1200" b="1">
              <a:solidFill>
                <a:schemeClr val="tx1"/>
              </a:solidFill>
            </a:rPr>
            <a:t>フォークリフト</a:t>
          </a:r>
          <a:endParaRPr kumimoji="1" lang="en-US" altLang="ja-JP" sz="1200" b="1">
            <a:solidFill>
              <a:schemeClr val="tx1"/>
            </a:solidFill>
          </a:endParaRPr>
        </a:p>
      </xdr:txBody>
    </xdr:sp>
    <xdr:clientData/>
  </xdr:twoCellAnchor>
  <xdr:twoCellAnchor>
    <xdr:from>
      <xdr:col>16</xdr:col>
      <xdr:colOff>175875</xdr:colOff>
      <xdr:row>118</xdr:row>
      <xdr:rowOff>65136</xdr:rowOff>
    </xdr:from>
    <xdr:to>
      <xdr:col>18</xdr:col>
      <xdr:colOff>304910</xdr:colOff>
      <xdr:row>121</xdr:row>
      <xdr:rowOff>100179</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356604"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r>
            <a:rPr kumimoji="1" lang="en-US" altLang="ja-JP" sz="1200" b="1">
              <a:solidFill>
                <a:schemeClr val="tx1"/>
              </a:solidFill>
            </a:rPr>
            <a:t>ST</a:t>
          </a:r>
          <a:endParaRPr kumimoji="1" lang="ja-JP" altLang="en-US" sz="1200" b="1">
            <a:solidFill>
              <a:schemeClr val="tx1"/>
            </a:solidFill>
          </a:endParaRPr>
        </a:p>
      </xdr:txBody>
    </xdr:sp>
    <xdr:clientData/>
  </xdr:twoCellAnchor>
  <xdr:twoCellAnchor>
    <xdr:from>
      <xdr:col>13</xdr:col>
      <xdr:colOff>165986</xdr:colOff>
      <xdr:row>118</xdr:row>
      <xdr:rowOff>65136</xdr:rowOff>
    </xdr:from>
    <xdr:to>
      <xdr:col>15</xdr:col>
      <xdr:colOff>295021</xdr:colOff>
      <xdr:row>121</xdr:row>
      <xdr:rowOff>100179</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190268"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圧縮水素</a:t>
          </a:r>
          <a:endParaRPr kumimoji="1" lang="en-US" altLang="ja-JP" sz="1200" b="1">
            <a:solidFill>
              <a:schemeClr val="tx1"/>
            </a:solidFill>
          </a:endParaRPr>
        </a:p>
        <a:p>
          <a:pPr algn="ctr"/>
          <a:r>
            <a:rPr kumimoji="1" lang="ja-JP" altLang="en-US" sz="1200" b="1">
              <a:solidFill>
                <a:schemeClr val="tx1"/>
              </a:solidFill>
            </a:rPr>
            <a:t>トレーラ</a:t>
          </a:r>
          <a:endParaRPr kumimoji="1" lang="en-US" altLang="ja-JP" sz="1200" b="1">
            <a:solidFill>
              <a:schemeClr val="tx1"/>
            </a:solidFill>
          </a:endParaRPr>
        </a:p>
      </xdr:txBody>
    </xdr:sp>
    <xdr:clientData/>
  </xdr:twoCellAnchor>
  <xdr:twoCellAnchor>
    <xdr:from>
      <xdr:col>10</xdr:col>
      <xdr:colOff>156097</xdr:colOff>
      <xdr:row>118</xdr:row>
      <xdr:rowOff>65136</xdr:rowOff>
    </xdr:from>
    <xdr:to>
      <xdr:col>12</xdr:col>
      <xdr:colOff>285132</xdr:colOff>
      <xdr:row>121</xdr:row>
      <xdr:rowOff>100179</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5023932"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圧縮機</a:t>
          </a:r>
          <a:endParaRPr kumimoji="1" lang="en-US" altLang="ja-JP" sz="1200" b="1">
            <a:solidFill>
              <a:schemeClr val="tx1"/>
            </a:solidFill>
          </a:endParaRPr>
        </a:p>
      </xdr:txBody>
    </xdr:sp>
    <xdr:clientData/>
  </xdr:twoCellAnchor>
  <xdr:twoCellAnchor>
    <xdr:from>
      <xdr:col>3</xdr:col>
      <xdr:colOff>924</xdr:colOff>
      <xdr:row>118</xdr:row>
      <xdr:rowOff>65136</xdr:rowOff>
    </xdr:from>
    <xdr:to>
      <xdr:col>4</xdr:col>
      <xdr:colOff>300289</xdr:colOff>
      <xdr:row>121</xdr:row>
      <xdr:rowOff>100179</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524924"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バイオガス</a:t>
          </a:r>
          <a:endParaRPr kumimoji="1" lang="en-US" altLang="ja-JP" sz="1200" b="1">
            <a:solidFill>
              <a:schemeClr val="tx1"/>
            </a:solidFill>
          </a:endParaRPr>
        </a:p>
        <a:p>
          <a:pPr algn="ctr"/>
          <a:r>
            <a:rPr kumimoji="1" lang="ja-JP" altLang="en-US" sz="1200" b="1">
              <a:solidFill>
                <a:schemeClr val="tx1"/>
              </a:solidFill>
            </a:rPr>
            <a:t>生成装置</a:t>
          </a:r>
        </a:p>
      </xdr:txBody>
    </xdr:sp>
    <xdr:clientData/>
  </xdr:twoCellAnchor>
  <xdr:twoCellAnchor>
    <xdr:from>
      <xdr:col>4</xdr:col>
      <xdr:colOff>566625</xdr:colOff>
      <xdr:row>118</xdr:row>
      <xdr:rowOff>65136</xdr:rowOff>
    </xdr:from>
    <xdr:to>
      <xdr:col>6</xdr:col>
      <xdr:colOff>265354</xdr:colOff>
      <xdr:row>121</xdr:row>
      <xdr:rowOff>100179</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2691260"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改質器</a:t>
          </a:r>
          <a:endParaRPr kumimoji="1" lang="en-US" altLang="ja-JP" sz="1200" b="1">
            <a:solidFill>
              <a:schemeClr val="tx1"/>
            </a:solidFill>
          </a:endParaRPr>
        </a:p>
      </xdr:txBody>
    </xdr:sp>
    <xdr:clientData/>
  </xdr:twoCellAnchor>
  <xdr:twoCellAnchor>
    <xdr:from>
      <xdr:col>7</xdr:col>
      <xdr:colOff>146208</xdr:colOff>
      <xdr:row>118</xdr:row>
      <xdr:rowOff>65136</xdr:rowOff>
    </xdr:from>
    <xdr:to>
      <xdr:col>9</xdr:col>
      <xdr:colOff>275243</xdr:colOff>
      <xdr:row>121</xdr:row>
      <xdr:rowOff>100179</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3857596"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水素貯蔵</a:t>
          </a:r>
          <a:endParaRPr kumimoji="1" lang="en-US" altLang="ja-JP" sz="1200" b="1">
            <a:solidFill>
              <a:schemeClr val="tx1"/>
            </a:solidFill>
          </a:endParaRPr>
        </a:p>
        <a:p>
          <a:pPr algn="ctr"/>
          <a:r>
            <a:rPr kumimoji="1" lang="ja-JP" altLang="en-US" sz="1200" b="1">
              <a:solidFill>
                <a:schemeClr val="tx1"/>
              </a:solidFill>
            </a:rPr>
            <a:t>タンク</a:t>
          </a:r>
          <a:endParaRPr kumimoji="1" lang="en-US" altLang="ja-JP" sz="1200" b="1">
            <a:solidFill>
              <a:schemeClr val="tx1"/>
            </a:solidFill>
          </a:endParaRPr>
        </a:p>
      </xdr:txBody>
    </xdr:sp>
    <xdr:clientData/>
  </xdr:twoCellAnchor>
  <xdr:twoCellAnchor>
    <xdr:from>
      <xdr:col>16</xdr:col>
      <xdr:colOff>29318</xdr:colOff>
      <xdr:row>107</xdr:row>
      <xdr:rowOff>73062</xdr:rowOff>
    </xdr:from>
    <xdr:to>
      <xdr:col>16</xdr:col>
      <xdr:colOff>29318</xdr:colOff>
      <xdr:row>127</xdr:row>
      <xdr:rowOff>94800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7210047" y="19589227"/>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19217</xdr:colOff>
      <xdr:row>107</xdr:row>
      <xdr:rowOff>73062</xdr:rowOff>
    </xdr:from>
    <xdr:to>
      <xdr:col>19</xdr:col>
      <xdr:colOff>19217</xdr:colOff>
      <xdr:row>127</xdr:row>
      <xdr:rowOff>94800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8356393" y="19589227"/>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265354</xdr:colOff>
      <xdr:row>119</xdr:row>
      <xdr:rowOff>172305</xdr:rowOff>
    </xdr:from>
    <xdr:to>
      <xdr:col>7</xdr:col>
      <xdr:colOff>146208</xdr:colOff>
      <xdr:row>119</xdr:row>
      <xdr:rowOff>172305</xdr:rowOff>
    </xdr:to>
    <xdr:cxnSp macro="">
      <xdr:nvCxnSpPr>
        <xdr:cNvPr id="304" name="直線矢印コネクタ 303">
          <a:extLst>
            <a:ext uri="{FF2B5EF4-FFF2-40B4-BE49-F238E27FC236}">
              <a16:creationId xmlns:a16="http://schemas.microsoft.com/office/drawing/2014/main" id="{00000000-0008-0000-0100-000030010000}"/>
            </a:ext>
          </a:extLst>
        </xdr:cNvPr>
        <xdr:cNvCxnSpPr>
          <a:stCxn id="300" idx="3"/>
          <a:endCxn id="301" idx="1"/>
        </xdr:cNvCxnSpPr>
      </xdr:nvCxnSpPr>
      <xdr:spPr>
        <a:xfrm>
          <a:off x="3591260" y="21839999"/>
          <a:ext cx="2663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275243</xdr:colOff>
      <xdr:row>119</xdr:row>
      <xdr:rowOff>172305</xdr:rowOff>
    </xdr:from>
    <xdr:to>
      <xdr:col>10</xdr:col>
      <xdr:colOff>156097</xdr:colOff>
      <xdr:row>119</xdr:row>
      <xdr:rowOff>172305</xdr:rowOff>
    </xdr:to>
    <xdr:cxnSp macro="">
      <xdr:nvCxnSpPr>
        <xdr:cNvPr id="305" name="直線矢印コネクタ 304">
          <a:extLst>
            <a:ext uri="{FF2B5EF4-FFF2-40B4-BE49-F238E27FC236}">
              <a16:creationId xmlns:a16="http://schemas.microsoft.com/office/drawing/2014/main" id="{00000000-0008-0000-0100-000031010000}"/>
            </a:ext>
          </a:extLst>
        </xdr:cNvPr>
        <xdr:cNvCxnSpPr>
          <a:stCxn id="301" idx="3"/>
          <a:endCxn id="298" idx="1"/>
        </xdr:cNvCxnSpPr>
      </xdr:nvCxnSpPr>
      <xdr:spPr>
        <a:xfrm>
          <a:off x="4757596" y="21839999"/>
          <a:ext cx="2663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285132</xdr:colOff>
      <xdr:row>119</xdr:row>
      <xdr:rowOff>172305</xdr:rowOff>
    </xdr:from>
    <xdr:to>
      <xdr:col>13</xdr:col>
      <xdr:colOff>165986</xdr:colOff>
      <xdr:row>119</xdr:row>
      <xdr:rowOff>172305</xdr:rowOff>
    </xdr:to>
    <xdr:cxnSp macro="">
      <xdr:nvCxnSpPr>
        <xdr:cNvPr id="306" name="直線矢印コネクタ 305">
          <a:extLst>
            <a:ext uri="{FF2B5EF4-FFF2-40B4-BE49-F238E27FC236}">
              <a16:creationId xmlns:a16="http://schemas.microsoft.com/office/drawing/2014/main" id="{00000000-0008-0000-0100-000032010000}"/>
            </a:ext>
          </a:extLst>
        </xdr:cNvPr>
        <xdr:cNvCxnSpPr>
          <a:stCxn id="298" idx="3"/>
          <a:endCxn id="297" idx="1"/>
        </xdr:cNvCxnSpPr>
      </xdr:nvCxnSpPr>
      <xdr:spPr>
        <a:xfrm>
          <a:off x="5923932" y="21839999"/>
          <a:ext cx="2663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295021</xdr:colOff>
      <xdr:row>119</xdr:row>
      <xdr:rowOff>172305</xdr:rowOff>
    </xdr:from>
    <xdr:to>
      <xdr:col>16</xdr:col>
      <xdr:colOff>175875</xdr:colOff>
      <xdr:row>119</xdr:row>
      <xdr:rowOff>172305</xdr:rowOff>
    </xdr:to>
    <xdr:cxnSp macro="">
      <xdr:nvCxnSpPr>
        <xdr:cNvPr id="307" name="直線矢印コネクタ 306">
          <a:extLst>
            <a:ext uri="{FF2B5EF4-FFF2-40B4-BE49-F238E27FC236}">
              <a16:creationId xmlns:a16="http://schemas.microsoft.com/office/drawing/2014/main" id="{00000000-0008-0000-0100-000033010000}"/>
            </a:ext>
          </a:extLst>
        </xdr:cNvPr>
        <xdr:cNvCxnSpPr>
          <a:stCxn id="297" idx="3"/>
          <a:endCxn id="296" idx="1"/>
        </xdr:cNvCxnSpPr>
      </xdr:nvCxnSpPr>
      <xdr:spPr>
        <a:xfrm>
          <a:off x="7090268" y="21839999"/>
          <a:ext cx="2663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304910</xdr:colOff>
      <xdr:row>119</xdr:row>
      <xdr:rowOff>172305</xdr:rowOff>
    </xdr:from>
    <xdr:to>
      <xdr:col>19</xdr:col>
      <xdr:colOff>185762</xdr:colOff>
      <xdr:row>119</xdr:row>
      <xdr:rowOff>172305</xdr:rowOff>
    </xdr:to>
    <xdr:cxnSp macro="">
      <xdr:nvCxnSpPr>
        <xdr:cNvPr id="308" name="直線矢印コネクタ 307">
          <a:extLst>
            <a:ext uri="{FF2B5EF4-FFF2-40B4-BE49-F238E27FC236}">
              <a16:creationId xmlns:a16="http://schemas.microsoft.com/office/drawing/2014/main" id="{00000000-0008-0000-0100-000034010000}"/>
            </a:ext>
          </a:extLst>
        </xdr:cNvPr>
        <xdr:cNvCxnSpPr>
          <a:stCxn id="296" idx="3"/>
          <a:endCxn id="295" idx="1"/>
        </xdr:cNvCxnSpPr>
      </xdr:nvCxnSpPr>
      <xdr:spPr>
        <a:xfrm>
          <a:off x="8256604" y="21839999"/>
          <a:ext cx="266334"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160164</xdr:colOff>
      <xdr:row>114</xdr:row>
      <xdr:rowOff>72058</xdr:rowOff>
    </xdr:from>
    <xdr:to>
      <xdr:col>15</xdr:col>
      <xdr:colOff>289199</xdr:colOff>
      <xdr:row>115</xdr:row>
      <xdr:rowOff>144764</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184446" y="20843282"/>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軽油</a:t>
          </a:r>
        </a:p>
      </xdr:txBody>
    </xdr:sp>
    <xdr:clientData/>
  </xdr:twoCellAnchor>
  <xdr:twoCellAnchor>
    <xdr:from>
      <xdr:col>16</xdr:col>
      <xdr:colOff>183442</xdr:colOff>
      <xdr:row>114</xdr:row>
      <xdr:rowOff>72058</xdr:rowOff>
    </xdr:from>
    <xdr:to>
      <xdr:col>18</xdr:col>
      <xdr:colOff>312477</xdr:colOff>
      <xdr:row>115</xdr:row>
      <xdr:rowOff>144764</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7364171" y="20843282"/>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14</xdr:col>
      <xdr:colOff>224681</xdr:colOff>
      <xdr:row>115</xdr:row>
      <xdr:rowOff>144764</xdr:rowOff>
    </xdr:from>
    <xdr:to>
      <xdr:col>14</xdr:col>
      <xdr:colOff>230503</xdr:colOff>
      <xdr:row>118</xdr:row>
      <xdr:rowOff>65136</xdr:rowOff>
    </xdr:to>
    <xdr:cxnSp macro="">
      <xdr:nvCxnSpPr>
        <xdr:cNvPr id="311" name="直線矢印コネクタ 310">
          <a:extLst>
            <a:ext uri="{FF2B5EF4-FFF2-40B4-BE49-F238E27FC236}">
              <a16:creationId xmlns:a16="http://schemas.microsoft.com/office/drawing/2014/main" id="{00000000-0008-0000-0100-000037010000}"/>
            </a:ext>
          </a:extLst>
        </xdr:cNvPr>
        <xdr:cNvCxnSpPr>
          <a:stCxn id="309" idx="2"/>
          <a:endCxn id="297" idx="0"/>
        </xdr:cNvCxnSpPr>
      </xdr:nvCxnSpPr>
      <xdr:spPr>
        <a:xfrm>
          <a:off x="6634446" y="21095282"/>
          <a:ext cx="5822"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240392</xdr:colOff>
      <xdr:row>115</xdr:row>
      <xdr:rowOff>144764</xdr:rowOff>
    </xdr:from>
    <xdr:to>
      <xdr:col>17</xdr:col>
      <xdr:colOff>247959</xdr:colOff>
      <xdr:row>118</xdr:row>
      <xdr:rowOff>65136</xdr:rowOff>
    </xdr:to>
    <xdr:cxnSp macro="">
      <xdr:nvCxnSpPr>
        <xdr:cNvPr id="312" name="直線矢印コネクタ 311">
          <a:extLst>
            <a:ext uri="{FF2B5EF4-FFF2-40B4-BE49-F238E27FC236}">
              <a16:creationId xmlns:a16="http://schemas.microsoft.com/office/drawing/2014/main" id="{00000000-0008-0000-0100-000038010000}"/>
            </a:ext>
          </a:extLst>
        </xdr:cNvPr>
        <xdr:cNvCxnSpPr>
          <a:stCxn id="310" idx="2"/>
          <a:endCxn id="296" idx="0"/>
        </xdr:cNvCxnSpPr>
      </xdr:nvCxnSpPr>
      <xdr:spPr>
        <a:xfrm flipH="1">
          <a:off x="7806604" y="21095282"/>
          <a:ext cx="7567"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574803</xdr:colOff>
      <xdr:row>115</xdr:row>
      <xdr:rowOff>116883</xdr:rowOff>
    </xdr:from>
    <xdr:to>
      <xdr:col>5</xdr:col>
      <xdr:colOff>273532</xdr:colOff>
      <xdr:row>117</xdr:row>
      <xdr:rowOff>10295</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2098803" y="21067401"/>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酸素</a:t>
          </a:r>
        </a:p>
      </xdr:txBody>
    </xdr:sp>
    <xdr:clientData/>
  </xdr:twoCellAnchor>
  <xdr:twoCellAnchor>
    <xdr:from>
      <xdr:col>1</xdr:col>
      <xdr:colOff>197223</xdr:colOff>
      <xdr:row>118</xdr:row>
      <xdr:rowOff>65136</xdr:rowOff>
    </xdr:from>
    <xdr:to>
      <xdr:col>2</xdr:col>
      <xdr:colOff>335223</xdr:colOff>
      <xdr:row>121</xdr:row>
      <xdr:rowOff>100179</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358588" y="21553536"/>
          <a:ext cx="900000" cy="57292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バイオガス</a:t>
          </a:r>
          <a:endParaRPr kumimoji="1" lang="en-US" altLang="ja-JP" sz="1200" b="1">
            <a:solidFill>
              <a:schemeClr val="tx1"/>
            </a:solidFill>
          </a:endParaRPr>
        </a:p>
        <a:p>
          <a:pPr algn="ctr"/>
          <a:r>
            <a:rPr kumimoji="1" lang="ja-JP" altLang="en-US" sz="1200" b="1">
              <a:solidFill>
                <a:schemeClr val="tx1"/>
              </a:solidFill>
            </a:rPr>
            <a:t>（家畜ふん尿）</a:t>
          </a:r>
        </a:p>
      </xdr:txBody>
    </xdr:sp>
    <xdr:clientData/>
  </xdr:twoCellAnchor>
  <xdr:twoCellAnchor>
    <xdr:from>
      <xdr:col>7</xdr:col>
      <xdr:colOff>4415</xdr:colOff>
      <xdr:row>107</xdr:row>
      <xdr:rowOff>73062</xdr:rowOff>
    </xdr:from>
    <xdr:to>
      <xdr:col>7</xdr:col>
      <xdr:colOff>4415</xdr:colOff>
      <xdr:row>127</xdr:row>
      <xdr:rowOff>94800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3715803" y="19589227"/>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157625</xdr:colOff>
      <xdr:row>114</xdr:row>
      <xdr:rowOff>72058</xdr:rowOff>
    </xdr:from>
    <xdr:to>
      <xdr:col>12</xdr:col>
      <xdr:colOff>286660</xdr:colOff>
      <xdr:row>115</xdr:row>
      <xdr:rowOff>144764</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5025460" y="20843282"/>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11</xdr:col>
      <xdr:colOff>220614</xdr:colOff>
      <xdr:row>115</xdr:row>
      <xdr:rowOff>144764</xdr:rowOff>
    </xdr:from>
    <xdr:to>
      <xdr:col>11</xdr:col>
      <xdr:colOff>222142</xdr:colOff>
      <xdr:row>118</xdr:row>
      <xdr:rowOff>65136</xdr:rowOff>
    </xdr:to>
    <xdr:cxnSp macro="">
      <xdr:nvCxnSpPr>
        <xdr:cNvPr id="317" name="直線矢印コネクタ 316">
          <a:extLst>
            <a:ext uri="{FF2B5EF4-FFF2-40B4-BE49-F238E27FC236}">
              <a16:creationId xmlns:a16="http://schemas.microsoft.com/office/drawing/2014/main" id="{00000000-0008-0000-0100-00003D010000}"/>
            </a:ext>
          </a:extLst>
        </xdr:cNvPr>
        <xdr:cNvCxnSpPr>
          <a:stCxn id="316" idx="2"/>
          <a:endCxn id="298" idx="0"/>
        </xdr:cNvCxnSpPr>
      </xdr:nvCxnSpPr>
      <xdr:spPr>
        <a:xfrm flipH="1">
          <a:off x="5473932" y="21095282"/>
          <a:ext cx="1528"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300289</xdr:colOff>
      <xdr:row>119</xdr:row>
      <xdr:rowOff>172305</xdr:rowOff>
    </xdr:from>
    <xdr:to>
      <xdr:col>4</xdr:col>
      <xdr:colOff>566625</xdr:colOff>
      <xdr:row>119</xdr:row>
      <xdr:rowOff>172305</xdr:rowOff>
    </xdr:to>
    <xdr:cxnSp macro="">
      <xdr:nvCxnSpPr>
        <xdr:cNvPr id="318" name="直線矢印コネクタ 317">
          <a:extLst>
            <a:ext uri="{FF2B5EF4-FFF2-40B4-BE49-F238E27FC236}">
              <a16:creationId xmlns:a16="http://schemas.microsoft.com/office/drawing/2014/main" id="{00000000-0008-0000-0100-00003E010000}"/>
            </a:ext>
          </a:extLst>
        </xdr:cNvPr>
        <xdr:cNvCxnSpPr>
          <a:stCxn id="299" idx="3"/>
          <a:endCxn id="300" idx="1"/>
        </xdr:cNvCxnSpPr>
      </xdr:nvCxnSpPr>
      <xdr:spPr>
        <a:xfrm>
          <a:off x="2424924" y="21839999"/>
          <a:ext cx="2663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335223</xdr:colOff>
      <xdr:row>119</xdr:row>
      <xdr:rowOff>172305</xdr:rowOff>
    </xdr:from>
    <xdr:to>
      <xdr:col>3</xdr:col>
      <xdr:colOff>924</xdr:colOff>
      <xdr:row>119</xdr:row>
      <xdr:rowOff>172305</xdr:rowOff>
    </xdr:to>
    <xdr:cxnSp macro="">
      <xdr:nvCxnSpPr>
        <xdr:cNvPr id="319" name="直線矢印コネクタ 318">
          <a:extLst>
            <a:ext uri="{FF2B5EF4-FFF2-40B4-BE49-F238E27FC236}">
              <a16:creationId xmlns:a16="http://schemas.microsoft.com/office/drawing/2014/main" id="{00000000-0008-0000-0100-00003F010000}"/>
            </a:ext>
          </a:extLst>
        </xdr:cNvPr>
        <xdr:cNvCxnSpPr>
          <a:stCxn id="314" idx="3"/>
          <a:endCxn id="299" idx="1"/>
        </xdr:cNvCxnSpPr>
      </xdr:nvCxnSpPr>
      <xdr:spPr>
        <a:xfrm>
          <a:off x="1258588" y="21839999"/>
          <a:ext cx="2663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592574</xdr:colOff>
      <xdr:row>111</xdr:row>
      <xdr:rowOff>128407</xdr:rowOff>
    </xdr:from>
    <xdr:to>
      <xdr:col>5</xdr:col>
      <xdr:colOff>291303</xdr:colOff>
      <xdr:row>113</xdr:row>
      <xdr:rowOff>21819</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2116574" y="20361748"/>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純水</a:t>
          </a:r>
        </a:p>
      </xdr:txBody>
    </xdr:sp>
    <xdr:clientData/>
  </xdr:twoCellAnchor>
  <xdr:twoCellAnchor>
    <xdr:from>
      <xdr:col>3</xdr:col>
      <xdr:colOff>574803</xdr:colOff>
      <xdr:row>113</xdr:row>
      <xdr:rowOff>122646</xdr:rowOff>
    </xdr:from>
    <xdr:to>
      <xdr:col>5</xdr:col>
      <xdr:colOff>273532</xdr:colOff>
      <xdr:row>115</xdr:row>
      <xdr:rowOff>16057</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2098803" y="20714575"/>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窒素</a:t>
          </a:r>
        </a:p>
      </xdr:txBody>
    </xdr:sp>
    <xdr:clientData/>
  </xdr:twoCellAnchor>
  <xdr:twoCellAnchor>
    <xdr:from>
      <xdr:col>3</xdr:col>
      <xdr:colOff>592574</xdr:colOff>
      <xdr:row>109</xdr:row>
      <xdr:rowOff>134168</xdr:rowOff>
    </xdr:from>
    <xdr:to>
      <xdr:col>5</xdr:col>
      <xdr:colOff>291303</xdr:colOff>
      <xdr:row>111</xdr:row>
      <xdr:rowOff>27580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2116574" y="20008921"/>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5</xdr:col>
      <xdr:colOff>291303</xdr:colOff>
      <xdr:row>110</xdr:row>
      <xdr:rowOff>80874</xdr:rowOff>
    </xdr:from>
    <xdr:to>
      <xdr:col>5</xdr:col>
      <xdr:colOff>415989</xdr:colOff>
      <xdr:row>118</xdr:row>
      <xdr:rowOff>65136</xdr:rowOff>
    </xdr:to>
    <xdr:cxnSp macro="">
      <xdr:nvCxnSpPr>
        <xdr:cNvPr id="323" name="カギ線コネクタ 322">
          <a:extLst>
            <a:ext uri="{FF2B5EF4-FFF2-40B4-BE49-F238E27FC236}">
              <a16:creationId xmlns:a16="http://schemas.microsoft.com/office/drawing/2014/main" id="{00000000-0008-0000-0100-000043010000}"/>
            </a:ext>
          </a:extLst>
        </xdr:cNvPr>
        <xdr:cNvCxnSpPr>
          <a:stCxn id="322" idx="3"/>
          <a:endCxn id="300" idx="0"/>
        </xdr:cNvCxnSpPr>
      </xdr:nvCxnSpPr>
      <xdr:spPr>
        <a:xfrm>
          <a:off x="3016574" y="20134921"/>
          <a:ext cx="124686" cy="1418615"/>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291303</xdr:colOff>
      <xdr:row>112</xdr:row>
      <xdr:rowOff>75113</xdr:rowOff>
    </xdr:from>
    <xdr:to>
      <xdr:col>5</xdr:col>
      <xdr:colOff>415989</xdr:colOff>
      <xdr:row>118</xdr:row>
      <xdr:rowOff>65136</xdr:rowOff>
    </xdr:to>
    <xdr:cxnSp macro="">
      <xdr:nvCxnSpPr>
        <xdr:cNvPr id="324" name="カギ線コネクタ 323">
          <a:extLst>
            <a:ext uri="{FF2B5EF4-FFF2-40B4-BE49-F238E27FC236}">
              <a16:creationId xmlns:a16="http://schemas.microsoft.com/office/drawing/2014/main" id="{00000000-0008-0000-0100-000044010000}"/>
            </a:ext>
          </a:extLst>
        </xdr:cNvPr>
        <xdr:cNvCxnSpPr>
          <a:stCxn id="320" idx="3"/>
          <a:endCxn id="300" idx="0"/>
        </xdr:cNvCxnSpPr>
      </xdr:nvCxnSpPr>
      <xdr:spPr>
        <a:xfrm>
          <a:off x="3016574" y="20487748"/>
          <a:ext cx="124686" cy="1065788"/>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273532</xdr:colOff>
      <xdr:row>114</xdr:row>
      <xdr:rowOff>69351</xdr:rowOff>
    </xdr:from>
    <xdr:to>
      <xdr:col>5</xdr:col>
      <xdr:colOff>415989</xdr:colOff>
      <xdr:row>118</xdr:row>
      <xdr:rowOff>65136</xdr:rowOff>
    </xdr:to>
    <xdr:cxnSp macro="">
      <xdr:nvCxnSpPr>
        <xdr:cNvPr id="325" name="カギ線コネクタ 324">
          <a:extLst>
            <a:ext uri="{FF2B5EF4-FFF2-40B4-BE49-F238E27FC236}">
              <a16:creationId xmlns:a16="http://schemas.microsoft.com/office/drawing/2014/main" id="{00000000-0008-0000-0100-000045010000}"/>
            </a:ext>
          </a:extLst>
        </xdr:cNvPr>
        <xdr:cNvCxnSpPr>
          <a:stCxn id="321" idx="3"/>
          <a:endCxn id="300" idx="0"/>
        </xdr:cNvCxnSpPr>
      </xdr:nvCxnSpPr>
      <xdr:spPr>
        <a:xfrm>
          <a:off x="2998803" y="20840575"/>
          <a:ext cx="142457" cy="712961"/>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273532</xdr:colOff>
      <xdr:row>116</xdr:row>
      <xdr:rowOff>63589</xdr:rowOff>
    </xdr:from>
    <xdr:to>
      <xdr:col>5</xdr:col>
      <xdr:colOff>415989</xdr:colOff>
      <xdr:row>118</xdr:row>
      <xdr:rowOff>65136</xdr:rowOff>
    </xdr:to>
    <xdr:cxnSp macro="">
      <xdr:nvCxnSpPr>
        <xdr:cNvPr id="326" name="カギ線コネクタ 325">
          <a:extLst>
            <a:ext uri="{FF2B5EF4-FFF2-40B4-BE49-F238E27FC236}">
              <a16:creationId xmlns:a16="http://schemas.microsoft.com/office/drawing/2014/main" id="{00000000-0008-0000-0100-000046010000}"/>
            </a:ext>
          </a:extLst>
        </xdr:cNvPr>
        <xdr:cNvCxnSpPr>
          <a:stCxn id="313" idx="3"/>
          <a:endCxn id="300" idx="0"/>
        </xdr:cNvCxnSpPr>
      </xdr:nvCxnSpPr>
      <xdr:spPr>
        <a:xfrm>
          <a:off x="2998803" y="21193401"/>
          <a:ext cx="142457" cy="360135"/>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566625</xdr:colOff>
      <xdr:row>124</xdr:row>
      <xdr:rowOff>1804</xdr:rowOff>
    </xdr:from>
    <xdr:to>
      <xdr:col>6</xdr:col>
      <xdr:colOff>265354</xdr:colOff>
      <xdr:row>125</xdr:row>
      <xdr:rowOff>74510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2691260" y="22565969"/>
          <a:ext cx="900000" cy="252000"/>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排水</a:t>
          </a:r>
        </a:p>
      </xdr:txBody>
    </xdr:sp>
    <xdr:clientData/>
  </xdr:twoCellAnchor>
  <xdr:twoCellAnchor>
    <xdr:from>
      <xdr:col>5</xdr:col>
      <xdr:colOff>415989</xdr:colOff>
      <xdr:row>121</xdr:row>
      <xdr:rowOff>100179</xdr:rowOff>
    </xdr:from>
    <xdr:to>
      <xdr:col>5</xdr:col>
      <xdr:colOff>415989</xdr:colOff>
      <xdr:row>124</xdr:row>
      <xdr:rowOff>1804</xdr:rowOff>
    </xdr:to>
    <xdr:cxnSp macro="">
      <xdr:nvCxnSpPr>
        <xdr:cNvPr id="328" name="直線矢印コネクタ 327">
          <a:extLst>
            <a:ext uri="{FF2B5EF4-FFF2-40B4-BE49-F238E27FC236}">
              <a16:creationId xmlns:a16="http://schemas.microsoft.com/office/drawing/2014/main" id="{00000000-0008-0000-0100-000048010000}"/>
            </a:ext>
          </a:extLst>
        </xdr:cNvPr>
        <xdr:cNvCxnSpPr>
          <a:stCxn id="300" idx="2"/>
          <a:endCxn id="327" idx="0"/>
        </xdr:cNvCxnSpPr>
      </xdr:nvCxnSpPr>
      <xdr:spPr>
        <a:xfrm>
          <a:off x="3141260" y="22126461"/>
          <a:ext cx="0" cy="439508"/>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9891</xdr:colOff>
      <xdr:row>113</xdr:row>
      <xdr:rowOff>129124</xdr:rowOff>
    </xdr:from>
    <xdr:to>
      <xdr:col>3</xdr:col>
      <xdr:colOff>309256</xdr:colOff>
      <xdr:row>115</xdr:row>
      <xdr:rowOff>22535</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933256" y="20721053"/>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窒素</a:t>
          </a:r>
        </a:p>
      </xdr:txBody>
    </xdr:sp>
    <xdr:clientData/>
  </xdr:twoCellAnchor>
  <xdr:twoCellAnchor>
    <xdr:from>
      <xdr:col>2</xdr:col>
      <xdr:colOff>27662</xdr:colOff>
      <xdr:row>109</xdr:row>
      <xdr:rowOff>140647</xdr:rowOff>
    </xdr:from>
    <xdr:to>
      <xdr:col>3</xdr:col>
      <xdr:colOff>327027</xdr:colOff>
      <xdr:row>111</xdr:row>
      <xdr:rowOff>34059</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951027" y="20015400"/>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2</xdr:col>
      <xdr:colOff>9891</xdr:colOff>
      <xdr:row>111</xdr:row>
      <xdr:rowOff>134886</xdr:rowOff>
    </xdr:from>
    <xdr:to>
      <xdr:col>3</xdr:col>
      <xdr:colOff>309256</xdr:colOff>
      <xdr:row>113</xdr:row>
      <xdr:rowOff>28298</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933256" y="20368227"/>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冷却水</a:t>
          </a:r>
        </a:p>
      </xdr:txBody>
    </xdr:sp>
    <xdr:clientData/>
  </xdr:twoCellAnchor>
  <xdr:twoCellAnchor>
    <xdr:from>
      <xdr:col>3</xdr:col>
      <xdr:colOff>327027</xdr:colOff>
      <xdr:row>110</xdr:row>
      <xdr:rowOff>87353</xdr:rowOff>
    </xdr:from>
    <xdr:to>
      <xdr:col>3</xdr:col>
      <xdr:colOff>450924</xdr:colOff>
      <xdr:row>118</xdr:row>
      <xdr:rowOff>65136</xdr:rowOff>
    </xdr:to>
    <xdr:cxnSp macro="">
      <xdr:nvCxnSpPr>
        <xdr:cNvPr id="332" name="カギ線コネクタ 331">
          <a:extLst>
            <a:ext uri="{FF2B5EF4-FFF2-40B4-BE49-F238E27FC236}">
              <a16:creationId xmlns:a16="http://schemas.microsoft.com/office/drawing/2014/main" id="{00000000-0008-0000-0100-00004C010000}"/>
            </a:ext>
          </a:extLst>
        </xdr:cNvPr>
        <xdr:cNvCxnSpPr>
          <a:stCxn id="330" idx="3"/>
          <a:endCxn id="299" idx="0"/>
        </xdr:cNvCxnSpPr>
      </xdr:nvCxnSpPr>
      <xdr:spPr>
        <a:xfrm>
          <a:off x="1851027" y="20141400"/>
          <a:ext cx="123897" cy="1412136"/>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309256</xdr:colOff>
      <xdr:row>112</xdr:row>
      <xdr:rowOff>81592</xdr:rowOff>
    </xdr:from>
    <xdr:to>
      <xdr:col>3</xdr:col>
      <xdr:colOff>450924</xdr:colOff>
      <xdr:row>118</xdr:row>
      <xdr:rowOff>65136</xdr:rowOff>
    </xdr:to>
    <xdr:cxnSp macro="">
      <xdr:nvCxnSpPr>
        <xdr:cNvPr id="333" name="カギ線コネクタ 332">
          <a:extLst>
            <a:ext uri="{FF2B5EF4-FFF2-40B4-BE49-F238E27FC236}">
              <a16:creationId xmlns:a16="http://schemas.microsoft.com/office/drawing/2014/main" id="{00000000-0008-0000-0100-00004D010000}"/>
            </a:ext>
          </a:extLst>
        </xdr:cNvPr>
        <xdr:cNvCxnSpPr>
          <a:stCxn id="331" idx="3"/>
          <a:endCxn id="299" idx="0"/>
        </xdr:cNvCxnSpPr>
      </xdr:nvCxnSpPr>
      <xdr:spPr>
        <a:xfrm>
          <a:off x="1833256" y="20494227"/>
          <a:ext cx="141668" cy="1059309"/>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309256</xdr:colOff>
      <xdr:row>114</xdr:row>
      <xdr:rowOff>75829</xdr:rowOff>
    </xdr:from>
    <xdr:to>
      <xdr:col>3</xdr:col>
      <xdr:colOff>450924</xdr:colOff>
      <xdr:row>118</xdr:row>
      <xdr:rowOff>65136</xdr:rowOff>
    </xdr:to>
    <xdr:cxnSp macro="">
      <xdr:nvCxnSpPr>
        <xdr:cNvPr id="334" name="カギ線コネクタ 333">
          <a:extLst>
            <a:ext uri="{FF2B5EF4-FFF2-40B4-BE49-F238E27FC236}">
              <a16:creationId xmlns:a16="http://schemas.microsoft.com/office/drawing/2014/main" id="{00000000-0008-0000-0100-00004E010000}"/>
            </a:ext>
          </a:extLst>
        </xdr:cNvPr>
        <xdr:cNvCxnSpPr>
          <a:stCxn id="329" idx="3"/>
          <a:endCxn id="299" idx="0"/>
        </xdr:cNvCxnSpPr>
      </xdr:nvCxnSpPr>
      <xdr:spPr>
        <a:xfrm>
          <a:off x="1833256" y="20847053"/>
          <a:ext cx="141668" cy="706483"/>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428133</xdr:colOff>
      <xdr:row>85</xdr:row>
      <xdr:rowOff>116539</xdr:rowOff>
    </xdr:from>
    <xdr:to>
      <xdr:col>4</xdr:col>
      <xdr:colOff>597652</xdr:colOff>
      <xdr:row>87</xdr:row>
      <xdr:rowOff>117951</xdr:rowOff>
    </xdr:to>
    <xdr:grpSp>
      <xdr:nvGrpSpPr>
        <xdr:cNvPr id="343" name="グループ化 342">
          <a:extLst>
            <a:ext uri="{FF2B5EF4-FFF2-40B4-BE49-F238E27FC236}">
              <a16:creationId xmlns:a16="http://schemas.microsoft.com/office/drawing/2014/main" id="{00000000-0008-0000-0100-000057010000}"/>
            </a:ext>
          </a:extLst>
        </xdr:cNvPr>
        <xdr:cNvGrpSpPr/>
      </xdr:nvGrpSpPr>
      <xdr:grpSpPr>
        <a:xfrm>
          <a:off x="591419" y="15302110"/>
          <a:ext cx="2128947" cy="349755"/>
          <a:chOff x="1677060" y="1500900"/>
          <a:chExt cx="3816000" cy="360000"/>
        </a:xfrm>
      </xdr:grpSpPr>
      <xdr:sp macro="" textlink="">
        <xdr:nvSpPr>
          <xdr:cNvPr id="393" name="正方形/長方形 392">
            <a:extLst>
              <a:ext uri="{FF2B5EF4-FFF2-40B4-BE49-F238E27FC236}">
                <a16:creationId xmlns:a16="http://schemas.microsoft.com/office/drawing/2014/main" id="{00000000-0008-0000-0100-000089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製造段階</a:t>
            </a:r>
            <a:endParaRPr lang="en-US" altLang="ja-JP" sz="1200">
              <a:solidFill>
                <a:schemeClr val="tx1"/>
              </a:solidFill>
            </a:endParaRPr>
          </a:p>
        </xdr:txBody>
      </xdr:sp>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597651</xdr:colOff>
      <xdr:row>85</xdr:row>
      <xdr:rowOff>116539</xdr:rowOff>
    </xdr:from>
    <xdr:to>
      <xdr:col>13</xdr:col>
      <xdr:colOff>201213</xdr:colOff>
      <xdr:row>87</xdr:row>
      <xdr:rowOff>117951</xdr:rowOff>
    </xdr:to>
    <xdr:grpSp>
      <xdr:nvGrpSpPr>
        <xdr:cNvPr id="344" name="グループ化 343">
          <a:extLst>
            <a:ext uri="{FF2B5EF4-FFF2-40B4-BE49-F238E27FC236}">
              <a16:creationId xmlns:a16="http://schemas.microsoft.com/office/drawing/2014/main" id="{00000000-0008-0000-0100-000058010000}"/>
            </a:ext>
          </a:extLst>
        </xdr:cNvPr>
        <xdr:cNvGrpSpPr/>
      </xdr:nvGrpSpPr>
      <xdr:grpSpPr>
        <a:xfrm>
          <a:off x="2720365" y="15302110"/>
          <a:ext cx="3544191" cy="349755"/>
          <a:chOff x="1677060" y="1500900"/>
          <a:chExt cx="3816000" cy="360000"/>
        </a:xfrm>
      </xdr:grpSpPr>
      <xdr:sp macro="" textlink="">
        <xdr:nvSpPr>
          <xdr:cNvPr id="391" name="正方形/長方形 390">
            <a:extLst>
              <a:ext uri="{FF2B5EF4-FFF2-40B4-BE49-F238E27FC236}">
                <a16:creationId xmlns:a16="http://schemas.microsoft.com/office/drawing/2014/main" id="{00000000-0008-0000-0100-000087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貯蔵・輸送段階</a:t>
            </a:r>
            <a:endParaRPr lang="en-US" altLang="ja-JP" sz="1200">
              <a:solidFill>
                <a:schemeClr val="tx1"/>
              </a:solidFill>
            </a:endParaRPr>
          </a:p>
        </xdr:txBody>
      </xdr:sp>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201212</xdr:colOff>
      <xdr:row>85</xdr:row>
      <xdr:rowOff>116539</xdr:rowOff>
    </xdr:from>
    <xdr:to>
      <xdr:col>19</xdr:col>
      <xdr:colOff>191111</xdr:colOff>
      <xdr:row>87</xdr:row>
      <xdr:rowOff>117951</xdr:rowOff>
    </xdr:to>
    <xdr:grpSp>
      <xdr:nvGrpSpPr>
        <xdr:cNvPr id="345" name="グループ化 344">
          <a:extLst>
            <a:ext uri="{FF2B5EF4-FFF2-40B4-BE49-F238E27FC236}">
              <a16:creationId xmlns:a16="http://schemas.microsoft.com/office/drawing/2014/main" id="{00000000-0008-0000-0100-000059010000}"/>
            </a:ext>
          </a:extLst>
        </xdr:cNvPr>
        <xdr:cNvGrpSpPr/>
      </xdr:nvGrpSpPr>
      <xdr:grpSpPr>
        <a:xfrm>
          <a:off x="6264555" y="15302110"/>
          <a:ext cx="2341213" cy="349755"/>
          <a:chOff x="1677060" y="1500900"/>
          <a:chExt cx="3816000" cy="360000"/>
        </a:xfrm>
      </xdr:grpSpPr>
      <xdr:sp macro="" textlink="">
        <xdr:nvSpPr>
          <xdr:cNvPr id="389" name="正方形/長方形 388">
            <a:extLst>
              <a:ext uri="{FF2B5EF4-FFF2-40B4-BE49-F238E27FC236}">
                <a16:creationId xmlns:a16="http://schemas.microsoft.com/office/drawing/2014/main" id="{00000000-0008-0000-0100-000085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供給段階</a:t>
            </a:r>
            <a:endParaRPr lang="en-US" altLang="ja-JP" sz="1200">
              <a:solidFill>
                <a:schemeClr val="tx1"/>
              </a:solidFill>
            </a:endParaRPr>
          </a:p>
        </xdr:txBody>
      </xdr:sp>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191112</xdr:colOff>
      <xdr:row>85</xdr:row>
      <xdr:rowOff>116539</xdr:rowOff>
    </xdr:from>
    <xdr:to>
      <xdr:col>21</xdr:col>
      <xdr:colOff>190857</xdr:colOff>
      <xdr:row>87</xdr:row>
      <xdr:rowOff>117951</xdr:rowOff>
    </xdr:to>
    <xdr:grpSp>
      <xdr:nvGrpSpPr>
        <xdr:cNvPr id="346" name="グループ化 345">
          <a:extLst>
            <a:ext uri="{FF2B5EF4-FFF2-40B4-BE49-F238E27FC236}">
              <a16:creationId xmlns:a16="http://schemas.microsoft.com/office/drawing/2014/main" id="{00000000-0008-0000-0100-00005A010000}"/>
            </a:ext>
          </a:extLst>
        </xdr:cNvPr>
        <xdr:cNvGrpSpPr/>
      </xdr:nvGrpSpPr>
      <xdr:grpSpPr>
        <a:xfrm>
          <a:off x="8605769" y="15302110"/>
          <a:ext cx="1066545" cy="349755"/>
          <a:chOff x="1677060" y="1500900"/>
          <a:chExt cx="3816000" cy="360000"/>
        </a:xfrm>
      </xdr:grpSpPr>
      <xdr:sp macro="" textlink="">
        <xdr:nvSpPr>
          <xdr:cNvPr id="387" name="正方形/長方形 386">
            <a:extLst>
              <a:ext uri="{FF2B5EF4-FFF2-40B4-BE49-F238E27FC236}">
                <a16:creationId xmlns:a16="http://schemas.microsoft.com/office/drawing/2014/main" id="{00000000-0008-0000-0100-000083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利用段階</a:t>
            </a:r>
            <a:endParaRPr lang="en-US" altLang="ja-JP" sz="1200">
              <a:solidFill>
                <a:schemeClr val="tx1"/>
              </a:solidFill>
            </a:endParaRPr>
          </a:p>
        </xdr:txBody>
      </xdr:sp>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357657</xdr:colOff>
      <xdr:row>96</xdr:row>
      <xdr:rowOff>100992</xdr:rowOff>
    </xdr:from>
    <xdr:to>
      <xdr:col>21</xdr:col>
      <xdr:colOff>190857</xdr:colOff>
      <xdr:row>99</xdr:row>
      <xdr:rowOff>78728</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694833"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定置用</a:t>
          </a:r>
          <a:endParaRPr kumimoji="1" lang="en-US" altLang="ja-JP" sz="1200" b="1">
            <a:solidFill>
              <a:schemeClr val="tx1"/>
            </a:solidFill>
          </a:endParaRPr>
        </a:p>
        <a:p>
          <a:pPr algn="ctr"/>
          <a:r>
            <a:rPr kumimoji="1" lang="ja-JP" altLang="en-US" sz="1200" b="1">
              <a:solidFill>
                <a:schemeClr val="tx1"/>
              </a:solidFill>
            </a:rPr>
            <a:t>燃料電池</a:t>
          </a:r>
        </a:p>
      </xdr:txBody>
    </xdr:sp>
    <xdr:clientData/>
  </xdr:twoCellAnchor>
  <xdr:twoCellAnchor>
    <xdr:from>
      <xdr:col>16</xdr:col>
      <xdr:colOff>346370</xdr:colOff>
      <xdr:row>96</xdr:row>
      <xdr:rowOff>100992</xdr:rowOff>
    </xdr:from>
    <xdr:to>
      <xdr:col>19</xdr:col>
      <xdr:colOff>89923</xdr:colOff>
      <xdr:row>99</xdr:row>
      <xdr:rowOff>78728</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7527099"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r>
            <a:rPr kumimoji="1" lang="en-US" altLang="ja-JP" sz="1200" b="1">
              <a:solidFill>
                <a:schemeClr val="tx1"/>
              </a:solidFill>
            </a:rPr>
            <a:t>ST</a:t>
          </a:r>
          <a:endParaRPr kumimoji="1" lang="ja-JP" altLang="en-US" sz="1200" b="1">
            <a:solidFill>
              <a:schemeClr val="tx1"/>
            </a:solidFill>
          </a:endParaRPr>
        </a:p>
      </xdr:txBody>
    </xdr:sp>
    <xdr:clientData/>
  </xdr:twoCellAnchor>
  <xdr:twoCellAnchor>
    <xdr:from>
      <xdr:col>13</xdr:col>
      <xdr:colOff>335081</xdr:colOff>
      <xdr:row>96</xdr:row>
      <xdr:rowOff>100992</xdr:rowOff>
    </xdr:from>
    <xdr:to>
      <xdr:col>16</xdr:col>
      <xdr:colOff>78634</xdr:colOff>
      <xdr:row>99</xdr:row>
      <xdr:rowOff>78728</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6359363"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圧縮機</a:t>
          </a:r>
        </a:p>
      </xdr:txBody>
    </xdr:sp>
    <xdr:clientData/>
  </xdr:twoCellAnchor>
  <xdr:twoCellAnchor>
    <xdr:from>
      <xdr:col>10</xdr:col>
      <xdr:colOff>323792</xdr:colOff>
      <xdr:row>96</xdr:row>
      <xdr:rowOff>100992</xdr:rowOff>
    </xdr:from>
    <xdr:to>
      <xdr:col>13</xdr:col>
      <xdr:colOff>67345</xdr:colOff>
      <xdr:row>99</xdr:row>
      <xdr:rowOff>78728</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5191627"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液化貯蔵</a:t>
          </a:r>
          <a:endParaRPr kumimoji="1" lang="en-US" altLang="ja-JP" sz="1200" b="1">
            <a:solidFill>
              <a:schemeClr val="tx1"/>
            </a:solidFill>
          </a:endParaRPr>
        </a:p>
      </xdr:txBody>
    </xdr:sp>
    <xdr:clientData/>
  </xdr:twoCellAnchor>
  <xdr:twoCellAnchor>
    <xdr:from>
      <xdr:col>3</xdr:col>
      <xdr:colOff>291623</xdr:colOff>
      <xdr:row>96</xdr:row>
      <xdr:rowOff>100992</xdr:rowOff>
    </xdr:from>
    <xdr:to>
      <xdr:col>4</xdr:col>
      <xdr:colOff>463783</xdr:colOff>
      <xdr:row>99</xdr:row>
      <xdr:rowOff>78728</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815623" y="17644921"/>
          <a:ext cx="772795" cy="515619"/>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xdr:txBody>
    </xdr:sp>
    <xdr:clientData/>
  </xdr:twoCellAnchor>
  <xdr:twoCellAnchor>
    <xdr:from>
      <xdr:col>1</xdr:col>
      <xdr:colOff>484220</xdr:colOff>
      <xdr:row>96</xdr:row>
      <xdr:rowOff>100992</xdr:rowOff>
    </xdr:from>
    <xdr:to>
      <xdr:col>3</xdr:col>
      <xdr:colOff>21585</xdr:colOff>
      <xdr:row>99</xdr:row>
      <xdr:rowOff>78728</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645585"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苛性ソーダ</a:t>
          </a:r>
          <a:endParaRPr kumimoji="1" lang="en-US" altLang="ja-JP" sz="1200" b="1">
            <a:solidFill>
              <a:schemeClr val="tx1"/>
            </a:solidFill>
          </a:endParaRPr>
        </a:p>
        <a:p>
          <a:pPr algn="ctr"/>
          <a:r>
            <a:rPr kumimoji="1" lang="ja-JP" altLang="en-US" sz="1200" b="1">
              <a:solidFill>
                <a:schemeClr val="tx1"/>
              </a:solidFill>
            </a:rPr>
            <a:t>プラント</a:t>
          </a:r>
        </a:p>
      </xdr:txBody>
    </xdr:sp>
    <xdr:clientData/>
  </xdr:twoCellAnchor>
  <xdr:twoCellAnchor>
    <xdr:from>
      <xdr:col>5</xdr:col>
      <xdr:colOff>130884</xdr:colOff>
      <xdr:row>96</xdr:row>
      <xdr:rowOff>100992</xdr:rowOff>
    </xdr:from>
    <xdr:to>
      <xdr:col>7</xdr:col>
      <xdr:colOff>44767</xdr:colOff>
      <xdr:row>99</xdr:row>
      <xdr:rowOff>78728</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2856155"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液化設備</a:t>
          </a:r>
          <a:endParaRPr kumimoji="1" lang="en-US" altLang="ja-JP" sz="1200" b="1">
            <a:solidFill>
              <a:schemeClr val="tx1"/>
            </a:solidFill>
          </a:endParaRPr>
        </a:p>
      </xdr:txBody>
    </xdr:sp>
    <xdr:clientData/>
  </xdr:twoCellAnchor>
  <xdr:twoCellAnchor>
    <xdr:from>
      <xdr:col>7</xdr:col>
      <xdr:colOff>312503</xdr:colOff>
      <xdr:row>96</xdr:row>
      <xdr:rowOff>100992</xdr:rowOff>
    </xdr:from>
    <xdr:to>
      <xdr:col>10</xdr:col>
      <xdr:colOff>56056</xdr:colOff>
      <xdr:row>99</xdr:row>
      <xdr:rowOff>78728</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4023891"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液化</a:t>
          </a:r>
          <a:endParaRPr kumimoji="1" lang="en-US" altLang="ja-JP" sz="1200" b="1">
            <a:solidFill>
              <a:schemeClr val="tx1"/>
            </a:solidFill>
          </a:endParaRPr>
        </a:p>
        <a:p>
          <a:pPr algn="ctr"/>
          <a:r>
            <a:rPr kumimoji="1" lang="ja-JP" altLang="en-US" sz="1200" b="1">
              <a:solidFill>
                <a:schemeClr val="tx1"/>
              </a:solidFill>
            </a:rPr>
            <a:t>ローリー</a:t>
          </a:r>
          <a:endParaRPr kumimoji="1" lang="en-US" altLang="ja-JP" sz="1200" b="1">
            <a:solidFill>
              <a:schemeClr val="tx1"/>
            </a:solidFill>
          </a:endParaRPr>
        </a:p>
      </xdr:txBody>
    </xdr:sp>
    <xdr:clientData/>
  </xdr:twoCellAnchor>
  <xdr:twoCellAnchor>
    <xdr:from>
      <xdr:col>13</xdr:col>
      <xdr:colOff>201213</xdr:colOff>
      <xdr:row>85</xdr:row>
      <xdr:rowOff>108918</xdr:rowOff>
    </xdr:from>
    <xdr:to>
      <xdr:col>13</xdr:col>
      <xdr:colOff>201213</xdr:colOff>
      <xdr:row>105</xdr:row>
      <xdr:rowOff>130656</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6225495" y="15680612"/>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191112</xdr:colOff>
      <xdr:row>85</xdr:row>
      <xdr:rowOff>108918</xdr:rowOff>
    </xdr:from>
    <xdr:to>
      <xdr:col>19</xdr:col>
      <xdr:colOff>191112</xdr:colOff>
      <xdr:row>105</xdr:row>
      <xdr:rowOff>130656</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8528288" y="15680612"/>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21585</xdr:colOff>
      <xdr:row>98</xdr:row>
      <xdr:rowOff>213</xdr:rowOff>
    </xdr:from>
    <xdr:to>
      <xdr:col>3</xdr:col>
      <xdr:colOff>291623</xdr:colOff>
      <xdr:row>98</xdr:row>
      <xdr:rowOff>213</xdr:rowOff>
    </xdr:to>
    <xdr:cxnSp macro="">
      <xdr:nvCxnSpPr>
        <xdr:cNvPr id="357" name="直線矢印コネクタ 356">
          <a:extLst>
            <a:ext uri="{FF2B5EF4-FFF2-40B4-BE49-F238E27FC236}">
              <a16:creationId xmlns:a16="http://schemas.microsoft.com/office/drawing/2014/main" id="{00000000-0008-0000-0100-000065010000}"/>
            </a:ext>
          </a:extLst>
        </xdr:cNvPr>
        <xdr:cNvCxnSpPr>
          <a:stCxn id="352" idx="3"/>
          <a:endCxn id="351" idx="1"/>
        </xdr:cNvCxnSpPr>
      </xdr:nvCxnSpPr>
      <xdr:spPr>
        <a:xfrm>
          <a:off x="1545585" y="17902731"/>
          <a:ext cx="270038"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463783</xdr:colOff>
      <xdr:row>98</xdr:row>
      <xdr:rowOff>213</xdr:rowOff>
    </xdr:from>
    <xdr:to>
      <xdr:col>5</xdr:col>
      <xdr:colOff>130884</xdr:colOff>
      <xdr:row>98</xdr:row>
      <xdr:rowOff>213</xdr:rowOff>
    </xdr:to>
    <xdr:cxnSp macro="">
      <xdr:nvCxnSpPr>
        <xdr:cNvPr id="358" name="直線矢印コネクタ 357">
          <a:extLst>
            <a:ext uri="{FF2B5EF4-FFF2-40B4-BE49-F238E27FC236}">
              <a16:creationId xmlns:a16="http://schemas.microsoft.com/office/drawing/2014/main" id="{00000000-0008-0000-0100-000066010000}"/>
            </a:ext>
          </a:extLst>
        </xdr:cNvPr>
        <xdr:cNvCxnSpPr>
          <a:stCxn id="351" idx="3"/>
          <a:endCxn id="353" idx="1"/>
        </xdr:cNvCxnSpPr>
      </xdr:nvCxnSpPr>
      <xdr:spPr>
        <a:xfrm>
          <a:off x="2588418" y="17902731"/>
          <a:ext cx="267737"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xdr:colOff>
      <xdr:row>98</xdr:row>
      <xdr:rowOff>213</xdr:rowOff>
    </xdr:from>
    <xdr:to>
      <xdr:col>7</xdr:col>
      <xdr:colOff>312503</xdr:colOff>
      <xdr:row>98</xdr:row>
      <xdr:rowOff>213</xdr:rowOff>
    </xdr:to>
    <xdr:cxnSp macro="">
      <xdr:nvCxnSpPr>
        <xdr:cNvPr id="359" name="直線矢印コネクタ 358">
          <a:extLst>
            <a:ext uri="{FF2B5EF4-FFF2-40B4-BE49-F238E27FC236}">
              <a16:creationId xmlns:a16="http://schemas.microsoft.com/office/drawing/2014/main" id="{00000000-0008-0000-0100-000067010000}"/>
            </a:ext>
          </a:extLst>
        </xdr:cNvPr>
        <xdr:cNvCxnSpPr>
          <a:stCxn id="353" idx="3"/>
          <a:endCxn id="354" idx="1"/>
        </xdr:cNvCxnSpPr>
      </xdr:nvCxnSpPr>
      <xdr:spPr>
        <a:xfrm>
          <a:off x="3756155" y="17902731"/>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56056</xdr:colOff>
      <xdr:row>98</xdr:row>
      <xdr:rowOff>213</xdr:rowOff>
    </xdr:from>
    <xdr:to>
      <xdr:col>10</xdr:col>
      <xdr:colOff>323792</xdr:colOff>
      <xdr:row>98</xdr:row>
      <xdr:rowOff>213</xdr:rowOff>
    </xdr:to>
    <xdr:cxnSp macro="">
      <xdr:nvCxnSpPr>
        <xdr:cNvPr id="360" name="直線矢印コネクタ 359">
          <a:extLst>
            <a:ext uri="{FF2B5EF4-FFF2-40B4-BE49-F238E27FC236}">
              <a16:creationId xmlns:a16="http://schemas.microsoft.com/office/drawing/2014/main" id="{00000000-0008-0000-0100-000068010000}"/>
            </a:ext>
          </a:extLst>
        </xdr:cNvPr>
        <xdr:cNvCxnSpPr>
          <a:stCxn id="354" idx="3"/>
          <a:endCxn id="350" idx="1"/>
        </xdr:cNvCxnSpPr>
      </xdr:nvCxnSpPr>
      <xdr:spPr>
        <a:xfrm>
          <a:off x="4923891" y="17902731"/>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67345</xdr:colOff>
      <xdr:row>98</xdr:row>
      <xdr:rowOff>213</xdr:rowOff>
    </xdr:from>
    <xdr:to>
      <xdr:col>13</xdr:col>
      <xdr:colOff>335081</xdr:colOff>
      <xdr:row>98</xdr:row>
      <xdr:rowOff>213</xdr:rowOff>
    </xdr:to>
    <xdr:cxnSp macro="">
      <xdr:nvCxnSpPr>
        <xdr:cNvPr id="361" name="直線矢印コネクタ 360">
          <a:extLst>
            <a:ext uri="{FF2B5EF4-FFF2-40B4-BE49-F238E27FC236}">
              <a16:creationId xmlns:a16="http://schemas.microsoft.com/office/drawing/2014/main" id="{00000000-0008-0000-0100-000069010000}"/>
            </a:ext>
          </a:extLst>
        </xdr:cNvPr>
        <xdr:cNvCxnSpPr>
          <a:stCxn id="350" idx="3"/>
          <a:endCxn id="349" idx="1"/>
        </xdr:cNvCxnSpPr>
      </xdr:nvCxnSpPr>
      <xdr:spPr>
        <a:xfrm>
          <a:off x="6091627" y="17902731"/>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78634</xdr:colOff>
      <xdr:row>98</xdr:row>
      <xdr:rowOff>213</xdr:rowOff>
    </xdr:from>
    <xdr:to>
      <xdr:col>16</xdr:col>
      <xdr:colOff>346370</xdr:colOff>
      <xdr:row>98</xdr:row>
      <xdr:rowOff>213</xdr:rowOff>
    </xdr:to>
    <xdr:cxnSp macro="">
      <xdr:nvCxnSpPr>
        <xdr:cNvPr id="362" name="直線矢印コネクタ 361">
          <a:extLst>
            <a:ext uri="{FF2B5EF4-FFF2-40B4-BE49-F238E27FC236}">
              <a16:creationId xmlns:a16="http://schemas.microsoft.com/office/drawing/2014/main" id="{00000000-0008-0000-0100-00006A010000}"/>
            </a:ext>
          </a:extLst>
        </xdr:cNvPr>
        <xdr:cNvCxnSpPr>
          <a:stCxn id="349" idx="3"/>
          <a:endCxn id="348" idx="1"/>
        </xdr:cNvCxnSpPr>
      </xdr:nvCxnSpPr>
      <xdr:spPr>
        <a:xfrm>
          <a:off x="7259363" y="17902731"/>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89923</xdr:colOff>
      <xdr:row>98</xdr:row>
      <xdr:rowOff>213</xdr:rowOff>
    </xdr:from>
    <xdr:to>
      <xdr:col>19</xdr:col>
      <xdr:colOff>357657</xdr:colOff>
      <xdr:row>98</xdr:row>
      <xdr:rowOff>213</xdr:rowOff>
    </xdr:to>
    <xdr:cxnSp macro="">
      <xdr:nvCxnSpPr>
        <xdr:cNvPr id="363" name="直線矢印コネクタ 362">
          <a:extLst>
            <a:ext uri="{FF2B5EF4-FFF2-40B4-BE49-F238E27FC236}">
              <a16:creationId xmlns:a16="http://schemas.microsoft.com/office/drawing/2014/main" id="{00000000-0008-0000-0100-00006B010000}"/>
            </a:ext>
          </a:extLst>
        </xdr:cNvPr>
        <xdr:cNvCxnSpPr>
          <a:stCxn id="348" idx="3"/>
          <a:endCxn id="347" idx="1"/>
        </xdr:cNvCxnSpPr>
      </xdr:nvCxnSpPr>
      <xdr:spPr>
        <a:xfrm>
          <a:off x="8427099" y="17902731"/>
          <a:ext cx="267734"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310992</xdr:colOff>
      <xdr:row>92</xdr:row>
      <xdr:rowOff>107914</xdr:rowOff>
    </xdr:from>
    <xdr:to>
      <xdr:col>10</xdr:col>
      <xdr:colOff>54545</xdr:colOff>
      <xdr:row>94</xdr:row>
      <xdr:rowOff>1326</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4022380" y="16934667"/>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軽油</a:t>
          </a:r>
        </a:p>
      </xdr:txBody>
    </xdr:sp>
    <xdr:clientData/>
  </xdr:twoCellAnchor>
  <xdr:twoCellAnchor>
    <xdr:from>
      <xdr:col>13</xdr:col>
      <xdr:colOff>332059</xdr:colOff>
      <xdr:row>92</xdr:row>
      <xdr:rowOff>107914</xdr:rowOff>
    </xdr:from>
    <xdr:to>
      <xdr:col>16</xdr:col>
      <xdr:colOff>75612</xdr:colOff>
      <xdr:row>94</xdr:row>
      <xdr:rowOff>1326</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6356341" y="16934667"/>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16</xdr:col>
      <xdr:colOff>355337</xdr:colOff>
      <xdr:row>92</xdr:row>
      <xdr:rowOff>107914</xdr:rowOff>
    </xdr:from>
    <xdr:to>
      <xdr:col>19</xdr:col>
      <xdr:colOff>98890</xdr:colOff>
      <xdr:row>94</xdr:row>
      <xdr:rowOff>1326</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536066" y="16934667"/>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8</xdr:col>
      <xdr:colOff>375509</xdr:colOff>
      <xdr:row>94</xdr:row>
      <xdr:rowOff>1326</xdr:rowOff>
    </xdr:from>
    <xdr:to>
      <xdr:col>8</xdr:col>
      <xdr:colOff>377020</xdr:colOff>
      <xdr:row>96</xdr:row>
      <xdr:rowOff>100992</xdr:rowOff>
    </xdr:to>
    <xdr:cxnSp macro="">
      <xdr:nvCxnSpPr>
        <xdr:cNvPr id="367" name="直線矢印コネクタ 366">
          <a:extLst>
            <a:ext uri="{FF2B5EF4-FFF2-40B4-BE49-F238E27FC236}">
              <a16:creationId xmlns:a16="http://schemas.microsoft.com/office/drawing/2014/main" id="{00000000-0008-0000-0100-00006F010000}"/>
            </a:ext>
          </a:extLst>
        </xdr:cNvPr>
        <xdr:cNvCxnSpPr>
          <a:stCxn id="364" idx="2"/>
          <a:endCxn id="354" idx="0"/>
        </xdr:cNvCxnSpPr>
      </xdr:nvCxnSpPr>
      <xdr:spPr>
        <a:xfrm>
          <a:off x="4472380" y="17186667"/>
          <a:ext cx="1511"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11094</xdr:colOff>
      <xdr:row>94</xdr:row>
      <xdr:rowOff>1326</xdr:rowOff>
    </xdr:from>
    <xdr:to>
      <xdr:col>15</xdr:col>
      <xdr:colOff>14116</xdr:colOff>
      <xdr:row>96</xdr:row>
      <xdr:rowOff>100992</xdr:rowOff>
    </xdr:to>
    <xdr:cxnSp macro="">
      <xdr:nvCxnSpPr>
        <xdr:cNvPr id="368" name="直線矢印コネクタ 367">
          <a:extLst>
            <a:ext uri="{FF2B5EF4-FFF2-40B4-BE49-F238E27FC236}">
              <a16:creationId xmlns:a16="http://schemas.microsoft.com/office/drawing/2014/main" id="{00000000-0008-0000-0100-000070010000}"/>
            </a:ext>
          </a:extLst>
        </xdr:cNvPr>
        <xdr:cNvCxnSpPr>
          <a:stCxn id="365" idx="2"/>
          <a:endCxn id="349" idx="0"/>
        </xdr:cNvCxnSpPr>
      </xdr:nvCxnSpPr>
      <xdr:spPr>
        <a:xfrm>
          <a:off x="6806341" y="17186667"/>
          <a:ext cx="3022"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25405</xdr:colOff>
      <xdr:row>94</xdr:row>
      <xdr:rowOff>1326</xdr:rowOff>
    </xdr:from>
    <xdr:to>
      <xdr:col>18</xdr:col>
      <xdr:colOff>34372</xdr:colOff>
      <xdr:row>96</xdr:row>
      <xdr:rowOff>100992</xdr:rowOff>
    </xdr:to>
    <xdr:cxnSp macro="">
      <xdr:nvCxnSpPr>
        <xdr:cNvPr id="369" name="直線矢印コネクタ 368">
          <a:extLst>
            <a:ext uri="{FF2B5EF4-FFF2-40B4-BE49-F238E27FC236}">
              <a16:creationId xmlns:a16="http://schemas.microsoft.com/office/drawing/2014/main" id="{00000000-0008-0000-0100-000071010000}"/>
            </a:ext>
          </a:extLst>
        </xdr:cNvPr>
        <xdr:cNvCxnSpPr>
          <a:stCxn id="366" idx="2"/>
          <a:endCxn id="348" idx="0"/>
        </xdr:cNvCxnSpPr>
      </xdr:nvCxnSpPr>
      <xdr:spPr>
        <a:xfrm flipH="1">
          <a:off x="7977099" y="17186667"/>
          <a:ext cx="8967"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291623</xdr:colOff>
      <xdr:row>100</xdr:row>
      <xdr:rowOff>29274</xdr:rowOff>
    </xdr:from>
    <xdr:to>
      <xdr:col>4</xdr:col>
      <xdr:colOff>463783</xdr:colOff>
      <xdr:row>103</xdr:row>
      <xdr:rowOff>7011</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815623" y="18290380"/>
          <a:ext cx="772795" cy="515619"/>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塩素ガス</a:t>
          </a:r>
          <a:endParaRPr kumimoji="1" lang="en-US" altLang="ja-JP" sz="1200" b="1">
            <a:solidFill>
              <a:schemeClr val="tx1"/>
            </a:solidFill>
          </a:endParaRPr>
        </a:p>
      </xdr:txBody>
    </xdr:sp>
    <xdr:clientData/>
  </xdr:twoCellAnchor>
  <xdr:twoCellAnchor>
    <xdr:from>
      <xdr:col>3</xdr:col>
      <xdr:colOff>291624</xdr:colOff>
      <xdr:row>92</xdr:row>
      <xdr:rowOff>145092</xdr:rowOff>
    </xdr:from>
    <xdr:to>
      <xdr:col>4</xdr:col>
      <xdr:colOff>463784</xdr:colOff>
      <xdr:row>95</xdr:row>
      <xdr:rowOff>122829</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815624" y="16971845"/>
          <a:ext cx="772795" cy="515619"/>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苛性</a:t>
          </a:r>
          <a:endParaRPr kumimoji="1" lang="en-US" altLang="ja-JP" sz="1200" b="1">
            <a:solidFill>
              <a:schemeClr val="tx1"/>
            </a:solidFill>
          </a:endParaRPr>
        </a:p>
        <a:p>
          <a:pPr algn="ctr"/>
          <a:r>
            <a:rPr kumimoji="1" lang="ja-JP" altLang="en-US" sz="1200" b="1">
              <a:solidFill>
                <a:schemeClr val="tx1"/>
              </a:solidFill>
            </a:rPr>
            <a:t>ソーダ</a:t>
          </a:r>
          <a:endParaRPr kumimoji="1" lang="en-US" altLang="ja-JP" sz="1200" b="1">
            <a:solidFill>
              <a:schemeClr val="tx1"/>
            </a:solidFill>
          </a:endParaRPr>
        </a:p>
      </xdr:txBody>
    </xdr:sp>
    <xdr:clientData/>
  </xdr:twoCellAnchor>
  <xdr:twoCellAnchor>
    <xdr:from>
      <xdr:col>4</xdr:col>
      <xdr:colOff>597652</xdr:colOff>
      <xdr:row>85</xdr:row>
      <xdr:rowOff>108918</xdr:rowOff>
    </xdr:from>
    <xdr:to>
      <xdr:col>4</xdr:col>
      <xdr:colOff>597652</xdr:colOff>
      <xdr:row>105</xdr:row>
      <xdr:rowOff>130656</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2722287" y="15680612"/>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53788</xdr:colOff>
      <xdr:row>88</xdr:row>
      <xdr:rowOff>96356</xdr:rowOff>
    </xdr:from>
    <xdr:to>
      <xdr:col>2</xdr:col>
      <xdr:colOff>73549</xdr:colOff>
      <xdr:row>89</xdr:row>
      <xdr:rowOff>169061</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215153" y="16205932"/>
          <a:ext cx="781761"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原料塩</a:t>
          </a:r>
        </a:p>
      </xdr:txBody>
    </xdr:sp>
    <xdr:clientData/>
  </xdr:twoCellAnchor>
  <xdr:twoCellAnchor>
    <xdr:from>
      <xdr:col>1</xdr:col>
      <xdr:colOff>53788</xdr:colOff>
      <xdr:row>90</xdr:row>
      <xdr:rowOff>100712</xdr:rowOff>
    </xdr:from>
    <xdr:to>
      <xdr:col>2</xdr:col>
      <xdr:colOff>73549</xdr:colOff>
      <xdr:row>91</xdr:row>
      <xdr:rowOff>173418</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215153" y="16568877"/>
          <a:ext cx="781761"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xdr:col>
      <xdr:colOff>53788</xdr:colOff>
      <xdr:row>92</xdr:row>
      <xdr:rowOff>107914</xdr:rowOff>
    </xdr:from>
    <xdr:to>
      <xdr:col>2</xdr:col>
      <xdr:colOff>73549</xdr:colOff>
      <xdr:row>94</xdr:row>
      <xdr:rowOff>1326</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215153" y="16934667"/>
          <a:ext cx="781761"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純水</a:t>
          </a:r>
        </a:p>
      </xdr:txBody>
    </xdr:sp>
    <xdr:clientData/>
  </xdr:twoCellAnchor>
  <xdr:twoCellAnchor>
    <xdr:from>
      <xdr:col>2</xdr:col>
      <xdr:colOff>73549</xdr:colOff>
      <xdr:row>89</xdr:row>
      <xdr:rowOff>43061</xdr:rowOff>
    </xdr:from>
    <xdr:to>
      <xdr:col>2</xdr:col>
      <xdr:colOff>172220</xdr:colOff>
      <xdr:row>96</xdr:row>
      <xdr:rowOff>100992</xdr:rowOff>
    </xdr:to>
    <xdr:cxnSp macro="">
      <xdr:nvCxnSpPr>
        <xdr:cNvPr id="376" name="カギ線コネクタ 375">
          <a:extLst>
            <a:ext uri="{FF2B5EF4-FFF2-40B4-BE49-F238E27FC236}">
              <a16:creationId xmlns:a16="http://schemas.microsoft.com/office/drawing/2014/main" id="{00000000-0008-0000-0100-000078010000}"/>
            </a:ext>
          </a:extLst>
        </xdr:cNvPr>
        <xdr:cNvCxnSpPr>
          <a:stCxn id="373" idx="3"/>
          <a:endCxn id="352" idx="0"/>
        </xdr:cNvCxnSpPr>
      </xdr:nvCxnSpPr>
      <xdr:spPr>
        <a:xfrm>
          <a:off x="996914" y="16331932"/>
          <a:ext cx="98671" cy="1312989"/>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73549</xdr:colOff>
      <xdr:row>91</xdr:row>
      <xdr:rowOff>47418</xdr:rowOff>
    </xdr:from>
    <xdr:to>
      <xdr:col>2</xdr:col>
      <xdr:colOff>172220</xdr:colOff>
      <xdr:row>96</xdr:row>
      <xdr:rowOff>100992</xdr:rowOff>
    </xdr:to>
    <xdr:cxnSp macro="">
      <xdr:nvCxnSpPr>
        <xdr:cNvPr id="377" name="カギ線コネクタ 376">
          <a:extLst>
            <a:ext uri="{FF2B5EF4-FFF2-40B4-BE49-F238E27FC236}">
              <a16:creationId xmlns:a16="http://schemas.microsoft.com/office/drawing/2014/main" id="{00000000-0008-0000-0100-000079010000}"/>
            </a:ext>
          </a:extLst>
        </xdr:cNvPr>
        <xdr:cNvCxnSpPr>
          <a:stCxn id="374" idx="3"/>
          <a:endCxn id="352" idx="0"/>
        </xdr:cNvCxnSpPr>
      </xdr:nvCxnSpPr>
      <xdr:spPr>
        <a:xfrm>
          <a:off x="996914" y="16694877"/>
          <a:ext cx="98671" cy="950044"/>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73549</xdr:colOff>
      <xdr:row>93</xdr:row>
      <xdr:rowOff>54620</xdr:rowOff>
    </xdr:from>
    <xdr:to>
      <xdr:col>2</xdr:col>
      <xdr:colOff>172220</xdr:colOff>
      <xdr:row>96</xdr:row>
      <xdr:rowOff>100992</xdr:rowOff>
    </xdr:to>
    <xdr:cxnSp macro="">
      <xdr:nvCxnSpPr>
        <xdr:cNvPr id="378" name="カギ線コネクタ 377">
          <a:extLst>
            <a:ext uri="{FF2B5EF4-FFF2-40B4-BE49-F238E27FC236}">
              <a16:creationId xmlns:a16="http://schemas.microsoft.com/office/drawing/2014/main" id="{00000000-0008-0000-0100-00007A010000}"/>
            </a:ext>
          </a:extLst>
        </xdr:cNvPr>
        <xdr:cNvCxnSpPr>
          <a:stCxn id="375" idx="3"/>
          <a:endCxn id="352" idx="0"/>
        </xdr:cNvCxnSpPr>
      </xdr:nvCxnSpPr>
      <xdr:spPr>
        <a:xfrm>
          <a:off x="996914" y="17060667"/>
          <a:ext cx="98671" cy="584254"/>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21585</xdr:colOff>
      <xdr:row>98</xdr:row>
      <xdr:rowOff>213</xdr:rowOff>
    </xdr:from>
    <xdr:to>
      <xdr:col>3</xdr:col>
      <xdr:colOff>291623</xdr:colOff>
      <xdr:row>101</xdr:row>
      <xdr:rowOff>107790</xdr:rowOff>
    </xdr:to>
    <xdr:cxnSp macro="">
      <xdr:nvCxnSpPr>
        <xdr:cNvPr id="379" name="直線矢印コネクタ 72">
          <a:extLst>
            <a:ext uri="{FF2B5EF4-FFF2-40B4-BE49-F238E27FC236}">
              <a16:creationId xmlns:a16="http://schemas.microsoft.com/office/drawing/2014/main" id="{00000000-0008-0000-0100-00007B010000}"/>
            </a:ext>
          </a:extLst>
        </xdr:cNvPr>
        <xdr:cNvCxnSpPr>
          <a:stCxn id="352" idx="3"/>
          <a:endCxn id="370" idx="1"/>
        </xdr:cNvCxnSpPr>
      </xdr:nvCxnSpPr>
      <xdr:spPr>
        <a:xfrm>
          <a:off x="1545585" y="17902731"/>
          <a:ext cx="270038" cy="645459"/>
        </a:xfrm>
        <a:prstGeom prst="bentConnector3">
          <a:avLst>
            <a:gd name="adj1" fmla="val 50000"/>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21585</xdr:colOff>
      <xdr:row>94</xdr:row>
      <xdr:rowOff>44314</xdr:rowOff>
    </xdr:from>
    <xdr:to>
      <xdr:col>3</xdr:col>
      <xdr:colOff>291624</xdr:colOff>
      <xdr:row>98</xdr:row>
      <xdr:rowOff>213</xdr:rowOff>
    </xdr:to>
    <xdr:cxnSp macro="">
      <xdr:nvCxnSpPr>
        <xdr:cNvPr id="380" name="直線矢印コネクタ 77">
          <a:extLst>
            <a:ext uri="{FF2B5EF4-FFF2-40B4-BE49-F238E27FC236}">
              <a16:creationId xmlns:a16="http://schemas.microsoft.com/office/drawing/2014/main" id="{00000000-0008-0000-0100-00007C010000}"/>
            </a:ext>
          </a:extLst>
        </xdr:cNvPr>
        <xdr:cNvCxnSpPr>
          <a:stCxn id="352" idx="3"/>
          <a:endCxn id="371" idx="1"/>
        </xdr:cNvCxnSpPr>
      </xdr:nvCxnSpPr>
      <xdr:spPr>
        <a:xfrm flipV="1">
          <a:off x="1545585" y="17229655"/>
          <a:ext cx="270039" cy="673076"/>
        </a:xfrm>
        <a:prstGeom prst="bentConnector3">
          <a:avLst>
            <a:gd name="adj1" fmla="val 50000"/>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540993</xdr:colOff>
      <xdr:row>101</xdr:row>
      <xdr:rowOff>149016</xdr:rowOff>
    </xdr:from>
    <xdr:to>
      <xdr:col>2</xdr:col>
      <xdr:colOff>560754</xdr:colOff>
      <xdr:row>103</xdr:row>
      <xdr:rowOff>42428</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02358" y="18589416"/>
          <a:ext cx="781761" cy="252000"/>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排水</a:t>
          </a:r>
        </a:p>
      </xdr:txBody>
    </xdr:sp>
    <xdr:clientData/>
  </xdr:twoCellAnchor>
  <xdr:twoCellAnchor>
    <xdr:from>
      <xdr:col>2</xdr:col>
      <xdr:colOff>169874</xdr:colOff>
      <xdr:row>99</xdr:row>
      <xdr:rowOff>78728</xdr:rowOff>
    </xdr:from>
    <xdr:to>
      <xdr:col>2</xdr:col>
      <xdr:colOff>172220</xdr:colOff>
      <xdr:row>101</xdr:row>
      <xdr:rowOff>149016</xdr:rowOff>
    </xdr:to>
    <xdr:cxnSp macro="">
      <xdr:nvCxnSpPr>
        <xdr:cNvPr id="382" name="直線矢印コネクタ 381">
          <a:extLst>
            <a:ext uri="{FF2B5EF4-FFF2-40B4-BE49-F238E27FC236}">
              <a16:creationId xmlns:a16="http://schemas.microsoft.com/office/drawing/2014/main" id="{00000000-0008-0000-0100-00007E010000}"/>
            </a:ext>
          </a:extLst>
        </xdr:cNvPr>
        <xdr:cNvCxnSpPr>
          <a:stCxn id="352" idx="2"/>
          <a:endCxn id="381" idx="0"/>
        </xdr:cNvCxnSpPr>
      </xdr:nvCxnSpPr>
      <xdr:spPr>
        <a:xfrm flipH="1">
          <a:off x="1093239" y="18160540"/>
          <a:ext cx="2346" cy="428876"/>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129927</xdr:colOff>
      <xdr:row>92</xdr:row>
      <xdr:rowOff>107914</xdr:rowOff>
    </xdr:from>
    <xdr:to>
      <xdr:col>7</xdr:col>
      <xdr:colOff>43810</xdr:colOff>
      <xdr:row>94</xdr:row>
      <xdr:rowOff>1326</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2855198" y="16934667"/>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10</xdr:col>
      <xdr:colOff>317130</xdr:colOff>
      <xdr:row>101</xdr:row>
      <xdr:rowOff>144556</xdr:rowOff>
    </xdr:from>
    <xdr:to>
      <xdr:col>13</xdr:col>
      <xdr:colOff>60683</xdr:colOff>
      <xdr:row>103</xdr:row>
      <xdr:rowOff>37968</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5184965" y="18584956"/>
          <a:ext cx="900000" cy="252000"/>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ボイルオフ</a:t>
          </a:r>
        </a:p>
      </xdr:txBody>
    </xdr:sp>
    <xdr:clientData/>
  </xdr:twoCellAnchor>
  <xdr:twoCellAnchor>
    <xdr:from>
      <xdr:col>11</xdr:col>
      <xdr:colOff>381647</xdr:colOff>
      <xdr:row>99</xdr:row>
      <xdr:rowOff>78728</xdr:rowOff>
    </xdr:from>
    <xdr:to>
      <xdr:col>12</xdr:col>
      <xdr:colOff>2827</xdr:colOff>
      <xdr:row>101</xdr:row>
      <xdr:rowOff>144556</xdr:rowOff>
    </xdr:to>
    <xdr:cxnSp macro="">
      <xdr:nvCxnSpPr>
        <xdr:cNvPr id="385" name="直線矢印コネクタ 384">
          <a:extLst>
            <a:ext uri="{FF2B5EF4-FFF2-40B4-BE49-F238E27FC236}">
              <a16:creationId xmlns:a16="http://schemas.microsoft.com/office/drawing/2014/main" id="{00000000-0008-0000-0100-000081010000}"/>
            </a:ext>
          </a:extLst>
        </xdr:cNvPr>
        <xdr:cNvCxnSpPr>
          <a:stCxn id="350" idx="2"/>
          <a:endCxn id="384" idx="0"/>
        </xdr:cNvCxnSpPr>
      </xdr:nvCxnSpPr>
      <xdr:spPr>
        <a:xfrm flipH="1">
          <a:off x="5634965" y="18160540"/>
          <a:ext cx="6662" cy="424416"/>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579927</xdr:colOff>
      <xdr:row>94</xdr:row>
      <xdr:rowOff>1326</xdr:rowOff>
    </xdr:from>
    <xdr:to>
      <xdr:col>5</xdr:col>
      <xdr:colOff>580884</xdr:colOff>
      <xdr:row>96</xdr:row>
      <xdr:rowOff>100992</xdr:rowOff>
    </xdr:to>
    <xdr:cxnSp macro="">
      <xdr:nvCxnSpPr>
        <xdr:cNvPr id="386" name="直線矢印コネクタ 385">
          <a:extLst>
            <a:ext uri="{FF2B5EF4-FFF2-40B4-BE49-F238E27FC236}">
              <a16:creationId xmlns:a16="http://schemas.microsoft.com/office/drawing/2014/main" id="{00000000-0008-0000-0100-000082010000}"/>
            </a:ext>
          </a:extLst>
        </xdr:cNvPr>
        <xdr:cNvCxnSpPr>
          <a:stCxn id="383" idx="2"/>
          <a:endCxn id="353" idx="0"/>
        </xdr:cNvCxnSpPr>
      </xdr:nvCxnSpPr>
      <xdr:spPr>
        <a:xfrm>
          <a:off x="3305198" y="17186667"/>
          <a:ext cx="957"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121920</xdr:colOff>
      <xdr:row>2</xdr:row>
      <xdr:rowOff>142603</xdr:rowOff>
    </xdr:from>
    <xdr:to>
      <xdr:col>29</xdr:col>
      <xdr:colOff>201385</xdr:colOff>
      <xdr:row>11</xdr:row>
      <xdr:rowOff>114300</xdr:rowOff>
    </xdr:to>
    <xdr:sp macro="" textlink="">
      <xdr:nvSpPr>
        <xdr:cNvPr id="4" name="角丸四角形 3"/>
        <xdr:cNvSpPr/>
      </xdr:nvSpPr>
      <xdr:spPr>
        <a:xfrm>
          <a:off x="10248900" y="493123"/>
          <a:ext cx="4826725" cy="172429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本算定ツールについて</a:t>
          </a:r>
          <a:r>
            <a:rPr kumimoji="1" lang="en-US" altLang="ja-JP" sz="1100"/>
            <a:t>】</a:t>
          </a:r>
          <a:r>
            <a:rPr kumimoji="1" lang="ja-JP" altLang="en-US" sz="1100"/>
            <a:t>　</a:t>
          </a:r>
          <a:endParaRPr kumimoji="1" lang="en-US" altLang="ja-JP" sz="1100"/>
        </a:p>
        <a:p>
          <a:pPr algn="l"/>
          <a:r>
            <a:rPr kumimoji="1" lang="ja-JP" altLang="en-US" sz="1100"/>
            <a:t>　本算定ツールは、環境省「平成２８年度水素利活用</a:t>
          </a:r>
          <a:r>
            <a:rPr kumimoji="1" lang="en-US" altLang="ja-JP" sz="1100"/>
            <a:t>CO2</a:t>
          </a:r>
          <a:r>
            <a:rPr kumimoji="1" lang="ja-JP" altLang="en-US" sz="1100"/>
            <a:t>排出削減効果評価・検証委託業務」において作成されました。水素サプライチェーンの</a:t>
          </a:r>
          <a:r>
            <a:rPr kumimoji="1" lang="en-US" altLang="ja-JP" sz="1100"/>
            <a:t>CO2</a:t>
          </a:r>
          <a:r>
            <a:rPr kumimoji="1" lang="ja-JP" altLang="en-US" sz="1100"/>
            <a:t>削減効果を評価する目的の範囲内で、ご自由にお使いください。</a:t>
          </a:r>
        </a:p>
        <a:p>
          <a:pPr algn="l"/>
          <a:r>
            <a:rPr kumimoji="1" lang="ja-JP" altLang="en-US" sz="1100"/>
            <a:t>　なお、本算定ツールは、「水素サプライチェーンにおける温室効果ガス削減効果に関する</a:t>
          </a:r>
          <a:r>
            <a:rPr kumimoji="1" lang="en-US" altLang="ja-JP" sz="1100"/>
            <a:t>LCA</a:t>
          </a:r>
          <a:r>
            <a:rPr kumimoji="1" lang="ja-JP" altLang="en-US" sz="1100"/>
            <a:t>ガイドライン」」の算定方法を実現するための算定式を取りまとめています。ガイドラインの改定等に伴い、内容が予告なく変更される場合がございますのでご留意ください。</a:t>
          </a:r>
        </a:p>
      </xdr:txBody>
    </xdr:sp>
    <xdr:clientData/>
  </xdr:twoCellAnchor>
  <xdr:twoCellAnchor>
    <xdr:from>
      <xdr:col>16</xdr:col>
      <xdr:colOff>240641</xdr:colOff>
      <xdr:row>41</xdr:row>
      <xdr:rowOff>9359</xdr:rowOff>
    </xdr:from>
    <xdr:to>
      <xdr:col>18</xdr:col>
      <xdr:colOff>369676</xdr:colOff>
      <xdr:row>42</xdr:row>
      <xdr:rowOff>82065</xdr:rowOff>
    </xdr:to>
    <xdr:sp macro="" textlink="">
      <xdr:nvSpPr>
        <xdr:cNvPr id="182" name="正方形/長方形 181">
          <a:extLst>
            <a:ext uri="{FF2B5EF4-FFF2-40B4-BE49-F238E27FC236}">
              <a16:creationId xmlns:a16="http://schemas.microsoft.com/office/drawing/2014/main" id="{00000000-0008-0000-0100-00008A000000}"/>
            </a:ext>
          </a:extLst>
        </xdr:cNvPr>
        <xdr:cNvSpPr/>
      </xdr:nvSpPr>
      <xdr:spPr>
        <a:xfrm>
          <a:off x="7479641" y="11352273"/>
          <a:ext cx="912806" cy="246878"/>
        </a:xfrm>
        <a:prstGeom prst="rect">
          <a:avLst/>
        </a:prstGeom>
        <a:no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アウトプット</a:t>
          </a:r>
        </a:p>
      </xdr:txBody>
    </xdr:sp>
    <xdr:clientData/>
  </xdr:twoCellAnchor>
  <xdr:twoCellAnchor>
    <xdr:from>
      <xdr:col>19</xdr:col>
      <xdr:colOff>75845</xdr:colOff>
      <xdr:row>40</xdr:row>
      <xdr:rowOff>171623</xdr:rowOff>
    </xdr:from>
    <xdr:to>
      <xdr:col>20</xdr:col>
      <xdr:colOff>590362</xdr:colOff>
      <xdr:row>42</xdr:row>
      <xdr:rowOff>82066</xdr:rowOff>
    </xdr:to>
    <xdr:sp macro="" textlink="">
      <xdr:nvSpPr>
        <xdr:cNvPr id="183" name="正方形/長方形 182">
          <a:extLst>
            <a:ext uri="{FF2B5EF4-FFF2-40B4-BE49-F238E27FC236}">
              <a16:creationId xmlns:a16="http://schemas.microsoft.com/office/drawing/2014/main" id="{00000000-0008-0000-0100-00008B000000}"/>
            </a:ext>
          </a:extLst>
        </xdr:cNvPr>
        <xdr:cNvSpPr/>
      </xdr:nvSpPr>
      <xdr:spPr>
        <a:xfrm>
          <a:off x="8490502" y="11340366"/>
          <a:ext cx="906403" cy="258786"/>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設備</a:t>
          </a:r>
        </a:p>
      </xdr:txBody>
    </xdr:sp>
    <xdr:clientData/>
  </xdr:twoCellAnchor>
  <xdr:twoCellAnchor>
    <xdr:from>
      <xdr:col>12</xdr:col>
      <xdr:colOff>308134</xdr:colOff>
      <xdr:row>40</xdr:row>
      <xdr:rowOff>107578</xdr:rowOff>
    </xdr:from>
    <xdr:to>
      <xdr:col>20</xdr:col>
      <xdr:colOff>664181</xdr:colOff>
      <xdr:row>44</xdr:row>
      <xdr:rowOff>15178</xdr:rowOff>
    </xdr:to>
    <xdr:sp macro="" textlink="">
      <xdr:nvSpPr>
        <xdr:cNvPr id="184" name="正方形/長方形 183">
          <a:extLst>
            <a:ext uri="{FF2B5EF4-FFF2-40B4-BE49-F238E27FC236}">
              <a16:creationId xmlns:a16="http://schemas.microsoft.com/office/drawing/2014/main" id="{00000000-0008-0000-0100-00008C000000}"/>
            </a:ext>
          </a:extLst>
        </xdr:cNvPr>
        <xdr:cNvSpPr/>
      </xdr:nvSpPr>
      <xdr:spPr bwMode="gray">
        <a:xfrm>
          <a:off x="5979591" y="11276321"/>
          <a:ext cx="3491133" cy="604286"/>
        </a:xfrm>
        <a:prstGeom prst="rect">
          <a:avLst/>
        </a:prstGeom>
        <a:noFill/>
        <a:ln w="12700" algn="ctr">
          <a:solidFill>
            <a:schemeClr val="accent6"/>
          </a:solidFill>
          <a:miter lim="800000"/>
          <a:headEnd/>
          <a:tailEnd/>
        </a:ln>
      </xdr:spPr>
      <xdr:txBody>
        <a:bodyPr wrap="square" lIns="36000" tIns="36000" rIns="36000" bIns="3600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buFont typeface="Wingdings 2" pitchFamily="18" charset="2"/>
            <a:buNone/>
          </a:pPr>
          <a:r>
            <a:rPr kumimoji="1" lang="ja-JP" altLang="en-US" sz="1200"/>
            <a:t>凡例</a:t>
          </a:r>
        </a:p>
      </xdr:txBody>
    </xdr:sp>
    <xdr:clientData/>
  </xdr:twoCellAnchor>
  <xdr:twoCellAnchor>
    <xdr:from>
      <xdr:col>1</xdr:col>
      <xdr:colOff>221215</xdr:colOff>
      <xdr:row>45</xdr:row>
      <xdr:rowOff>26405</xdr:rowOff>
    </xdr:from>
    <xdr:to>
      <xdr:col>9</xdr:col>
      <xdr:colOff>368486</xdr:colOff>
      <xdr:row>47</xdr:row>
      <xdr:rowOff>27817</xdr:rowOff>
    </xdr:to>
    <xdr:grpSp>
      <xdr:nvGrpSpPr>
        <xdr:cNvPr id="185" name="グループ化 184">
          <a:extLst>
            <a:ext uri="{FF2B5EF4-FFF2-40B4-BE49-F238E27FC236}">
              <a16:creationId xmlns:a16="http://schemas.microsoft.com/office/drawing/2014/main" id="{00000000-0008-0000-0100-00008D000000}"/>
            </a:ext>
          </a:extLst>
        </xdr:cNvPr>
        <xdr:cNvGrpSpPr/>
      </xdr:nvGrpSpPr>
      <xdr:grpSpPr>
        <a:xfrm>
          <a:off x="384501" y="8223348"/>
          <a:ext cx="4479785" cy="349755"/>
          <a:chOff x="1677060" y="1500900"/>
          <a:chExt cx="3816000" cy="360000"/>
        </a:xfrm>
      </xdr:grpSpPr>
      <xdr:sp macro="" textlink="">
        <xdr:nvSpPr>
          <xdr:cNvPr id="186" name="正方形/長方形 185">
            <a:extLst>
              <a:ext uri="{FF2B5EF4-FFF2-40B4-BE49-F238E27FC236}">
                <a16:creationId xmlns:a16="http://schemas.microsoft.com/office/drawing/2014/main" id="{00000000-0008-0000-0100-0000B4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製造段階</a:t>
            </a:r>
            <a:endParaRPr lang="en-US" altLang="ja-JP" sz="1200">
              <a:solidFill>
                <a:schemeClr val="tx1"/>
              </a:solidFill>
            </a:endParaRPr>
          </a:p>
        </xdr:txBody>
      </xdr:sp>
      <xdr:cxnSp macro="">
        <xdr:nvCxnSpPr>
          <xdr:cNvPr id="187" name="直線コネクタ 186">
            <a:extLst>
              <a:ext uri="{FF2B5EF4-FFF2-40B4-BE49-F238E27FC236}">
                <a16:creationId xmlns:a16="http://schemas.microsoft.com/office/drawing/2014/main" id="{00000000-0008-0000-0100-0000B5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368487</xdr:colOff>
      <xdr:row>45</xdr:row>
      <xdr:rowOff>26405</xdr:rowOff>
    </xdr:from>
    <xdr:to>
      <xdr:col>16</xdr:col>
      <xdr:colOff>8554</xdr:colOff>
      <xdr:row>47</xdr:row>
      <xdr:rowOff>27817</xdr:rowOff>
    </xdr:to>
    <xdr:grpSp>
      <xdr:nvGrpSpPr>
        <xdr:cNvPr id="188" name="グループ化 187">
          <a:extLst>
            <a:ext uri="{FF2B5EF4-FFF2-40B4-BE49-F238E27FC236}">
              <a16:creationId xmlns:a16="http://schemas.microsoft.com/office/drawing/2014/main" id="{00000000-0008-0000-0100-00008E000000}"/>
            </a:ext>
          </a:extLst>
        </xdr:cNvPr>
        <xdr:cNvGrpSpPr/>
      </xdr:nvGrpSpPr>
      <xdr:grpSpPr>
        <a:xfrm>
          <a:off x="4864287" y="8223348"/>
          <a:ext cx="2383267" cy="349755"/>
          <a:chOff x="1677060" y="1500900"/>
          <a:chExt cx="3816000" cy="360000"/>
        </a:xfrm>
      </xdr:grpSpPr>
      <xdr:sp macro="" textlink="">
        <xdr:nvSpPr>
          <xdr:cNvPr id="189" name="正方形/長方形 188">
            <a:extLst>
              <a:ext uri="{FF2B5EF4-FFF2-40B4-BE49-F238E27FC236}">
                <a16:creationId xmlns:a16="http://schemas.microsoft.com/office/drawing/2014/main" id="{00000000-0008-0000-0100-0000B2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貯蔵・輸送段階</a:t>
            </a:r>
            <a:endParaRPr lang="en-US" altLang="ja-JP" sz="1200">
              <a:solidFill>
                <a:schemeClr val="tx1"/>
              </a:solidFill>
            </a:endParaRPr>
          </a:p>
        </xdr:txBody>
      </xdr:sp>
      <xdr:cxnSp macro="">
        <xdr:nvCxnSpPr>
          <xdr:cNvPr id="190" name="直線コネクタ 189">
            <a:extLst>
              <a:ext uri="{FF2B5EF4-FFF2-40B4-BE49-F238E27FC236}">
                <a16:creationId xmlns:a16="http://schemas.microsoft.com/office/drawing/2014/main" id="{00000000-0008-0000-0100-0000B3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8555</xdr:colOff>
      <xdr:row>45</xdr:row>
      <xdr:rowOff>26405</xdr:rowOff>
    </xdr:from>
    <xdr:to>
      <xdr:col>18</xdr:col>
      <xdr:colOff>369675</xdr:colOff>
      <xdr:row>47</xdr:row>
      <xdr:rowOff>27817</xdr:rowOff>
    </xdr:to>
    <xdr:grpSp>
      <xdr:nvGrpSpPr>
        <xdr:cNvPr id="191" name="グループ化 190">
          <a:extLst>
            <a:ext uri="{FF2B5EF4-FFF2-40B4-BE49-F238E27FC236}">
              <a16:creationId xmlns:a16="http://schemas.microsoft.com/office/drawing/2014/main" id="{00000000-0008-0000-0100-00008F000000}"/>
            </a:ext>
          </a:extLst>
        </xdr:cNvPr>
        <xdr:cNvGrpSpPr/>
      </xdr:nvGrpSpPr>
      <xdr:grpSpPr>
        <a:xfrm>
          <a:off x="7247555" y="8223348"/>
          <a:ext cx="1144891" cy="349755"/>
          <a:chOff x="1677060" y="1500900"/>
          <a:chExt cx="3816000" cy="360000"/>
        </a:xfrm>
      </xdr:grpSpPr>
      <xdr:sp macro="" textlink="">
        <xdr:nvSpPr>
          <xdr:cNvPr id="192" name="正方形/長方形 191">
            <a:extLst>
              <a:ext uri="{FF2B5EF4-FFF2-40B4-BE49-F238E27FC236}">
                <a16:creationId xmlns:a16="http://schemas.microsoft.com/office/drawing/2014/main" id="{00000000-0008-0000-0100-0000B0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供給段階</a:t>
            </a:r>
            <a:endParaRPr lang="en-US" altLang="ja-JP" sz="1200">
              <a:solidFill>
                <a:schemeClr val="tx1"/>
              </a:solidFill>
            </a:endParaRPr>
          </a:p>
        </xdr:txBody>
      </xdr:sp>
      <xdr:cxnSp macro="">
        <xdr:nvCxnSpPr>
          <xdr:cNvPr id="193" name="直線コネクタ 192">
            <a:extLst>
              <a:ext uri="{FF2B5EF4-FFF2-40B4-BE49-F238E27FC236}">
                <a16:creationId xmlns:a16="http://schemas.microsoft.com/office/drawing/2014/main" id="{00000000-0008-0000-0100-0000B1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369676</xdr:colOff>
      <xdr:row>45</xdr:row>
      <xdr:rowOff>26405</xdr:rowOff>
    </xdr:from>
    <xdr:to>
      <xdr:col>20</xdr:col>
      <xdr:colOff>665256</xdr:colOff>
      <xdr:row>47</xdr:row>
      <xdr:rowOff>27817</xdr:rowOff>
    </xdr:to>
    <xdr:grpSp>
      <xdr:nvGrpSpPr>
        <xdr:cNvPr id="194" name="グループ化 193">
          <a:extLst>
            <a:ext uri="{FF2B5EF4-FFF2-40B4-BE49-F238E27FC236}">
              <a16:creationId xmlns:a16="http://schemas.microsoft.com/office/drawing/2014/main" id="{00000000-0008-0000-0100-000090000000}"/>
            </a:ext>
          </a:extLst>
        </xdr:cNvPr>
        <xdr:cNvGrpSpPr/>
      </xdr:nvGrpSpPr>
      <xdr:grpSpPr>
        <a:xfrm>
          <a:off x="8392447" y="8223348"/>
          <a:ext cx="1079352" cy="349755"/>
          <a:chOff x="1677060" y="1500900"/>
          <a:chExt cx="3816000" cy="360000"/>
        </a:xfrm>
      </xdr:grpSpPr>
      <xdr:sp macro="" textlink="">
        <xdr:nvSpPr>
          <xdr:cNvPr id="195" name="正方形/長方形 194">
            <a:extLst>
              <a:ext uri="{FF2B5EF4-FFF2-40B4-BE49-F238E27FC236}">
                <a16:creationId xmlns:a16="http://schemas.microsoft.com/office/drawing/2014/main" id="{00000000-0008-0000-0100-0000AE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利用段階</a:t>
            </a:r>
            <a:endParaRPr lang="en-US" altLang="ja-JP" sz="1200">
              <a:solidFill>
                <a:schemeClr val="tx1"/>
              </a:solidFill>
            </a:endParaRPr>
          </a:p>
        </xdr:txBody>
      </xdr:sp>
      <xdr:cxnSp macro="">
        <xdr:nvCxnSpPr>
          <xdr:cNvPr id="196" name="直線コネクタ 195">
            <a:extLst>
              <a:ext uri="{FF2B5EF4-FFF2-40B4-BE49-F238E27FC236}">
                <a16:creationId xmlns:a16="http://schemas.microsoft.com/office/drawing/2014/main" id="{00000000-0008-0000-0100-0000AF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150739</xdr:colOff>
      <xdr:row>52</xdr:row>
      <xdr:rowOff>141200</xdr:rowOff>
    </xdr:from>
    <xdr:to>
      <xdr:col>20</xdr:col>
      <xdr:colOff>665256</xdr:colOff>
      <xdr:row>55</xdr:row>
      <xdr:rowOff>118937</xdr:rowOff>
    </xdr:to>
    <xdr:sp macro="" textlink="">
      <xdr:nvSpPr>
        <xdr:cNvPr id="197" name="正方形/長方形 196">
          <a:extLst>
            <a:ext uri="{FF2B5EF4-FFF2-40B4-BE49-F238E27FC236}">
              <a16:creationId xmlns:a16="http://schemas.microsoft.com/office/drawing/2014/main" id="{00000000-0008-0000-0100-000091000000}"/>
            </a:ext>
          </a:extLst>
        </xdr:cNvPr>
        <xdr:cNvSpPr/>
      </xdr:nvSpPr>
      <xdr:spPr>
        <a:xfrm>
          <a:off x="8565396" y="13400000"/>
          <a:ext cx="906403" cy="500251"/>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en-US" altLang="ja-JP" sz="1200" b="1">
              <a:solidFill>
                <a:schemeClr val="tx1"/>
              </a:solidFill>
            </a:rPr>
            <a:t>FCV</a:t>
          </a:r>
          <a:endParaRPr kumimoji="1" lang="ja-JP" altLang="en-US" sz="1200" b="1">
            <a:solidFill>
              <a:schemeClr val="tx1"/>
            </a:solidFill>
          </a:endParaRPr>
        </a:p>
      </xdr:txBody>
    </xdr:sp>
    <xdr:clientData/>
  </xdr:twoCellAnchor>
  <xdr:twoCellAnchor>
    <xdr:from>
      <xdr:col>16</xdr:col>
      <xdr:colOff>139452</xdr:colOff>
      <xdr:row>52</xdr:row>
      <xdr:rowOff>141200</xdr:rowOff>
    </xdr:from>
    <xdr:to>
      <xdr:col>18</xdr:col>
      <xdr:colOff>268487</xdr:colOff>
      <xdr:row>55</xdr:row>
      <xdr:rowOff>118937</xdr:rowOff>
    </xdr:to>
    <xdr:sp macro="" textlink="">
      <xdr:nvSpPr>
        <xdr:cNvPr id="198" name="正方形/長方形 197">
          <a:extLst>
            <a:ext uri="{FF2B5EF4-FFF2-40B4-BE49-F238E27FC236}">
              <a16:creationId xmlns:a16="http://schemas.microsoft.com/office/drawing/2014/main" id="{00000000-0008-0000-0100-000092000000}"/>
            </a:ext>
          </a:extLst>
        </xdr:cNvPr>
        <xdr:cNvSpPr/>
      </xdr:nvSpPr>
      <xdr:spPr>
        <a:xfrm>
          <a:off x="7378452" y="13400000"/>
          <a:ext cx="912806" cy="500251"/>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r>
            <a:rPr kumimoji="1" lang="en-US" altLang="ja-JP" sz="1200" b="1">
              <a:solidFill>
                <a:schemeClr val="tx1"/>
              </a:solidFill>
            </a:rPr>
            <a:t>ST</a:t>
          </a:r>
          <a:endParaRPr kumimoji="1" lang="ja-JP" altLang="en-US" sz="1200" b="1">
            <a:solidFill>
              <a:schemeClr val="tx1"/>
            </a:solidFill>
          </a:endParaRPr>
        </a:p>
      </xdr:txBody>
    </xdr:sp>
    <xdr:clientData/>
  </xdr:twoCellAnchor>
  <xdr:twoCellAnchor>
    <xdr:from>
      <xdr:col>13</xdr:col>
      <xdr:colOff>128163</xdr:colOff>
      <xdr:row>52</xdr:row>
      <xdr:rowOff>141200</xdr:rowOff>
    </xdr:from>
    <xdr:to>
      <xdr:col>15</xdr:col>
      <xdr:colOff>257198</xdr:colOff>
      <xdr:row>55</xdr:row>
      <xdr:rowOff>118937</xdr:rowOff>
    </xdr:to>
    <xdr:sp macro="" textlink="">
      <xdr:nvSpPr>
        <xdr:cNvPr id="199" name="正方形/長方形 198">
          <a:extLst>
            <a:ext uri="{FF2B5EF4-FFF2-40B4-BE49-F238E27FC236}">
              <a16:creationId xmlns:a16="http://schemas.microsoft.com/office/drawing/2014/main" id="{00000000-0008-0000-0100-000093000000}"/>
            </a:ext>
          </a:extLst>
        </xdr:cNvPr>
        <xdr:cNvSpPr/>
      </xdr:nvSpPr>
      <xdr:spPr>
        <a:xfrm>
          <a:off x="6191506" y="13400000"/>
          <a:ext cx="912806" cy="500251"/>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圧縮機</a:t>
          </a:r>
        </a:p>
      </xdr:txBody>
    </xdr:sp>
    <xdr:clientData/>
  </xdr:twoCellAnchor>
  <xdr:twoCellAnchor>
    <xdr:from>
      <xdr:col>10</xdr:col>
      <xdr:colOff>116874</xdr:colOff>
      <xdr:row>52</xdr:row>
      <xdr:rowOff>141200</xdr:rowOff>
    </xdr:from>
    <xdr:to>
      <xdr:col>12</xdr:col>
      <xdr:colOff>245909</xdr:colOff>
      <xdr:row>55</xdr:row>
      <xdr:rowOff>118937</xdr:rowOff>
    </xdr:to>
    <xdr:sp macro="" textlink="">
      <xdr:nvSpPr>
        <xdr:cNvPr id="200" name="正方形/長方形 199">
          <a:extLst>
            <a:ext uri="{FF2B5EF4-FFF2-40B4-BE49-F238E27FC236}">
              <a16:creationId xmlns:a16="http://schemas.microsoft.com/office/drawing/2014/main" id="{00000000-0008-0000-0100-000094000000}"/>
            </a:ext>
          </a:extLst>
        </xdr:cNvPr>
        <xdr:cNvSpPr/>
      </xdr:nvSpPr>
      <xdr:spPr>
        <a:xfrm>
          <a:off x="5004560" y="13400000"/>
          <a:ext cx="912806" cy="500251"/>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貯蔵タンク</a:t>
          </a:r>
        </a:p>
      </xdr:txBody>
    </xdr:sp>
    <xdr:clientData/>
  </xdr:twoCellAnchor>
  <xdr:twoCellAnchor>
    <xdr:from>
      <xdr:col>2</xdr:col>
      <xdr:colOff>558136</xdr:colOff>
      <xdr:row>52</xdr:row>
      <xdr:rowOff>141200</xdr:rowOff>
    </xdr:from>
    <xdr:to>
      <xdr:col>4</xdr:col>
      <xdr:colOff>256866</xdr:colOff>
      <xdr:row>55</xdr:row>
      <xdr:rowOff>118937</xdr:rowOff>
    </xdr:to>
    <xdr:sp macro="" textlink="">
      <xdr:nvSpPr>
        <xdr:cNvPr id="201" name="正方形/長方形 200">
          <a:extLst>
            <a:ext uri="{FF2B5EF4-FFF2-40B4-BE49-F238E27FC236}">
              <a16:creationId xmlns:a16="http://schemas.microsoft.com/office/drawing/2014/main" id="{00000000-0008-0000-0100-000095000000}"/>
            </a:ext>
          </a:extLst>
        </xdr:cNvPr>
        <xdr:cNvSpPr/>
      </xdr:nvSpPr>
      <xdr:spPr>
        <a:xfrm>
          <a:off x="1483422" y="13400000"/>
          <a:ext cx="896158" cy="500251"/>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受変電・</a:t>
          </a:r>
          <a:endParaRPr kumimoji="1" lang="en-US" altLang="ja-JP" sz="1200" b="1">
            <a:solidFill>
              <a:schemeClr val="tx1"/>
            </a:solidFill>
          </a:endParaRPr>
        </a:p>
        <a:p>
          <a:pPr algn="ctr"/>
          <a:r>
            <a:rPr kumimoji="1" lang="ja-JP" altLang="en-US" sz="1200" b="1">
              <a:solidFill>
                <a:schemeClr val="tx1"/>
              </a:solidFill>
            </a:rPr>
            <a:t>電気設備</a:t>
          </a:r>
        </a:p>
      </xdr:txBody>
    </xdr:sp>
    <xdr:clientData/>
  </xdr:twoCellAnchor>
  <xdr:twoCellAnchor>
    <xdr:from>
      <xdr:col>1</xdr:col>
      <xdr:colOff>152400</xdr:colOff>
      <xdr:row>52</xdr:row>
      <xdr:rowOff>141200</xdr:rowOff>
    </xdr:from>
    <xdr:to>
      <xdr:col>2</xdr:col>
      <xdr:colOff>290400</xdr:colOff>
      <xdr:row>55</xdr:row>
      <xdr:rowOff>118937</xdr:rowOff>
    </xdr:to>
    <xdr:sp macro="" textlink="">
      <xdr:nvSpPr>
        <xdr:cNvPr id="202" name="正方形/長方形 201">
          <a:extLst>
            <a:ext uri="{FF2B5EF4-FFF2-40B4-BE49-F238E27FC236}">
              <a16:creationId xmlns:a16="http://schemas.microsoft.com/office/drawing/2014/main" id="{00000000-0008-0000-0100-000096000000}"/>
            </a:ext>
          </a:extLst>
        </xdr:cNvPr>
        <xdr:cNvSpPr/>
      </xdr:nvSpPr>
      <xdr:spPr>
        <a:xfrm>
          <a:off x="315686" y="13400000"/>
          <a:ext cx="900000" cy="500251"/>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風力発電</a:t>
          </a:r>
        </a:p>
      </xdr:txBody>
    </xdr:sp>
    <xdr:clientData/>
  </xdr:twoCellAnchor>
  <xdr:twoCellAnchor>
    <xdr:from>
      <xdr:col>4</xdr:col>
      <xdr:colOff>524602</xdr:colOff>
      <xdr:row>52</xdr:row>
      <xdr:rowOff>141200</xdr:rowOff>
    </xdr:from>
    <xdr:to>
      <xdr:col>6</xdr:col>
      <xdr:colOff>223331</xdr:colOff>
      <xdr:row>55</xdr:row>
      <xdr:rowOff>118937</xdr:rowOff>
    </xdr:to>
    <xdr:sp macro="" textlink="">
      <xdr:nvSpPr>
        <xdr:cNvPr id="203" name="正方形/長方形 202">
          <a:extLst>
            <a:ext uri="{FF2B5EF4-FFF2-40B4-BE49-F238E27FC236}">
              <a16:creationId xmlns:a16="http://schemas.microsoft.com/office/drawing/2014/main" id="{00000000-0008-0000-0100-000097000000}"/>
            </a:ext>
          </a:extLst>
        </xdr:cNvPr>
        <xdr:cNvSpPr/>
      </xdr:nvSpPr>
      <xdr:spPr>
        <a:xfrm>
          <a:off x="2647316" y="13400000"/>
          <a:ext cx="896158" cy="500251"/>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蓄電</a:t>
          </a:r>
          <a:endParaRPr kumimoji="1" lang="en-US" altLang="ja-JP" sz="1200" b="1">
            <a:solidFill>
              <a:schemeClr val="tx1"/>
            </a:solidFill>
          </a:endParaRPr>
        </a:p>
        <a:p>
          <a:pPr algn="ctr"/>
          <a:r>
            <a:rPr kumimoji="1" lang="ja-JP" altLang="en-US" sz="1200" b="1">
              <a:solidFill>
                <a:schemeClr val="tx1"/>
              </a:solidFill>
            </a:rPr>
            <a:t>システム</a:t>
          </a:r>
          <a:endParaRPr kumimoji="1" lang="en-US" altLang="ja-JP" sz="1200" b="1">
            <a:solidFill>
              <a:schemeClr val="tx1"/>
            </a:solidFill>
          </a:endParaRPr>
        </a:p>
      </xdr:txBody>
    </xdr:sp>
    <xdr:clientData/>
  </xdr:twoCellAnchor>
  <xdr:twoCellAnchor>
    <xdr:from>
      <xdr:col>7</xdr:col>
      <xdr:colOff>105585</xdr:colOff>
      <xdr:row>52</xdr:row>
      <xdr:rowOff>141200</xdr:rowOff>
    </xdr:from>
    <xdr:to>
      <xdr:col>9</xdr:col>
      <xdr:colOff>234620</xdr:colOff>
      <xdr:row>55</xdr:row>
      <xdr:rowOff>118937</xdr:rowOff>
    </xdr:to>
    <xdr:sp macro="" textlink="">
      <xdr:nvSpPr>
        <xdr:cNvPr id="204" name="正方形/長方形 203">
          <a:extLst>
            <a:ext uri="{FF2B5EF4-FFF2-40B4-BE49-F238E27FC236}">
              <a16:creationId xmlns:a16="http://schemas.microsoft.com/office/drawing/2014/main" id="{00000000-0008-0000-0100-000098000000}"/>
            </a:ext>
          </a:extLst>
        </xdr:cNvPr>
        <xdr:cNvSpPr/>
      </xdr:nvSpPr>
      <xdr:spPr>
        <a:xfrm>
          <a:off x="3817614" y="13400000"/>
          <a:ext cx="912806" cy="500251"/>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水電解</a:t>
          </a:r>
          <a:endParaRPr kumimoji="1" lang="en-US" altLang="ja-JP" sz="1200" b="1">
            <a:solidFill>
              <a:schemeClr val="tx1"/>
            </a:solidFill>
          </a:endParaRPr>
        </a:p>
        <a:p>
          <a:pPr algn="ctr"/>
          <a:r>
            <a:rPr kumimoji="1" lang="ja-JP" altLang="en-US" sz="1200" b="1">
              <a:solidFill>
                <a:schemeClr val="tx1"/>
              </a:solidFill>
            </a:rPr>
            <a:t>装置</a:t>
          </a:r>
          <a:endParaRPr kumimoji="1" lang="en-US" altLang="ja-JP" sz="1200" b="1">
            <a:solidFill>
              <a:schemeClr val="tx1"/>
            </a:solidFill>
          </a:endParaRPr>
        </a:p>
      </xdr:txBody>
    </xdr:sp>
    <xdr:clientData/>
  </xdr:twoCellAnchor>
  <xdr:twoCellAnchor>
    <xdr:from>
      <xdr:col>9</xdr:col>
      <xdr:colOff>372971</xdr:colOff>
      <xdr:row>45</xdr:row>
      <xdr:rowOff>26404</xdr:rowOff>
    </xdr:from>
    <xdr:to>
      <xdr:col>9</xdr:col>
      <xdr:colOff>372971</xdr:colOff>
      <xdr:row>61</xdr:row>
      <xdr:rowOff>37698</xdr:rowOff>
    </xdr:to>
    <xdr:cxnSp macro="">
      <xdr:nvCxnSpPr>
        <xdr:cNvPr id="205" name="直線コネクタ 204">
          <a:extLst>
            <a:ext uri="{FF2B5EF4-FFF2-40B4-BE49-F238E27FC236}">
              <a16:creationId xmlns:a16="http://schemas.microsoft.com/office/drawing/2014/main" id="{00000000-0008-0000-0100-000099000000}"/>
            </a:ext>
          </a:extLst>
        </xdr:cNvPr>
        <xdr:cNvCxnSpPr/>
      </xdr:nvCxnSpPr>
      <xdr:spPr>
        <a:xfrm>
          <a:off x="4868771" y="12066004"/>
          <a:ext cx="0" cy="2798037"/>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8556</xdr:colOff>
      <xdr:row>45</xdr:row>
      <xdr:rowOff>26404</xdr:rowOff>
    </xdr:from>
    <xdr:to>
      <xdr:col>16</xdr:col>
      <xdr:colOff>8556</xdr:colOff>
      <xdr:row>61</xdr:row>
      <xdr:rowOff>37698</xdr:rowOff>
    </xdr:to>
    <xdr:cxnSp macro="">
      <xdr:nvCxnSpPr>
        <xdr:cNvPr id="206" name="直線コネクタ 205">
          <a:extLst>
            <a:ext uri="{FF2B5EF4-FFF2-40B4-BE49-F238E27FC236}">
              <a16:creationId xmlns:a16="http://schemas.microsoft.com/office/drawing/2014/main" id="{00000000-0008-0000-0100-00009A000000}"/>
            </a:ext>
          </a:extLst>
        </xdr:cNvPr>
        <xdr:cNvCxnSpPr/>
      </xdr:nvCxnSpPr>
      <xdr:spPr>
        <a:xfrm>
          <a:off x="7247556" y="12066004"/>
          <a:ext cx="0" cy="2798037"/>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369676</xdr:colOff>
      <xdr:row>45</xdr:row>
      <xdr:rowOff>26404</xdr:rowOff>
    </xdr:from>
    <xdr:to>
      <xdr:col>18</xdr:col>
      <xdr:colOff>369676</xdr:colOff>
      <xdr:row>61</xdr:row>
      <xdr:rowOff>37698</xdr:rowOff>
    </xdr:to>
    <xdr:cxnSp macro="">
      <xdr:nvCxnSpPr>
        <xdr:cNvPr id="207" name="直線コネクタ 206">
          <a:extLst>
            <a:ext uri="{FF2B5EF4-FFF2-40B4-BE49-F238E27FC236}">
              <a16:creationId xmlns:a16="http://schemas.microsoft.com/office/drawing/2014/main" id="{00000000-0008-0000-0100-00009B000000}"/>
            </a:ext>
          </a:extLst>
        </xdr:cNvPr>
        <xdr:cNvCxnSpPr/>
      </xdr:nvCxnSpPr>
      <xdr:spPr>
        <a:xfrm>
          <a:off x="8392447" y="12066004"/>
          <a:ext cx="0" cy="2798037"/>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290400</xdr:colOff>
      <xdr:row>54</xdr:row>
      <xdr:rowOff>40422</xdr:rowOff>
    </xdr:from>
    <xdr:to>
      <xdr:col>2</xdr:col>
      <xdr:colOff>558136</xdr:colOff>
      <xdr:row>54</xdr:row>
      <xdr:rowOff>40422</xdr:rowOff>
    </xdr:to>
    <xdr:cxnSp macro="">
      <xdr:nvCxnSpPr>
        <xdr:cNvPr id="208" name="直線矢印コネクタ 207">
          <a:extLst>
            <a:ext uri="{FF2B5EF4-FFF2-40B4-BE49-F238E27FC236}">
              <a16:creationId xmlns:a16="http://schemas.microsoft.com/office/drawing/2014/main" id="{00000000-0008-0000-0100-00009C000000}"/>
            </a:ext>
          </a:extLst>
        </xdr:cNvPr>
        <xdr:cNvCxnSpPr>
          <a:stCxn id="202" idx="3"/>
          <a:endCxn id="201" idx="1"/>
        </xdr:cNvCxnSpPr>
      </xdr:nvCxnSpPr>
      <xdr:spPr>
        <a:xfrm>
          <a:off x="1215686" y="13647565"/>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256866</xdr:colOff>
      <xdr:row>54</xdr:row>
      <xdr:rowOff>40422</xdr:rowOff>
    </xdr:from>
    <xdr:to>
      <xdr:col>4</xdr:col>
      <xdr:colOff>524602</xdr:colOff>
      <xdr:row>54</xdr:row>
      <xdr:rowOff>40422</xdr:rowOff>
    </xdr:to>
    <xdr:cxnSp macro="">
      <xdr:nvCxnSpPr>
        <xdr:cNvPr id="209" name="直線矢印コネクタ 208">
          <a:extLst>
            <a:ext uri="{FF2B5EF4-FFF2-40B4-BE49-F238E27FC236}">
              <a16:creationId xmlns:a16="http://schemas.microsoft.com/office/drawing/2014/main" id="{00000000-0008-0000-0100-00009D000000}"/>
            </a:ext>
          </a:extLst>
        </xdr:cNvPr>
        <xdr:cNvCxnSpPr>
          <a:stCxn id="201" idx="3"/>
          <a:endCxn id="203" idx="1"/>
        </xdr:cNvCxnSpPr>
      </xdr:nvCxnSpPr>
      <xdr:spPr>
        <a:xfrm>
          <a:off x="2379580" y="13647565"/>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223331</xdr:colOff>
      <xdr:row>54</xdr:row>
      <xdr:rowOff>40422</xdr:rowOff>
    </xdr:from>
    <xdr:to>
      <xdr:col>7</xdr:col>
      <xdr:colOff>105585</xdr:colOff>
      <xdr:row>54</xdr:row>
      <xdr:rowOff>40422</xdr:rowOff>
    </xdr:to>
    <xdr:cxnSp macro="">
      <xdr:nvCxnSpPr>
        <xdr:cNvPr id="210" name="直線矢印コネクタ 209">
          <a:extLst>
            <a:ext uri="{FF2B5EF4-FFF2-40B4-BE49-F238E27FC236}">
              <a16:creationId xmlns:a16="http://schemas.microsoft.com/office/drawing/2014/main" id="{00000000-0008-0000-0100-00009E000000}"/>
            </a:ext>
          </a:extLst>
        </xdr:cNvPr>
        <xdr:cNvCxnSpPr>
          <a:stCxn id="203" idx="3"/>
          <a:endCxn id="204" idx="1"/>
        </xdr:cNvCxnSpPr>
      </xdr:nvCxnSpPr>
      <xdr:spPr>
        <a:xfrm>
          <a:off x="3543474" y="13647565"/>
          <a:ext cx="274140"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234620</xdr:colOff>
      <xdr:row>54</xdr:row>
      <xdr:rowOff>40422</xdr:rowOff>
    </xdr:from>
    <xdr:to>
      <xdr:col>10</xdr:col>
      <xdr:colOff>116874</xdr:colOff>
      <xdr:row>54</xdr:row>
      <xdr:rowOff>40422</xdr:rowOff>
    </xdr:to>
    <xdr:cxnSp macro="">
      <xdr:nvCxnSpPr>
        <xdr:cNvPr id="211" name="直線矢印コネクタ 210">
          <a:extLst>
            <a:ext uri="{FF2B5EF4-FFF2-40B4-BE49-F238E27FC236}">
              <a16:creationId xmlns:a16="http://schemas.microsoft.com/office/drawing/2014/main" id="{00000000-0008-0000-0100-00009F000000}"/>
            </a:ext>
          </a:extLst>
        </xdr:cNvPr>
        <xdr:cNvCxnSpPr>
          <a:stCxn id="204" idx="3"/>
          <a:endCxn id="200" idx="1"/>
        </xdr:cNvCxnSpPr>
      </xdr:nvCxnSpPr>
      <xdr:spPr>
        <a:xfrm>
          <a:off x="4730420" y="13647565"/>
          <a:ext cx="274140"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245909</xdr:colOff>
      <xdr:row>54</xdr:row>
      <xdr:rowOff>40422</xdr:rowOff>
    </xdr:from>
    <xdr:to>
      <xdr:col>13</xdr:col>
      <xdr:colOff>128163</xdr:colOff>
      <xdr:row>54</xdr:row>
      <xdr:rowOff>40422</xdr:rowOff>
    </xdr:to>
    <xdr:cxnSp macro="">
      <xdr:nvCxnSpPr>
        <xdr:cNvPr id="212" name="直線矢印コネクタ 211">
          <a:extLst>
            <a:ext uri="{FF2B5EF4-FFF2-40B4-BE49-F238E27FC236}">
              <a16:creationId xmlns:a16="http://schemas.microsoft.com/office/drawing/2014/main" id="{00000000-0008-0000-0100-0000A0000000}"/>
            </a:ext>
          </a:extLst>
        </xdr:cNvPr>
        <xdr:cNvCxnSpPr>
          <a:stCxn id="200" idx="3"/>
          <a:endCxn id="199" idx="1"/>
        </xdr:cNvCxnSpPr>
      </xdr:nvCxnSpPr>
      <xdr:spPr>
        <a:xfrm>
          <a:off x="5917366" y="13647565"/>
          <a:ext cx="274140"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257198</xdr:colOff>
      <xdr:row>54</xdr:row>
      <xdr:rowOff>40422</xdr:rowOff>
    </xdr:from>
    <xdr:to>
      <xdr:col>16</xdr:col>
      <xdr:colOff>139452</xdr:colOff>
      <xdr:row>54</xdr:row>
      <xdr:rowOff>40422</xdr:rowOff>
    </xdr:to>
    <xdr:cxnSp macro="">
      <xdr:nvCxnSpPr>
        <xdr:cNvPr id="213" name="直線矢印コネクタ 212">
          <a:extLst>
            <a:ext uri="{FF2B5EF4-FFF2-40B4-BE49-F238E27FC236}">
              <a16:creationId xmlns:a16="http://schemas.microsoft.com/office/drawing/2014/main" id="{00000000-0008-0000-0100-0000A1000000}"/>
            </a:ext>
          </a:extLst>
        </xdr:cNvPr>
        <xdr:cNvCxnSpPr>
          <a:stCxn id="199" idx="3"/>
          <a:endCxn id="198" idx="1"/>
        </xdr:cNvCxnSpPr>
      </xdr:nvCxnSpPr>
      <xdr:spPr>
        <a:xfrm>
          <a:off x="7104312" y="13647565"/>
          <a:ext cx="274140"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268487</xdr:colOff>
      <xdr:row>54</xdr:row>
      <xdr:rowOff>40422</xdr:rowOff>
    </xdr:from>
    <xdr:to>
      <xdr:col>19</xdr:col>
      <xdr:colOff>150739</xdr:colOff>
      <xdr:row>54</xdr:row>
      <xdr:rowOff>40422</xdr:rowOff>
    </xdr:to>
    <xdr:cxnSp macro="">
      <xdr:nvCxnSpPr>
        <xdr:cNvPr id="214" name="直線矢印コネクタ 213">
          <a:extLst>
            <a:ext uri="{FF2B5EF4-FFF2-40B4-BE49-F238E27FC236}">
              <a16:creationId xmlns:a16="http://schemas.microsoft.com/office/drawing/2014/main" id="{00000000-0008-0000-0100-0000A2000000}"/>
            </a:ext>
          </a:extLst>
        </xdr:cNvPr>
        <xdr:cNvCxnSpPr>
          <a:stCxn id="198" idx="3"/>
          <a:endCxn id="197" idx="1"/>
        </xdr:cNvCxnSpPr>
      </xdr:nvCxnSpPr>
      <xdr:spPr>
        <a:xfrm>
          <a:off x="8291258" y="13647565"/>
          <a:ext cx="274138"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104074</xdr:colOff>
      <xdr:row>48</xdr:row>
      <xdr:rowOff>148123</xdr:rowOff>
    </xdr:from>
    <xdr:to>
      <xdr:col>9</xdr:col>
      <xdr:colOff>233109</xdr:colOff>
      <xdr:row>50</xdr:row>
      <xdr:rowOff>41534</xdr:rowOff>
    </xdr:to>
    <xdr:sp macro="" textlink="">
      <xdr:nvSpPr>
        <xdr:cNvPr id="215" name="正方形/長方形 214">
          <a:extLst>
            <a:ext uri="{FF2B5EF4-FFF2-40B4-BE49-F238E27FC236}">
              <a16:creationId xmlns:a16="http://schemas.microsoft.com/office/drawing/2014/main" id="{00000000-0008-0000-0100-0000A3000000}"/>
            </a:ext>
          </a:extLst>
        </xdr:cNvPr>
        <xdr:cNvSpPr/>
      </xdr:nvSpPr>
      <xdr:spPr>
        <a:xfrm>
          <a:off x="3816103" y="12710237"/>
          <a:ext cx="912806" cy="241754"/>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水道水</a:t>
          </a:r>
        </a:p>
      </xdr:txBody>
    </xdr:sp>
    <xdr:clientData/>
  </xdr:twoCellAnchor>
  <xdr:twoCellAnchor>
    <xdr:from>
      <xdr:col>13</xdr:col>
      <xdr:colOff>125141</xdr:colOff>
      <xdr:row>48</xdr:row>
      <xdr:rowOff>148123</xdr:rowOff>
    </xdr:from>
    <xdr:to>
      <xdr:col>15</xdr:col>
      <xdr:colOff>254176</xdr:colOff>
      <xdr:row>50</xdr:row>
      <xdr:rowOff>41534</xdr:rowOff>
    </xdr:to>
    <xdr:sp macro="" textlink="">
      <xdr:nvSpPr>
        <xdr:cNvPr id="216" name="正方形/長方形 215">
          <a:extLst>
            <a:ext uri="{FF2B5EF4-FFF2-40B4-BE49-F238E27FC236}">
              <a16:creationId xmlns:a16="http://schemas.microsoft.com/office/drawing/2014/main" id="{00000000-0008-0000-0100-0000A4000000}"/>
            </a:ext>
          </a:extLst>
        </xdr:cNvPr>
        <xdr:cNvSpPr/>
      </xdr:nvSpPr>
      <xdr:spPr>
        <a:xfrm>
          <a:off x="6188484" y="12710237"/>
          <a:ext cx="912806" cy="241754"/>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16</xdr:col>
      <xdr:colOff>148419</xdr:colOff>
      <xdr:row>48</xdr:row>
      <xdr:rowOff>148123</xdr:rowOff>
    </xdr:from>
    <xdr:to>
      <xdr:col>18</xdr:col>
      <xdr:colOff>277454</xdr:colOff>
      <xdr:row>50</xdr:row>
      <xdr:rowOff>41534</xdr:rowOff>
    </xdr:to>
    <xdr:sp macro="" textlink="">
      <xdr:nvSpPr>
        <xdr:cNvPr id="217" name="正方形/長方形 216">
          <a:extLst>
            <a:ext uri="{FF2B5EF4-FFF2-40B4-BE49-F238E27FC236}">
              <a16:creationId xmlns:a16="http://schemas.microsoft.com/office/drawing/2014/main" id="{00000000-0008-0000-0100-0000A5000000}"/>
            </a:ext>
          </a:extLst>
        </xdr:cNvPr>
        <xdr:cNvSpPr/>
      </xdr:nvSpPr>
      <xdr:spPr>
        <a:xfrm>
          <a:off x="7387419" y="12710237"/>
          <a:ext cx="912806" cy="241754"/>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8</xdr:col>
      <xdr:colOff>168591</xdr:colOff>
      <xdr:row>50</xdr:row>
      <xdr:rowOff>41534</xdr:rowOff>
    </xdr:from>
    <xdr:to>
      <xdr:col>8</xdr:col>
      <xdr:colOff>170102</xdr:colOff>
      <xdr:row>52</xdr:row>
      <xdr:rowOff>141200</xdr:rowOff>
    </xdr:to>
    <xdr:cxnSp macro="">
      <xdr:nvCxnSpPr>
        <xdr:cNvPr id="218" name="直線矢印コネクタ 217">
          <a:extLst>
            <a:ext uri="{FF2B5EF4-FFF2-40B4-BE49-F238E27FC236}">
              <a16:creationId xmlns:a16="http://schemas.microsoft.com/office/drawing/2014/main" id="{00000000-0008-0000-0100-0000A6000000}"/>
            </a:ext>
          </a:extLst>
        </xdr:cNvPr>
        <xdr:cNvCxnSpPr>
          <a:stCxn id="215" idx="2"/>
          <a:endCxn id="204" idx="0"/>
        </xdr:cNvCxnSpPr>
      </xdr:nvCxnSpPr>
      <xdr:spPr>
        <a:xfrm>
          <a:off x="4272505" y="12951991"/>
          <a:ext cx="1511" cy="448009"/>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189658</xdr:colOff>
      <xdr:row>50</xdr:row>
      <xdr:rowOff>41534</xdr:rowOff>
    </xdr:from>
    <xdr:to>
      <xdr:col>14</xdr:col>
      <xdr:colOff>192680</xdr:colOff>
      <xdr:row>52</xdr:row>
      <xdr:rowOff>141200</xdr:rowOff>
    </xdr:to>
    <xdr:cxnSp macro="">
      <xdr:nvCxnSpPr>
        <xdr:cNvPr id="219" name="直線矢印コネクタ 218">
          <a:extLst>
            <a:ext uri="{FF2B5EF4-FFF2-40B4-BE49-F238E27FC236}">
              <a16:creationId xmlns:a16="http://schemas.microsoft.com/office/drawing/2014/main" id="{00000000-0008-0000-0100-0000A7000000}"/>
            </a:ext>
          </a:extLst>
        </xdr:cNvPr>
        <xdr:cNvCxnSpPr>
          <a:stCxn id="216" idx="2"/>
          <a:endCxn id="199" idx="0"/>
        </xdr:cNvCxnSpPr>
      </xdr:nvCxnSpPr>
      <xdr:spPr>
        <a:xfrm>
          <a:off x="6644887" y="12951991"/>
          <a:ext cx="3022" cy="448009"/>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203969</xdr:colOff>
      <xdr:row>50</xdr:row>
      <xdr:rowOff>41534</xdr:rowOff>
    </xdr:from>
    <xdr:to>
      <xdr:col>17</xdr:col>
      <xdr:colOff>212936</xdr:colOff>
      <xdr:row>52</xdr:row>
      <xdr:rowOff>141200</xdr:rowOff>
    </xdr:to>
    <xdr:cxnSp macro="">
      <xdr:nvCxnSpPr>
        <xdr:cNvPr id="220" name="直線矢印コネクタ 219">
          <a:extLst>
            <a:ext uri="{FF2B5EF4-FFF2-40B4-BE49-F238E27FC236}">
              <a16:creationId xmlns:a16="http://schemas.microsoft.com/office/drawing/2014/main" id="{00000000-0008-0000-0100-0000A8000000}"/>
            </a:ext>
          </a:extLst>
        </xdr:cNvPr>
        <xdr:cNvCxnSpPr>
          <a:stCxn id="217" idx="2"/>
          <a:endCxn id="198" idx="0"/>
        </xdr:cNvCxnSpPr>
      </xdr:nvCxnSpPr>
      <xdr:spPr>
        <a:xfrm flipH="1">
          <a:off x="7834855" y="12951991"/>
          <a:ext cx="8967" cy="448009"/>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19955</xdr:colOff>
      <xdr:row>41</xdr:row>
      <xdr:rowOff>9359</xdr:rowOff>
    </xdr:from>
    <xdr:to>
      <xdr:col>16</xdr:col>
      <xdr:colOff>148991</xdr:colOff>
      <xdr:row>42</xdr:row>
      <xdr:rowOff>82065</xdr:rowOff>
    </xdr:to>
    <xdr:sp macro="" textlink="">
      <xdr:nvSpPr>
        <xdr:cNvPr id="221" name="正方形/長方形 220">
          <a:extLst>
            <a:ext uri="{FF2B5EF4-FFF2-40B4-BE49-F238E27FC236}">
              <a16:creationId xmlns:a16="http://schemas.microsoft.com/office/drawing/2014/main" id="{00000000-0008-0000-0100-0000A9000000}"/>
            </a:ext>
          </a:extLst>
        </xdr:cNvPr>
        <xdr:cNvSpPr/>
      </xdr:nvSpPr>
      <xdr:spPr>
        <a:xfrm>
          <a:off x="6475184" y="11352273"/>
          <a:ext cx="912807" cy="246878"/>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インプット</a:t>
          </a:r>
        </a:p>
      </xdr:txBody>
    </xdr:sp>
    <xdr:clientData/>
  </xdr:twoCellAnchor>
  <xdr:twoCellAnchor>
    <xdr:from>
      <xdr:col>16</xdr:col>
      <xdr:colOff>218422</xdr:colOff>
      <xdr:row>43</xdr:row>
      <xdr:rowOff>55841</xdr:rowOff>
    </xdr:from>
    <xdr:to>
      <xdr:col>17</xdr:col>
      <xdr:colOff>100675</xdr:colOff>
      <xdr:row>43</xdr:row>
      <xdr:rowOff>55841</xdr:rowOff>
    </xdr:to>
    <xdr:cxnSp macro="">
      <xdr:nvCxnSpPr>
        <xdr:cNvPr id="222" name="直線矢印コネクタ 221">
          <a:extLst>
            <a:ext uri="{FF2B5EF4-FFF2-40B4-BE49-F238E27FC236}">
              <a16:creationId xmlns:a16="http://schemas.microsoft.com/office/drawing/2014/main" id="{00000000-0008-0000-0100-0000AA000000}"/>
            </a:ext>
          </a:extLst>
        </xdr:cNvPr>
        <xdr:cNvCxnSpPr/>
      </xdr:nvCxnSpPr>
      <xdr:spPr>
        <a:xfrm>
          <a:off x="7457422" y="11747098"/>
          <a:ext cx="274139"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319549</xdr:colOff>
      <xdr:row>42</xdr:row>
      <xdr:rowOff>72796</xdr:rowOff>
    </xdr:from>
    <xdr:to>
      <xdr:col>16</xdr:col>
      <xdr:colOff>290334</xdr:colOff>
      <xdr:row>43</xdr:row>
      <xdr:rowOff>170501</xdr:rowOff>
    </xdr:to>
    <xdr:sp macro="" textlink="">
      <xdr:nvSpPr>
        <xdr:cNvPr id="223" name="正方形/長方形 222">
          <a:extLst>
            <a:ext uri="{FF2B5EF4-FFF2-40B4-BE49-F238E27FC236}">
              <a16:creationId xmlns:a16="http://schemas.microsoft.com/office/drawing/2014/main" id="{00000000-0008-0000-0100-0000AB000000}"/>
            </a:ext>
          </a:extLst>
        </xdr:cNvPr>
        <xdr:cNvSpPr/>
      </xdr:nvSpPr>
      <xdr:spPr>
        <a:xfrm>
          <a:off x="6382892" y="11589882"/>
          <a:ext cx="1146442" cy="271876"/>
        </a:xfrm>
        <a:prstGeom prst="rect">
          <a:avLst/>
        </a:prstGeom>
      </xdr:spPr>
      <xdr:txBody>
        <a:bodyPr wrap="square">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buFont typeface="Wingdings 2" pitchFamily="18" charset="2"/>
            <a:buNone/>
          </a:pPr>
          <a:r>
            <a:rPr kumimoji="1" lang="ja-JP" altLang="en-US" sz="1200"/>
            <a:t>水素のフロー：</a:t>
          </a:r>
        </a:p>
      </xdr:txBody>
    </xdr:sp>
    <xdr:clientData/>
  </xdr:twoCellAnchor>
  <xdr:twoCellAnchor>
    <xdr:from>
      <xdr:col>20</xdr:col>
      <xdr:colOff>332572</xdr:colOff>
      <xdr:row>43</xdr:row>
      <xdr:rowOff>55841</xdr:rowOff>
    </xdr:from>
    <xdr:to>
      <xdr:col>20</xdr:col>
      <xdr:colOff>600308</xdr:colOff>
      <xdr:row>43</xdr:row>
      <xdr:rowOff>55841</xdr:rowOff>
    </xdr:to>
    <xdr:cxnSp macro="">
      <xdr:nvCxnSpPr>
        <xdr:cNvPr id="224" name="直線矢印コネクタ 223">
          <a:extLst>
            <a:ext uri="{FF2B5EF4-FFF2-40B4-BE49-F238E27FC236}">
              <a16:creationId xmlns:a16="http://schemas.microsoft.com/office/drawing/2014/main" id="{00000000-0008-0000-0100-0000AC000000}"/>
            </a:ext>
          </a:extLst>
        </xdr:cNvPr>
        <xdr:cNvCxnSpPr/>
      </xdr:nvCxnSpPr>
      <xdr:spPr>
        <a:xfrm>
          <a:off x="9139115" y="11747098"/>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311779</xdr:colOff>
      <xdr:row>42</xdr:row>
      <xdr:rowOff>77876</xdr:rowOff>
    </xdr:from>
    <xdr:to>
      <xdr:col>20</xdr:col>
      <xdr:colOff>425231</xdr:colOff>
      <xdr:row>44</xdr:row>
      <xdr:rowOff>1409</xdr:rowOff>
    </xdr:to>
    <xdr:sp macro="" textlink="">
      <xdr:nvSpPr>
        <xdr:cNvPr id="225" name="正方形/長方形 224">
          <a:extLst>
            <a:ext uri="{FF2B5EF4-FFF2-40B4-BE49-F238E27FC236}">
              <a16:creationId xmlns:a16="http://schemas.microsoft.com/office/drawing/2014/main" id="{00000000-0008-0000-0100-0000AD000000}"/>
            </a:ext>
          </a:extLst>
        </xdr:cNvPr>
        <xdr:cNvSpPr/>
      </xdr:nvSpPr>
      <xdr:spPr>
        <a:xfrm>
          <a:off x="7942665" y="11594962"/>
          <a:ext cx="1289109" cy="271876"/>
        </a:xfrm>
        <a:prstGeom prst="rect">
          <a:avLst/>
        </a:prstGeom>
      </xdr:spPr>
      <xdr:txBody>
        <a:bodyPr wrap="square">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buFont typeface="Wingdings 2" pitchFamily="18" charset="2"/>
            <a:buNone/>
          </a:pPr>
          <a:r>
            <a:rPr kumimoji="1" lang="ja-JP" altLang="en-US" sz="1200"/>
            <a:t>その他のフロー：</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369794</xdr:colOff>
      <xdr:row>15</xdr:row>
      <xdr:rowOff>56030</xdr:rowOff>
    </xdr:from>
    <xdr:to>
      <xdr:col>15</xdr:col>
      <xdr:colOff>56029</xdr:colOff>
      <xdr:row>15</xdr:row>
      <xdr:rowOff>324972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871537" y="2635944"/>
          <a:ext cx="3942549" cy="26894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発熱量は低位発熱量（</a:t>
          </a:r>
          <a:r>
            <a:rPr kumimoji="1" lang="en-US" altLang="ja-JP" sz="1200" b="1">
              <a:solidFill>
                <a:srgbClr val="FF0000"/>
              </a:solidFill>
            </a:rPr>
            <a:t>LHV</a:t>
          </a:r>
          <a:r>
            <a:rPr kumimoji="1" lang="ja-JP" altLang="en-US" sz="1200" b="1">
              <a:solidFill>
                <a:srgbClr val="FF0000"/>
              </a:solidFill>
            </a:rPr>
            <a:t>）で表示されています</a:t>
          </a:r>
        </a:p>
      </xdr:txBody>
    </xdr:sp>
    <xdr:clientData/>
  </xdr:twoCellAnchor>
  <xdr:twoCellAnchor>
    <xdr:from>
      <xdr:col>1</xdr:col>
      <xdr:colOff>174171</xdr:colOff>
      <xdr:row>144</xdr:row>
      <xdr:rowOff>87086</xdr:rowOff>
    </xdr:from>
    <xdr:to>
      <xdr:col>10</xdr:col>
      <xdr:colOff>261257</xdr:colOff>
      <xdr:row>168</xdr:row>
      <xdr:rowOff>152400</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838200</xdr:colOff>
      <xdr:row>2</xdr:row>
      <xdr:rowOff>0</xdr:rowOff>
    </xdr:from>
    <xdr:to>
      <xdr:col>15</xdr:col>
      <xdr:colOff>64226</xdr:colOff>
      <xdr:row>8</xdr:row>
      <xdr:rowOff>41795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025743" y="391886"/>
          <a:ext cx="2796540" cy="10432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12</xdr:col>
      <xdr:colOff>886886</xdr:colOff>
      <xdr:row>3</xdr:row>
      <xdr:rowOff>92200</xdr:rowOff>
    </xdr:from>
    <xdr:to>
      <xdr:col>15</xdr:col>
      <xdr:colOff>7647</xdr:colOff>
      <xdr:row>7</xdr:row>
      <xdr:rowOff>137746</xdr:rowOff>
    </xdr:to>
    <xdr:pic>
      <xdr:nvPicPr>
        <xdr:cNvPr id="8" name="図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74429" y="647371"/>
          <a:ext cx="2712057" cy="710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97971</xdr:colOff>
      <xdr:row>109</xdr:row>
      <xdr:rowOff>141514</xdr:rowOff>
    </xdr:from>
    <xdr:to>
      <xdr:col>5</xdr:col>
      <xdr:colOff>535320</xdr:colOff>
      <xdr:row>114</xdr:row>
      <xdr:rowOff>10886</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13657" y="18222685"/>
          <a:ext cx="3942549" cy="72934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ここでの資本財に係る入力は不要です。</a:t>
          </a:r>
          <a:endParaRPr kumimoji="1" lang="en-US" altLang="ja-JP" sz="1200" b="1">
            <a:solidFill>
              <a:srgbClr val="FF0000"/>
            </a:solidFill>
          </a:endParaRPr>
        </a:p>
        <a:p>
          <a:pPr algn="ctr"/>
          <a:r>
            <a:rPr kumimoji="1" lang="ja-JP" altLang="en-US" sz="1200" b="1">
              <a:solidFill>
                <a:srgbClr val="FF0000"/>
              </a:solidFill>
            </a:rPr>
            <a:t>資本財の値は、資本財シート又は</a:t>
          </a:r>
          <a:endParaRPr kumimoji="1" lang="en-US" altLang="ja-JP" sz="1200" b="1">
            <a:solidFill>
              <a:srgbClr val="FF0000"/>
            </a:solidFill>
          </a:endParaRPr>
        </a:p>
        <a:p>
          <a:pPr algn="ctr"/>
          <a:r>
            <a:rPr kumimoji="1" lang="ja-JP" altLang="en-US" sz="1200" b="1">
              <a:solidFill>
                <a:srgbClr val="FF0000"/>
              </a:solidFill>
            </a:rPr>
            <a:t>ユーティリティの再生可能エネルギーを参照しています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209550</xdr:colOff>
      <xdr:row>14</xdr:row>
      <xdr:rowOff>67795</xdr:rowOff>
    </xdr:from>
    <xdr:to>
      <xdr:col>14</xdr:col>
      <xdr:colOff>946896</xdr:colOff>
      <xdr:row>16</xdr:row>
      <xdr:rowOff>8403</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8916521" y="6578413"/>
          <a:ext cx="3706904" cy="29919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発熱量は低位発熱量（</a:t>
          </a:r>
          <a:r>
            <a:rPr kumimoji="1" lang="en-US" altLang="ja-JP" sz="1200" b="1">
              <a:solidFill>
                <a:srgbClr val="FF0000"/>
              </a:solidFill>
            </a:rPr>
            <a:t>LHV</a:t>
          </a:r>
          <a:r>
            <a:rPr kumimoji="1" lang="ja-JP" altLang="en-US" sz="1200" b="1">
              <a:solidFill>
                <a:srgbClr val="FF0000"/>
              </a:solidFill>
            </a:rPr>
            <a:t>）で表示されています</a:t>
          </a:r>
        </a:p>
      </xdr:txBody>
    </xdr:sp>
    <xdr:clientData/>
  </xdr:twoCellAnchor>
  <xdr:twoCellAnchor>
    <xdr:from>
      <xdr:col>1</xdr:col>
      <xdr:colOff>119743</xdr:colOff>
      <xdr:row>144</xdr:row>
      <xdr:rowOff>76200</xdr:rowOff>
    </xdr:from>
    <xdr:to>
      <xdr:col>9</xdr:col>
      <xdr:colOff>566058</xdr:colOff>
      <xdr:row>168</xdr:row>
      <xdr:rowOff>141515</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429490</xdr:colOff>
      <xdr:row>2</xdr:row>
      <xdr:rowOff>0</xdr:rowOff>
    </xdr:from>
    <xdr:to>
      <xdr:col>14</xdr:col>
      <xdr:colOff>934093</xdr:colOff>
      <xdr:row>7</xdr:row>
      <xdr:rowOff>172423</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0072254" y="387927"/>
          <a:ext cx="2790603" cy="107296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12</xdr:col>
      <xdr:colOff>478177</xdr:colOff>
      <xdr:row>3</xdr:row>
      <xdr:rowOff>92201</xdr:rowOff>
    </xdr:from>
    <xdr:to>
      <xdr:col>14</xdr:col>
      <xdr:colOff>898297</xdr:colOff>
      <xdr:row>7</xdr:row>
      <xdr:rowOff>106079</xdr:rowOff>
    </xdr:to>
    <xdr:pic>
      <xdr:nvPicPr>
        <xdr:cNvPr id="9" name="図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0941" y="660237"/>
          <a:ext cx="2706120" cy="734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110</xdr:row>
      <xdr:rowOff>0</xdr:rowOff>
    </xdr:from>
    <xdr:to>
      <xdr:col>5</xdr:col>
      <xdr:colOff>262089</xdr:colOff>
      <xdr:row>114</xdr:row>
      <xdr:rowOff>14152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304800" y="18867120"/>
          <a:ext cx="3980649" cy="74567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ここでの資本財に係る入力は不要です。</a:t>
          </a:r>
          <a:endParaRPr kumimoji="1" lang="en-US" altLang="ja-JP" sz="1200" b="1">
            <a:solidFill>
              <a:srgbClr val="FF0000"/>
            </a:solidFill>
          </a:endParaRPr>
        </a:p>
        <a:p>
          <a:pPr algn="ctr"/>
          <a:r>
            <a:rPr kumimoji="1" lang="ja-JP" altLang="en-US" sz="1200" b="1">
              <a:solidFill>
                <a:srgbClr val="FF0000"/>
              </a:solidFill>
            </a:rPr>
            <a:t>資本財の値は、資本財シート又は</a:t>
          </a:r>
          <a:endParaRPr kumimoji="1" lang="en-US" altLang="ja-JP" sz="1200" b="1">
            <a:solidFill>
              <a:srgbClr val="FF0000"/>
            </a:solidFill>
          </a:endParaRPr>
        </a:p>
        <a:p>
          <a:pPr algn="ctr"/>
          <a:r>
            <a:rPr kumimoji="1" lang="ja-JP" altLang="en-US" sz="1200" b="1">
              <a:solidFill>
                <a:srgbClr val="FF0000"/>
              </a:solidFill>
            </a:rPr>
            <a:t>ユーティリティの再生可能エネルギーを参照しています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476250</xdr:colOff>
      <xdr:row>15</xdr:row>
      <xdr:rowOff>38100</xdr:rowOff>
    </xdr:from>
    <xdr:to>
      <xdr:col>14</xdr:col>
      <xdr:colOff>994521</xdr:colOff>
      <xdr:row>16</xdr:row>
      <xdr:rowOff>114300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9648825" y="3581400"/>
          <a:ext cx="3709146" cy="2571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発熱量は低位発熱量（</a:t>
          </a:r>
          <a:r>
            <a:rPr kumimoji="1" lang="en-US" altLang="ja-JP" sz="1200" b="1">
              <a:solidFill>
                <a:srgbClr val="FF0000"/>
              </a:solidFill>
            </a:rPr>
            <a:t>LHV</a:t>
          </a:r>
          <a:r>
            <a:rPr kumimoji="1" lang="ja-JP" altLang="en-US" sz="1200" b="1">
              <a:solidFill>
                <a:srgbClr val="FF0000"/>
              </a:solidFill>
            </a:rPr>
            <a:t>）で表示されています</a:t>
          </a:r>
        </a:p>
      </xdr:txBody>
    </xdr:sp>
    <xdr:clientData/>
  </xdr:twoCellAnchor>
  <xdr:twoCellAnchor>
    <xdr:from>
      <xdr:col>1</xdr:col>
      <xdr:colOff>87085</xdr:colOff>
      <xdr:row>144</xdr:row>
      <xdr:rowOff>65314</xdr:rowOff>
    </xdr:from>
    <xdr:to>
      <xdr:col>9</xdr:col>
      <xdr:colOff>217714</xdr:colOff>
      <xdr:row>168</xdr:row>
      <xdr:rowOff>130628</xdr:rowOff>
    </xdr:to>
    <xdr:graphicFrame macro="">
      <xdr:nvGraphicFramePr>
        <xdr:cNvPr id="3" name="グラフ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718457</xdr:colOff>
      <xdr:row>2</xdr:row>
      <xdr:rowOff>0</xdr:rowOff>
    </xdr:from>
    <xdr:to>
      <xdr:col>14</xdr:col>
      <xdr:colOff>1011283</xdr:colOff>
      <xdr:row>8</xdr:row>
      <xdr:rowOff>63566</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0678886" y="391886"/>
          <a:ext cx="2796540" cy="10432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12</xdr:col>
      <xdr:colOff>767144</xdr:colOff>
      <xdr:row>3</xdr:row>
      <xdr:rowOff>103087</xdr:rowOff>
    </xdr:from>
    <xdr:to>
      <xdr:col>14</xdr:col>
      <xdr:colOff>975487</xdr:colOff>
      <xdr:row>7</xdr:row>
      <xdr:rowOff>160508</xdr:rowOff>
    </xdr:to>
    <xdr:pic>
      <xdr:nvPicPr>
        <xdr:cNvPr id="6" name="図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7573" y="658258"/>
          <a:ext cx="2712057" cy="710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110</xdr:row>
      <xdr:rowOff>0</xdr:rowOff>
    </xdr:from>
    <xdr:to>
      <xdr:col>5</xdr:col>
      <xdr:colOff>353529</xdr:colOff>
      <xdr:row>114</xdr:row>
      <xdr:rowOff>14152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304800" y="18867120"/>
          <a:ext cx="3980649" cy="74567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ここでの資本財に係る入力は不要です。</a:t>
          </a:r>
          <a:endParaRPr kumimoji="1" lang="en-US" altLang="ja-JP" sz="1200" b="1">
            <a:solidFill>
              <a:srgbClr val="FF0000"/>
            </a:solidFill>
          </a:endParaRPr>
        </a:p>
        <a:p>
          <a:pPr algn="ctr"/>
          <a:r>
            <a:rPr kumimoji="1" lang="ja-JP" altLang="en-US" sz="1200" b="1">
              <a:solidFill>
                <a:srgbClr val="FF0000"/>
              </a:solidFill>
            </a:rPr>
            <a:t>資本財の値は、資本財シート又は</a:t>
          </a:r>
          <a:endParaRPr kumimoji="1" lang="en-US" altLang="ja-JP" sz="1200" b="1">
            <a:solidFill>
              <a:srgbClr val="FF0000"/>
            </a:solidFill>
          </a:endParaRPr>
        </a:p>
        <a:p>
          <a:pPr algn="ctr"/>
          <a:r>
            <a:rPr kumimoji="1" lang="ja-JP" altLang="en-US" sz="1200" b="1">
              <a:solidFill>
                <a:srgbClr val="FF0000"/>
              </a:solidFill>
            </a:rPr>
            <a:t>ユーティリティの再生可能エネルギーを参照しています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xdr:colOff>
      <xdr:row>25</xdr:row>
      <xdr:rowOff>171450</xdr:rowOff>
    </xdr:from>
    <xdr:to>
      <xdr:col>6</xdr:col>
      <xdr:colOff>800100</xdr:colOff>
      <xdr:row>41</xdr:row>
      <xdr:rowOff>110490</xdr:rowOff>
    </xdr:to>
    <xdr:graphicFrame macro="">
      <xdr:nvGraphicFramePr>
        <xdr:cNvPr id="4" name="グラフ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18</xdr:row>
      <xdr:rowOff>133894</xdr:rowOff>
    </xdr:from>
    <xdr:to>
      <xdr:col>10</xdr:col>
      <xdr:colOff>475450</xdr:colOff>
      <xdr:row>23</xdr:row>
      <xdr:rowOff>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373586" y="3366951"/>
          <a:ext cx="3975207" cy="7696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製造段階から貯蔵・輸送段階等への過程において、</a:t>
          </a:r>
          <a:endParaRPr kumimoji="1" lang="en-US" altLang="ja-JP" sz="1200" b="1">
            <a:solidFill>
              <a:srgbClr val="FF0000"/>
            </a:solidFill>
          </a:endParaRPr>
        </a:p>
        <a:p>
          <a:pPr algn="ctr"/>
          <a:r>
            <a:rPr kumimoji="1" lang="ja-JP" altLang="en-US" sz="1200" b="1">
              <a:solidFill>
                <a:srgbClr val="FF0000"/>
              </a:solidFill>
            </a:rPr>
            <a:t>水素の漏えい等によってロスが生じる場合は、</a:t>
          </a:r>
          <a:r>
            <a:rPr kumimoji="1" lang="en-US" altLang="ja-JP" sz="1200" b="1">
              <a:solidFill>
                <a:srgbClr val="FF0000"/>
              </a:solidFill>
            </a:rPr>
            <a:t/>
          </a:r>
          <a:br>
            <a:rPr kumimoji="1" lang="en-US" altLang="ja-JP" sz="1200" b="1">
              <a:solidFill>
                <a:srgbClr val="FF0000"/>
              </a:solidFill>
            </a:rPr>
          </a:br>
          <a:r>
            <a:rPr kumimoji="1" lang="ja-JP" altLang="en-US" sz="1200" b="1">
              <a:solidFill>
                <a:srgbClr val="FF0000"/>
              </a:solidFill>
            </a:rPr>
            <a:t>右のロス率を入力してください。</a:t>
          </a:r>
          <a:endParaRPr kumimoji="1" lang="en-US" altLang="ja-JP" sz="12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400049</xdr:colOff>
      <xdr:row>0</xdr:row>
      <xdr:rowOff>66675</xdr:rowOff>
    </xdr:from>
    <xdr:to>
      <xdr:col>9</xdr:col>
      <xdr:colOff>485774</xdr:colOff>
      <xdr:row>1</xdr:row>
      <xdr:rowOff>135592</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3248024" y="66675"/>
          <a:ext cx="4391025" cy="26894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利用機器の算定に資本財としての排出量は含まれません</a:t>
          </a:r>
          <a:endParaRPr kumimoji="1" lang="en-US" altLang="ja-JP" sz="1200" b="1">
            <a:solidFill>
              <a:srgbClr val="FF0000"/>
            </a:solidFill>
          </a:endParaRPr>
        </a:p>
      </xdr:txBody>
    </xdr:sp>
    <xdr:clientData/>
  </xdr:twoCellAnchor>
  <xdr:twoCellAnchor>
    <xdr:from>
      <xdr:col>3</xdr:col>
      <xdr:colOff>957943</xdr:colOff>
      <xdr:row>1</xdr:row>
      <xdr:rowOff>174171</xdr:rowOff>
    </xdr:from>
    <xdr:to>
      <xdr:col>7</xdr:col>
      <xdr:colOff>64225</xdr:colOff>
      <xdr:row>7</xdr:row>
      <xdr:rowOff>107108</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3799114" y="370114"/>
          <a:ext cx="2796540" cy="10432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4</xdr:col>
      <xdr:colOff>37801</xdr:colOff>
      <xdr:row>3</xdr:row>
      <xdr:rowOff>70429</xdr:rowOff>
    </xdr:from>
    <xdr:to>
      <xdr:col>7</xdr:col>
      <xdr:colOff>28429</xdr:colOff>
      <xdr:row>7</xdr:row>
      <xdr:rowOff>40764</xdr:rowOff>
    </xdr:to>
    <xdr:pic>
      <xdr:nvPicPr>
        <xdr:cNvPr id="4" name="図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7801" y="636486"/>
          <a:ext cx="2712057" cy="710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742949</xdr:colOff>
      <xdr:row>22</xdr:row>
      <xdr:rowOff>47625</xdr:rowOff>
    </xdr:from>
    <xdr:to>
      <xdr:col>8</xdr:col>
      <xdr:colOff>866775</xdr:colOff>
      <xdr:row>44</xdr:row>
      <xdr:rowOff>85725</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259080</xdr:colOff>
          <xdr:row>3</xdr:row>
          <xdr:rowOff>175260</xdr:rowOff>
        </xdr:from>
        <xdr:to>
          <xdr:col>4</xdr:col>
          <xdr:colOff>487680</xdr:colOff>
          <xdr:row>3</xdr:row>
          <xdr:rowOff>365760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A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4</xdr:row>
          <xdr:rowOff>175260</xdr:rowOff>
        </xdr:from>
        <xdr:to>
          <xdr:col>4</xdr:col>
          <xdr:colOff>487680</xdr:colOff>
          <xdr:row>4</xdr:row>
          <xdr:rowOff>365760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A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5</xdr:row>
          <xdr:rowOff>175260</xdr:rowOff>
        </xdr:from>
        <xdr:to>
          <xdr:col>4</xdr:col>
          <xdr:colOff>487680</xdr:colOff>
          <xdr:row>5</xdr:row>
          <xdr:rowOff>365760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A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6</xdr:row>
          <xdr:rowOff>175260</xdr:rowOff>
        </xdr:from>
        <xdr:to>
          <xdr:col>4</xdr:col>
          <xdr:colOff>487680</xdr:colOff>
          <xdr:row>6</xdr:row>
          <xdr:rowOff>365760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A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8</xdr:row>
          <xdr:rowOff>175260</xdr:rowOff>
        </xdr:from>
        <xdr:to>
          <xdr:col>4</xdr:col>
          <xdr:colOff>487680</xdr:colOff>
          <xdr:row>8</xdr:row>
          <xdr:rowOff>365760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A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9</xdr:row>
          <xdr:rowOff>175260</xdr:rowOff>
        </xdr:from>
        <xdr:to>
          <xdr:col>4</xdr:col>
          <xdr:colOff>487680</xdr:colOff>
          <xdr:row>9</xdr:row>
          <xdr:rowOff>365760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A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11</xdr:row>
          <xdr:rowOff>175260</xdr:rowOff>
        </xdr:from>
        <xdr:to>
          <xdr:col>4</xdr:col>
          <xdr:colOff>487680</xdr:colOff>
          <xdr:row>11</xdr:row>
          <xdr:rowOff>365760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A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12</xdr:row>
          <xdr:rowOff>175260</xdr:rowOff>
        </xdr:from>
        <xdr:to>
          <xdr:col>4</xdr:col>
          <xdr:colOff>487680</xdr:colOff>
          <xdr:row>12</xdr:row>
          <xdr:rowOff>365760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A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13</xdr:row>
          <xdr:rowOff>160020</xdr:rowOff>
        </xdr:from>
        <xdr:to>
          <xdr:col>4</xdr:col>
          <xdr:colOff>487680</xdr:colOff>
          <xdr:row>13</xdr:row>
          <xdr:rowOff>365760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A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14</xdr:row>
          <xdr:rowOff>160020</xdr:rowOff>
        </xdr:from>
        <xdr:to>
          <xdr:col>4</xdr:col>
          <xdr:colOff>487680</xdr:colOff>
          <xdr:row>14</xdr:row>
          <xdr:rowOff>365760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A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15</xdr:row>
          <xdr:rowOff>160020</xdr:rowOff>
        </xdr:from>
        <xdr:to>
          <xdr:col>4</xdr:col>
          <xdr:colOff>487680</xdr:colOff>
          <xdr:row>15</xdr:row>
          <xdr:rowOff>365760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A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7</xdr:row>
          <xdr:rowOff>175260</xdr:rowOff>
        </xdr:from>
        <xdr:to>
          <xdr:col>4</xdr:col>
          <xdr:colOff>487680</xdr:colOff>
          <xdr:row>7</xdr:row>
          <xdr:rowOff>365760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A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10</xdr:row>
          <xdr:rowOff>175260</xdr:rowOff>
        </xdr:from>
        <xdr:to>
          <xdr:col>4</xdr:col>
          <xdr:colOff>487680</xdr:colOff>
          <xdr:row>10</xdr:row>
          <xdr:rowOff>365760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A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A-HDDV2\PEAv2\Users\takochi\Desktop\HydrogenLCATool_V2beta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A-HDDV2\PEAv2\Users\takochi\Desktop\old\HydrogenLCATool_V2beta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情報 "/>
      <sheetName val="製造段階(P)"/>
      <sheetName val="貯蔵・輸送(ST)"/>
      <sheetName val="供給(D)"/>
      <sheetName val="小計（製造から供給）"/>
      <sheetName val="利用(U)"/>
      <sheetName val="利用集計"/>
      <sheetName val="確認項目"/>
      <sheetName val="資本財"/>
      <sheetName val="補助ﾘｽﾄ"/>
      <sheetName val="IDEAGLIO補助ﾘｽﾄ"/>
      <sheetName val="共通データ"/>
      <sheetName val="製品単位換算2"/>
      <sheetName val="IDEAv2原単位 (ユーザー参照用)"/>
      <sheetName val="IDEAv2原単位"/>
      <sheetName val="Color"/>
      <sheetName val="GWP"/>
      <sheetName val="GLIO"/>
      <sheetName val="輸送算定用"/>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凡例"/>
      <sheetName val="事業情報"/>
      <sheetName val="水素情報"/>
      <sheetName val="共通データ"/>
      <sheetName val="事業情報 (修正)"/>
      <sheetName val="水素情報（修正）"/>
      <sheetName val="製造(P)→"/>
      <sheetName val="Pシステム概要"/>
      <sheetName val="P01"/>
      <sheetName val="P02"/>
      <sheetName val="P03"/>
      <sheetName val="P04"/>
      <sheetName val="P05"/>
      <sheetName val="P_SUM"/>
      <sheetName val="貯蔵・輸送(ST)→"/>
      <sheetName val="STシステム概要"/>
      <sheetName val="ST01"/>
      <sheetName val="ST02"/>
      <sheetName val="ST03"/>
      <sheetName val="ST04"/>
      <sheetName val="ST05"/>
      <sheetName val="ST_SUM "/>
      <sheetName val="供給(D)→"/>
      <sheetName val="Dシステム概要"/>
      <sheetName val="D01"/>
      <sheetName val="D02"/>
      <sheetName val="D03"/>
      <sheetName val="D04"/>
      <sheetName val="D05"/>
      <sheetName val="D_SUM "/>
      <sheetName val="P-D_SUM"/>
      <sheetName val="P-D_SUM (修正)"/>
      <sheetName val="利用(U)→"/>
      <sheetName val="Uシステム概要"/>
      <sheetName val="U_輸送"/>
      <sheetName val="U_定置"/>
      <sheetName val="U_集計"/>
      <sheetName val="資本財"/>
      <sheetName val="製品単位換算1"/>
      <sheetName val="製品単位換算2"/>
      <sheetName val="IDEAv2原単位"/>
      <sheetName val="IDEAv.1.1原単位"/>
      <sheetName val="Color"/>
      <sheetName val="GWP"/>
      <sheetName val="GLIO"/>
      <sheetName val="IDEAGLIO簡易リスト"/>
      <sheetName val="輸送算定用"/>
    </sheetNames>
  </externalBook>
</externalLink>
</file>

<file path=xl/theme/theme1.xml><?xml version="1.0" encoding="utf-8"?>
<a:theme xmlns:a="http://schemas.openxmlformats.org/drawingml/2006/main" name="Office テーマ">
  <a:themeElements>
    <a:clrScheme name="Tohmatsu Proposal template20140601">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ユーザー定義 9">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kyo.taro@env.go.j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9.xml"/><Relationship Id="rId16" Type="http://schemas.openxmlformats.org/officeDocument/2006/relationships/ctrlProp" Target="../ctrlProps/ctrlProp1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E2"/>
  <sheetViews>
    <sheetView showGridLines="0" view="pageBreakPreview" zoomScale="70" zoomScaleNormal="80" zoomScaleSheetLayoutView="70" workbookViewId="0">
      <selection activeCell="N29" sqref="N29"/>
    </sheetView>
  </sheetViews>
  <sheetFormatPr defaultRowHeight="13.8"/>
  <cols>
    <col min="1" max="1" width="9" customWidth="1"/>
  </cols>
  <sheetData>
    <row r="1" spans="3:5" ht="15.6" thickTop="1" thickBot="1">
      <c r="C1" s="843" t="s">
        <v>7909</v>
      </c>
      <c r="D1" s="844"/>
      <c r="E1" s="845"/>
    </row>
    <row r="2" spans="3:5" ht="14.4" thickTop="1"/>
  </sheetData>
  <mergeCells count="1">
    <mergeCell ref="C1:E1"/>
  </mergeCells>
  <phoneticPr fontId="33"/>
  <pageMargins left="0.7" right="0.7" top="0.75" bottom="0.75" header="0.3" footer="0.3"/>
  <pageSetup paperSize="9" scale="43" orientation="portrait"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B1:W30"/>
  <sheetViews>
    <sheetView view="pageBreakPreview" zoomScaleNormal="100" zoomScaleSheetLayoutView="100" workbookViewId="0">
      <pane xSplit="3" ySplit="4" topLeftCell="D5" activePane="bottomRight" state="frozen"/>
      <selection activeCell="M27" sqref="M27"/>
      <selection pane="topRight" activeCell="M27" sqref="M27"/>
      <selection pane="bottomLeft" activeCell="M27" sqref="M27"/>
      <selection pane="bottomRight" activeCell="B1" sqref="B1:C1"/>
    </sheetView>
  </sheetViews>
  <sheetFormatPr defaultColWidth="8.8984375" defaultRowHeight="13.8"/>
  <cols>
    <col min="1" max="1" width="9" customWidth="1"/>
    <col min="2" max="2" width="10" bestFit="1" customWidth="1"/>
    <col min="3" max="3" width="12.09765625" bestFit="1" customWidth="1"/>
    <col min="4" max="4" width="16.59765625" bestFit="1" customWidth="1"/>
    <col min="5" max="5" width="10.19921875" bestFit="1" customWidth="1"/>
    <col min="6" max="6" width="9.09765625" customWidth="1"/>
    <col min="7" max="7" width="7.8984375" bestFit="1" customWidth="1"/>
    <col min="8" max="8" width="6.3984375" bestFit="1" customWidth="1"/>
    <col min="9" max="9" width="10.8984375" style="549" bestFit="1" customWidth="1"/>
    <col min="10" max="10" width="5.5" bestFit="1" customWidth="1"/>
    <col min="11" max="11" width="22.69921875" bestFit="1" customWidth="1"/>
    <col min="12" max="12" width="9.5" bestFit="1" customWidth="1"/>
    <col min="13" max="13" width="11.69921875" bestFit="1" customWidth="1"/>
    <col min="14" max="14" width="10.3984375" customWidth="1"/>
    <col min="15" max="15" width="13.09765625" customWidth="1"/>
    <col min="16" max="16" width="5.8984375" customWidth="1"/>
    <col min="17" max="17" width="16.8984375" customWidth="1"/>
    <col min="18" max="19" width="8.8984375" customWidth="1"/>
    <col min="20" max="20" width="15.19921875" customWidth="1"/>
    <col min="21" max="22" width="4" customWidth="1"/>
    <col min="23" max="23" width="4.09765625" customWidth="1"/>
  </cols>
  <sheetData>
    <row r="1" spans="2:23" ht="15.6" thickTop="1" thickBot="1">
      <c r="B1" s="1080" t="s">
        <v>7537</v>
      </c>
      <c r="C1" s="1081"/>
    </row>
    <row r="2" spans="2:23" ht="14.4" thickTop="1"/>
    <row r="3" spans="2:23" ht="14.25" customHeight="1">
      <c r="B3" s="1169" t="s">
        <v>7577</v>
      </c>
      <c r="C3" s="1169" t="s">
        <v>7715</v>
      </c>
      <c r="D3" s="1166" t="s">
        <v>7716</v>
      </c>
      <c r="E3" s="1027" t="s">
        <v>7717</v>
      </c>
      <c r="F3" s="1170" t="s">
        <v>7719</v>
      </c>
      <c r="G3" s="1172" t="s">
        <v>7583</v>
      </c>
      <c r="H3" s="1173"/>
      <c r="I3" s="1166" t="s">
        <v>7617</v>
      </c>
      <c r="J3" s="1166"/>
      <c r="K3" s="1160" t="s">
        <v>7459</v>
      </c>
      <c r="L3" s="1161"/>
      <c r="M3" s="1162"/>
      <c r="N3" s="1167" t="s">
        <v>7718</v>
      </c>
      <c r="O3" s="1166" t="s">
        <v>136</v>
      </c>
      <c r="P3" s="1059" t="str">
        <f>"単位あたり排出量
[kgCO2/"&amp;H5&amp;"H2]"</f>
        <v>単位あたり排出量
[kgCO2/[Nm3]H2]</v>
      </c>
      <c r="Q3" s="1060"/>
    </row>
    <row r="4" spans="2:23" ht="14.4" thickBot="1">
      <c r="B4" s="1168"/>
      <c r="C4" s="1168"/>
      <c r="D4" s="1166"/>
      <c r="E4" s="1166"/>
      <c r="F4" s="1171"/>
      <c r="G4" s="896"/>
      <c r="H4" s="898"/>
      <c r="I4" s="1166"/>
      <c r="J4" s="1166"/>
      <c r="K4" s="1163"/>
      <c r="L4" s="1164"/>
      <c r="M4" s="1165"/>
      <c r="N4" s="1168"/>
      <c r="O4" s="1166"/>
      <c r="P4" s="896"/>
      <c r="Q4" s="898"/>
      <c r="T4" s="36" t="s">
        <v>7515</v>
      </c>
      <c r="U4" t="s">
        <v>7516</v>
      </c>
      <c r="V4" t="s">
        <v>7517</v>
      </c>
      <c r="W4" t="s">
        <v>7518</v>
      </c>
    </row>
    <row r="5" spans="2:23" ht="14.4" thickBot="1">
      <c r="B5" s="524" t="str">
        <f t="shared" ref="B5:B30" si="0">IF(LEFT(C5,1)="P","製造",IF(LEFT(C5,1)="S","貯蔵・輸送",IF(LEFT(C5,1)="D","供給","")))</f>
        <v>製造</v>
      </c>
      <c r="C5" s="673" t="s">
        <v>7432</v>
      </c>
      <c r="D5" s="648" t="s">
        <v>7600</v>
      </c>
      <c r="E5" s="836">
        <v>15</v>
      </c>
      <c r="F5" s="836">
        <v>300</v>
      </c>
      <c r="G5" s="836">
        <v>2400</v>
      </c>
      <c r="H5" s="638" t="s">
        <v>2134</v>
      </c>
      <c r="I5" s="836">
        <v>150000</v>
      </c>
      <c r="J5" s="522" t="str">
        <f>IFERROR(IF(K5="","",VLOOKUP($D5,IDEAGLIO補助ﾘｽﾄ!$B$2:$F$50,4,FALSE)),"")</f>
        <v>千円</v>
      </c>
      <c r="K5" s="523" t="str">
        <f>IFERROR(VLOOKUP($D5,IDEAGLIO補助ﾘｽﾄ!$B$2:$F$50,3,FALSE),"")</f>
        <v>変圧器・変成器</v>
      </c>
      <c r="L5" s="522">
        <f>IFERROR(VLOOKUP($D5,IDEAGLIO補助ﾘｽﾄ!$B$2:$F$50,5,FALSE),"")</f>
        <v>4.7600267559453417</v>
      </c>
      <c r="M5" s="524" t="str">
        <f>IF(J5="","","kgCO2/"&amp;J5)</f>
        <v>kgCO2/千円</v>
      </c>
      <c r="N5" s="132">
        <f>IFERROR(I5*L5,0)</f>
        <v>714004.01339180127</v>
      </c>
      <c r="O5" s="654" t="s">
        <v>192</v>
      </c>
      <c r="P5" s="405">
        <f>IFERROR(N5/E5/F5/G5,"")</f>
        <v>6.6111482721463083E-2</v>
      </c>
      <c r="Q5" s="406" t="str">
        <f>IF(ISBLANK(H5),"","[kgCO2/"&amp;H5&amp;"H2]")</f>
        <v>[kgCO2/[Nm3]H2]</v>
      </c>
      <c r="T5" t="str">
        <f t="shared" ref="T5:T30" si="1">LEFTB(C5,2)</f>
        <v>P0</v>
      </c>
      <c r="U5" s="361">
        <f>IF($T5=U$4,COUNTIF($T$5:$T5,U$4),"")</f>
        <v>1</v>
      </c>
      <c r="V5" s="361" t="str">
        <f>IF($T5=V$4,COUNTIF($T$5:$T5,V$4),"")</f>
        <v/>
      </c>
      <c r="W5" s="361" t="str">
        <f>IF($T5=W$4,COUNTIF($T$5:$T5,W$4),"")</f>
        <v/>
      </c>
    </row>
    <row r="6" spans="2:23" ht="14.4" thickBot="1">
      <c r="B6" s="524" t="str">
        <f t="shared" si="0"/>
        <v>製造</v>
      </c>
      <c r="C6" s="673" t="s">
        <v>7432</v>
      </c>
      <c r="D6" s="648" t="s">
        <v>7608</v>
      </c>
      <c r="E6" s="836">
        <v>9</v>
      </c>
      <c r="F6" s="836">
        <v>300</v>
      </c>
      <c r="G6" s="836">
        <v>2400</v>
      </c>
      <c r="H6" s="638" t="s">
        <v>2134</v>
      </c>
      <c r="I6" s="836">
        <v>500000</v>
      </c>
      <c r="J6" s="522" t="str">
        <f>IFERROR(IF(K6="","",VLOOKUP($D6,IDEAGLIO補助ﾘｽﾄ!$B$2:$F$50,4,FALSE)),"")</f>
        <v>千円</v>
      </c>
      <c r="K6" s="523" t="str">
        <f>IFERROR(VLOOKUP($D6,IDEAGLIO補助ﾘｽﾄ!$B$2:$F$50,3,FALSE),"")</f>
        <v>その他の産業用電気機器</v>
      </c>
      <c r="L6" s="522">
        <f>IFERROR(VLOOKUP($D6,IDEAGLIO補助ﾘｽﾄ!$B$2:$F$50,5,FALSE),"")</f>
        <v>3.6686212407996615</v>
      </c>
      <c r="M6" s="524" t="str">
        <f t="shared" ref="M6:M30" si="2">IF(J6="","","kgCO2/"&amp;J6)</f>
        <v>kgCO2/千円</v>
      </c>
      <c r="N6" s="132">
        <f t="shared" ref="N6:N30" si="3">IFERROR(I6*L6,0)</f>
        <v>1834310.6203998306</v>
      </c>
      <c r="O6" s="654" t="s">
        <v>192</v>
      </c>
      <c r="P6" s="405">
        <f t="shared" ref="P6:P30" si="4">IFERROR(N6/E6/F6/G6,"")</f>
        <v>0.28307262660491211</v>
      </c>
      <c r="Q6" s="406" t="str">
        <f t="shared" ref="Q6:Q30" si="5">IF(ISBLANK(H6),"","[kgCO2/"&amp;H6&amp;"H2]")</f>
        <v>[kgCO2/[Nm3]H2]</v>
      </c>
      <c r="T6" t="str">
        <f t="shared" si="1"/>
        <v>P0</v>
      </c>
      <c r="U6" s="361">
        <f>IF($T6=U$4,COUNTIF($T$5:$T6,U$4),"")</f>
        <v>2</v>
      </c>
      <c r="V6" s="361" t="str">
        <f>IF($T6=V$4,COUNTIF($T$5:$T6,V$4),"")</f>
        <v/>
      </c>
      <c r="W6" s="361" t="str">
        <f>IF($T6=W$4,COUNTIF($T$5:$T6,W$4),"")</f>
        <v/>
      </c>
    </row>
    <row r="7" spans="2:23" ht="14.4" thickBot="1">
      <c r="B7" s="524" t="str">
        <f t="shared" si="0"/>
        <v>製造</v>
      </c>
      <c r="C7" s="673" t="s">
        <v>7432</v>
      </c>
      <c r="D7" s="648" t="s">
        <v>7609</v>
      </c>
      <c r="E7" s="836">
        <v>20</v>
      </c>
      <c r="F7" s="836">
        <v>300</v>
      </c>
      <c r="G7" s="836">
        <v>2400</v>
      </c>
      <c r="H7" s="638" t="s">
        <v>2134</v>
      </c>
      <c r="I7" s="836">
        <v>100000</v>
      </c>
      <c r="J7" s="522" t="str">
        <f>IFERROR(IF(K7="","",VLOOKUP($D7,IDEAGLIO補助ﾘｽﾄ!$B$2:$F$50,4,FALSE)),"")</f>
        <v>千円</v>
      </c>
      <c r="K7" s="523" t="str">
        <f>IFERROR(VLOOKUP($D7,IDEAGLIO補助ﾘｽﾄ!$B$2:$F$50,3,FALSE),"")</f>
        <v>その他の産業用電気機器</v>
      </c>
      <c r="L7" s="522">
        <f>IFERROR(VLOOKUP($D7,IDEAGLIO補助ﾘｽﾄ!$B$2:$F$50,5,FALSE),"")</f>
        <v>3.6686212407996615</v>
      </c>
      <c r="M7" s="524" t="str">
        <f t="shared" si="2"/>
        <v>kgCO2/千円</v>
      </c>
      <c r="N7" s="132">
        <f t="shared" si="3"/>
        <v>366862.12407996616</v>
      </c>
      <c r="O7" s="654" t="s">
        <v>192</v>
      </c>
      <c r="P7" s="405">
        <f t="shared" si="4"/>
        <v>2.5476536394442095E-2</v>
      </c>
      <c r="Q7" s="406" t="str">
        <f t="shared" si="5"/>
        <v>[kgCO2/[Nm3]H2]</v>
      </c>
      <c r="T7" t="str">
        <f t="shared" si="1"/>
        <v>P0</v>
      </c>
      <c r="U7" s="361">
        <f>IF($T7=U$4,COUNTIF($T$5:$T7,U$4),"")</f>
        <v>3</v>
      </c>
      <c r="V7" s="361" t="str">
        <f>IF($T7=V$4,COUNTIF($T$5:$T7,V$4),"")</f>
        <v/>
      </c>
      <c r="W7" s="361" t="str">
        <f>IF($T7=W$4,COUNTIF($T$5:$T7,W$4),"")</f>
        <v/>
      </c>
    </row>
    <row r="8" spans="2:23" ht="14.4" thickBot="1">
      <c r="B8" s="524" t="str">
        <f t="shared" si="0"/>
        <v>貯蔵・輸送</v>
      </c>
      <c r="C8" s="658" t="s">
        <v>7438</v>
      </c>
      <c r="D8" s="648" t="s">
        <v>7601</v>
      </c>
      <c r="E8" s="836">
        <v>20</v>
      </c>
      <c r="F8" s="836">
        <v>300</v>
      </c>
      <c r="G8" s="836">
        <v>2240</v>
      </c>
      <c r="H8" s="638" t="s">
        <v>2134</v>
      </c>
      <c r="I8" s="836">
        <v>150000</v>
      </c>
      <c r="J8" s="522" t="str">
        <f>IFERROR(IF(K8="","",VLOOKUP($D8,IDEAGLIO補助ﾘｽﾄ!$B$2:$F$50,4,FALSE)),"")</f>
        <v>千円</v>
      </c>
      <c r="K8" s="523" t="str">
        <f>IFERROR(VLOOKUP($D8,IDEAGLIO補助ﾘｽﾄ!$B$2:$F$50,3,FALSE),"")</f>
        <v>その他の輸送機械</v>
      </c>
      <c r="L8" s="522">
        <f>IFERROR(VLOOKUP($D8,IDEAGLIO補助ﾘｽﾄ!$B$2:$F$50,5,FALSE),"")</f>
        <v>4.6015703058763222</v>
      </c>
      <c r="M8" s="524" t="str">
        <f t="shared" si="2"/>
        <v>kgCO2/千円</v>
      </c>
      <c r="N8" s="132">
        <f t="shared" si="3"/>
        <v>690235.54588144831</v>
      </c>
      <c r="O8" s="654" t="s">
        <v>192</v>
      </c>
      <c r="P8" s="405">
        <f t="shared" si="4"/>
        <v>5.1356811449512527E-2</v>
      </c>
      <c r="Q8" s="406" t="str">
        <f t="shared" si="5"/>
        <v>[kgCO2/[Nm3]H2]</v>
      </c>
      <c r="T8" t="str">
        <f t="shared" si="1"/>
        <v>ST</v>
      </c>
      <c r="U8" s="361" t="str">
        <f>IF($T8=U$4,COUNTIF($T$5:$T8,U$4),"")</f>
        <v/>
      </c>
      <c r="V8" s="361">
        <f>IF($T8=V$4,COUNTIF($T$5:$T8,V$4),"")</f>
        <v>1</v>
      </c>
      <c r="W8" s="361" t="str">
        <f>IF($T8=W$4,COUNTIF($T$5:$T8,W$4),"")</f>
        <v/>
      </c>
    </row>
    <row r="9" spans="2:23" ht="14.4" thickBot="1">
      <c r="B9" s="524" t="str">
        <f t="shared" si="0"/>
        <v>貯蔵・輸送</v>
      </c>
      <c r="C9" s="658" t="s">
        <v>7438</v>
      </c>
      <c r="D9" s="648" t="s">
        <v>7575</v>
      </c>
      <c r="E9" s="836">
        <v>10</v>
      </c>
      <c r="F9" s="836">
        <v>300</v>
      </c>
      <c r="G9" s="836">
        <v>14000</v>
      </c>
      <c r="H9" s="638" t="s">
        <v>2134</v>
      </c>
      <c r="I9" s="836">
        <v>100000</v>
      </c>
      <c r="J9" s="522" t="str">
        <f>IFERROR(IF(K9="","",VLOOKUP($D9,IDEAGLIO補助ﾘｽﾄ!$B$2:$F$50,4,FALSE)),"")</f>
        <v>千円</v>
      </c>
      <c r="K9" s="523" t="str">
        <f>IFERROR(VLOOKUP($D9,IDEAGLIO補助ﾘｽﾄ!$B$2:$F$50,3,FALSE),"")</f>
        <v>ポンプ及び圧縮機</v>
      </c>
      <c r="L9" s="522">
        <f>IFERROR(VLOOKUP($D9,IDEAGLIO補助ﾘｽﾄ!$B$2:$F$50,5,FALSE),"")</f>
        <v>4.3654422510986031</v>
      </c>
      <c r="M9" s="524" t="str">
        <f t="shared" si="2"/>
        <v>kgCO2/千円</v>
      </c>
      <c r="N9" s="132">
        <f t="shared" si="3"/>
        <v>436544.2251098603</v>
      </c>
      <c r="O9" s="654" t="s">
        <v>192</v>
      </c>
      <c r="P9" s="405">
        <f t="shared" si="4"/>
        <v>1.0393910121663338E-2</v>
      </c>
      <c r="Q9" s="406" t="str">
        <f t="shared" si="5"/>
        <v>[kgCO2/[Nm3]H2]</v>
      </c>
      <c r="T9" t="str">
        <f t="shared" si="1"/>
        <v>ST</v>
      </c>
      <c r="U9" s="361" t="str">
        <f>IF($T9=U$4,COUNTIF($T$5:$T9,U$4),"")</f>
        <v/>
      </c>
      <c r="V9" s="361">
        <f>IF($T9=V$4,COUNTIF($T$5:$T9,V$4),"")</f>
        <v>2</v>
      </c>
      <c r="W9" s="361" t="str">
        <f>IF($T9=W$4,COUNTIF($T$5:$T9,W$4),"")</f>
        <v/>
      </c>
    </row>
    <row r="10" spans="2:23" ht="14.4" thickBot="1">
      <c r="B10" s="524" t="str">
        <f t="shared" si="0"/>
        <v>供給</v>
      </c>
      <c r="C10" s="658" t="s">
        <v>7434</v>
      </c>
      <c r="D10" s="648" t="s">
        <v>7585</v>
      </c>
      <c r="E10" s="836">
        <v>10</v>
      </c>
      <c r="F10" s="836">
        <v>300</v>
      </c>
      <c r="G10" s="836">
        <v>7200</v>
      </c>
      <c r="H10" s="638" t="s">
        <v>2134</v>
      </c>
      <c r="I10" s="836">
        <v>20000</v>
      </c>
      <c r="J10" s="522" t="str">
        <f>IFERROR(IF(K10="","",VLOOKUP($D10,IDEAGLIO補助ﾘｽﾄ!$B$2:$F$50,4,FALSE)),"")</f>
        <v>千円</v>
      </c>
      <c r="K10" s="523" t="str">
        <f>IFERROR(VLOOKUP($D10,IDEAGLIO補助ﾘｽﾄ!$B$2:$F$50,3,FALSE),"")</f>
        <v>その他の輸送機械</v>
      </c>
      <c r="L10" s="522">
        <f>IFERROR(VLOOKUP($D10,IDEAGLIO補助ﾘｽﾄ!$B$2:$F$50,5,FALSE),"")</f>
        <v>4.6015703058763222</v>
      </c>
      <c r="M10" s="524" t="str">
        <f t="shared" si="2"/>
        <v>kgCO2/千円</v>
      </c>
      <c r="N10" s="132">
        <f t="shared" si="3"/>
        <v>92031.406117526451</v>
      </c>
      <c r="O10" s="654" t="s">
        <v>192</v>
      </c>
      <c r="P10" s="405">
        <f t="shared" si="4"/>
        <v>4.26071324618178E-3</v>
      </c>
      <c r="Q10" s="406" t="str">
        <f t="shared" si="5"/>
        <v>[kgCO2/[Nm3]H2]</v>
      </c>
      <c r="T10" t="str">
        <f t="shared" si="1"/>
        <v>D0</v>
      </c>
      <c r="U10" s="361" t="str">
        <f>IF($T10=U$4,COUNTIF($T$5:$T10,U$4),"")</f>
        <v/>
      </c>
      <c r="V10" s="361" t="str">
        <f>IF($T10=V$4,COUNTIF($T$5:$T10,V$4),"")</f>
        <v/>
      </c>
      <c r="W10" s="361">
        <f>IF($T10=W$4,COUNTIF($T$5:$T10,W$4),"")</f>
        <v>1</v>
      </c>
    </row>
    <row r="11" spans="2:23" ht="14.4" thickBot="1">
      <c r="B11" s="524" t="str">
        <f t="shared" si="0"/>
        <v>供給</v>
      </c>
      <c r="C11" s="658" t="s">
        <v>7060</v>
      </c>
      <c r="D11" s="648" t="s">
        <v>7943</v>
      </c>
      <c r="E11" s="836">
        <v>10</v>
      </c>
      <c r="F11" s="836">
        <v>300</v>
      </c>
      <c r="G11" s="836">
        <v>7200</v>
      </c>
      <c r="H11" s="638" t="s">
        <v>2134</v>
      </c>
      <c r="I11" s="836">
        <v>15000</v>
      </c>
      <c r="J11" s="522" t="str">
        <f>IFERROR(IF(K11="","",VLOOKUP($D11,IDEAGLIO補助ﾘｽﾄ!$B$2:$F$50,4,FALSE)),"")</f>
        <v>千円</v>
      </c>
      <c r="K11" s="523" t="str">
        <f>IFERROR(VLOOKUP($D11,IDEAGLIO補助ﾘｽﾄ!$B$2:$F$50,3,FALSE),"")</f>
        <v>冷凍機・温湿調整装置</v>
      </c>
      <c r="L11" s="522">
        <f>IFERROR(VLOOKUP($D11,IDEAGLIO補助ﾘｽﾄ!$B$2:$F$50,5,FALSE),"")</f>
        <v>6.502939486585583</v>
      </c>
      <c r="M11" s="524" t="str">
        <f t="shared" si="2"/>
        <v>kgCO2/千円</v>
      </c>
      <c r="N11" s="132">
        <f t="shared" si="3"/>
        <v>97544.09229878374</v>
      </c>
      <c r="O11" s="654" t="s">
        <v>192</v>
      </c>
      <c r="P11" s="405">
        <f t="shared" si="4"/>
        <v>4.5159301990177663E-3</v>
      </c>
      <c r="Q11" s="406" t="str">
        <f t="shared" si="5"/>
        <v>[kgCO2/[Nm3]H2]</v>
      </c>
      <c r="T11" t="str">
        <f t="shared" si="1"/>
        <v>D0</v>
      </c>
      <c r="U11" s="361" t="str">
        <f>IF($T11=U$4,COUNTIF($T$5:$T11,U$4),"")</f>
        <v/>
      </c>
      <c r="V11" s="361" t="str">
        <f>IF($T11=V$4,COUNTIF($T$5:$T11,V$4),"")</f>
        <v/>
      </c>
      <c r="W11" s="361">
        <f>IF($T11=W$4,COUNTIF($T$5:$T11,W$4),"")</f>
        <v>2</v>
      </c>
    </row>
    <row r="12" spans="2:23" ht="14.4" thickBot="1">
      <c r="B12" s="524" t="str">
        <f t="shared" si="0"/>
        <v>供給</v>
      </c>
      <c r="C12" s="658" t="s">
        <v>7060</v>
      </c>
      <c r="D12" s="648" t="s">
        <v>7944</v>
      </c>
      <c r="E12" s="836">
        <v>10</v>
      </c>
      <c r="F12" s="836">
        <v>300</v>
      </c>
      <c r="G12" s="836">
        <v>7200</v>
      </c>
      <c r="H12" s="638" t="s">
        <v>2134</v>
      </c>
      <c r="I12" s="836">
        <v>20000</v>
      </c>
      <c r="J12" s="522" t="str">
        <f>IFERROR(IF(K12="","",VLOOKUP($D12,IDEAGLIO補助ﾘｽﾄ!$B$2:$F$50,4,FALSE)),"")</f>
        <v>千円</v>
      </c>
      <c r="K12" s="523" t="str">
        <f>IFERROR(VLOOKUP($D12,IDEAGLIO補助ﾘｽﾄ!$B$2:$F$50,3,FALSE),"")</f>
        <v>その他の輸送機械</v>
      </c>
      <c r="L12" s="522">
        <f>IFERROR(VLOOKUP($D12,IDEAGLIO補助ﾘｽﾄ!$B$2:$F$50,5,FALSE),"")</f>
        <v>4.6015703058763222</v>
      </c>
      <c r="M12" s="524" t="str">
        <f t="shared" si="2"/>
        <v>kgCO2/千円</v>
      </c>
      <c r="N12" s="132">
        <f t="shared" si="3"/>
        <v>92031.406117526451</v>
      </c>
      <c r="O12" s="654" t="s">
        <v>192</v>
      </c>
      <c r="P12" s="405">
        <f t="shared" si="4"/>
        <v>4.26071324618178E-3</v>
      </c>
      <c r="Q12" s="406" t="str">
        <f t="shared" si="5"/>
        <v>[kgCO2/[Nm3]H2]</v>
      </c>
      <c r="T12" t="str">
        <f t="shared" si="1"/>
        <v>D0</v>
      </c>
      <c r="U12" s="361" t="str">
        <f>IF($T12=U$4,COUNTIF($T$5:$T12,U$4),"")</f>
        <v/>
      </c>
      <c r="V12" s="361" t="str">
        <f>IF($T12=V$4,COUNTIF($T$5:$T12,V$4),"")</f>
        <v/>
      </c>
      <c r="W12" s="361">
        <f>IF($T12=W$4,COUNTIF($T$5:$T12,W$4),"")</f>
        <v>3</v>
      </c>
    </row>
    <row r="13" spans="2:23" ht="14.4" thickBot="1">
      <c r="B13" s="524" t="str">
        <f t="shared" si="0"/>
        <v>供給</v>
      </c>
      <c r="C13" s="658" t="s">
        <v>7061</v>
      </c>
      <c r="D13" s="648" t="s">
        <v>7576</v>
      </c>
      <c r="E13" s="836">
        <v>10</v>
      </c>
      <c r="F13" s="836">
        <v>300</v>
      </c>
      <c r="G13" s="836">
        <v>7200</v>
      </c>
      <c r="H13" s="638" t="s">
        <v>2134</v>
      </c>
      <c r="I13" s="836">
        <v>40000</v>
      </c>
      <c r="J13" s="522" t="str">
        <f>IFERROR(IF(K13="","",VLOOKUP($D13,IDEAGLIO補助ﾘｽﾄ!$B$2:$F$50,4,FALSE)),"")</f>
        <v>千円</v>
      </c>
      <c r="K13" s="523" t="str">
        <f>IFERROR(VLOOKUP($D13,IDEAGLIO補助ﾘｽﾄ!$B$2:$F$50,3,FALSE),"")</f>
        <v>開閉制御装置及び配電盤</v>
      </c>
      <c r="L13" s="522">
        <f>IFERROR(VLOOKUP($D13,IDEAGLIO補助ﾘｽﾄ!$B$2:$F$50,5,FALSE),"")</f>
        <v>4.1077634069612667</v>
      </c>
      <c r="M13" s="524" t="str">
        <f t="shared" si="2"/>
        <v>kgCO2/千円</v>
      </c>
      <c r="N13" s="132">
        <f t="shared" si="3"/>
        <v>164310.53627845066</v>
      </c>
      <c r="O13" s="654" t="s">
        <v>192</v>
      </c>
      <c r="P13" s="405">
        <f t="shared" si="4"/>
        <v>7.6069692721504939E-3</v>
      </c>
      <c r="Q13" s="406" t="str">
        <f t="shared" si="5"/>
        <v>[kgCO2/[Nm3]H2]</v>
      </c>
      <c r="T13" t="str">
        <f t="shared" si="1"/>
        <v>D0</v>
      </c>
      <c r="U13" s="361" t="str">
        <f>IF($T13=U$4,COUNTIF($T$5:$T13,U$4),"")</f>
        <v/>
      </c>
      <c r="V13" s="361" t="str">
        <f>IF($T13=V$4,COUNTIF($T$5:$T13,V$4),"")</f>
        <v/>
      </c>
      <c r="W13" s="361">
        <f>IF($T13=W$4,COUNTIF($T$5:$T13,W$4),"")</f>
        <v>4</v>
      </c>
    </row>
    <row r="14" spans="2:23" ht="14.4" thickBot="1">
      <c r="B14" s="524" t="str">
        <f t="shared" si="0"/>
        <v/>
      </c>
      <c r="C14" s="658"/>
      <c r="D14" s="648"/>
      <c r="E14" s="640">
        <v>0</v>
      </c>
      <c r="F14" s="640">
        <v>0</v>
      </c>
      <c r="G14" s="640">
        <v>0</v>
      </c>
      <c r="H14" s="638"/>
      <c r="I14" s="640">
        <v>0</v>
      </c>
      <c r="J14" s="522" t="str">
        <f>IFERROR(IF(K14="","",VLOOKUP($D14,IDEAGLIO補助ﾘｽﾄ!$B$2:$F$50,4,FALSE)),"")</f>
        <v/>
      </c>
      <c r="K14" s="523" t="str">
        <f>IFERROR(VLOOKUP($D14,IDEAGLIO補助ﾘｽﾄ!$B$2:$F$50,3,FALSE),"")</f>
        <v/>
      </c>
      <c r="L14" s="522" t="str">
        <f>IFERROR(VLOOKUP($D14,IDEAGLIO補助ﾘｽﾄ!$B$2:$F$50,5,FALSE),"")</f>
        <v/>
      </c>
      <c r="M14" s="524" t="str">
        <f t="shared" si="2"/>
        <v/>
      </c>
      <c r="N14" s="132">
        <f t="shared" si="3"/>
        <v>0</v>
      </c>
      <c r="O14" s="654" t="s">
        <v>192</v>
      </c>
      <c r="P14" s="405" t="str">
        <f t="shared" si="4"/>
        <v/>
      </c>
      <c r="Q14" s="406" t="str">
        <f t="shared" si="5"/>
        <v/>
      </c>
      <c r="T14" t="str">
        <f t="shared" si="1"/>
        <v/>
      </c>
      <c r="U14" s="361" t="str">
        <f>IF($T14=U$4,COUNTIF($T$5:$T14,U$4),"")</f>
        <v/>
      </c>
      <c r="V14" s="361" t="str">
        <f>IF($T14=V$4,COUNTIF($T$5:$T14,V$4),"")</f>
        <v/>
      </c>
      <c r="W14" s="361" t="str">
        <f>IF($T14=W$4,COUNTIF($T$5:$T14,W$4),"")</f>
        <v/>
      </c>
    </row>
    <row r="15" spans="2:23" ht="14.4" thickBot="1">
      <c r="B15" s="524" t="str">
        <f t="shared" si="0"/>
        <v/>
      </c>
      <c r="C15" s="658"/>
      <c r="D15" s="648"/>
      <c r="E15" s="640">
        <v>0</v>
      </c>
      <c r="F15" s="640">
        <v>0</v>
      </c>
      <c r="G15" s="640">
        <v>0</v>
      </c>
      <c r="H15" s="638"/>
      <c r="I15" s="640">
        <v>0</v>
      </c>
      <c r="J15" s="522" t="str">
        <f>IFERROR(IF(K15="","",VLOOKUP($D15,IDEAGLIO補助ﾘｽﾄ!$B$2:$F$50,4,FALSE)),"")</f>
        <v/>
      </c>
      <c r="K15" s="523" t="str">
        <f>IFERROR(VLOOKUP($D15,IDEAGLIO補助ﾘｽﾄ!$B$2:$F$50,3,FALSE),"")</f>
        <v/>
      </c>
      <c r="L15" s="522" t="str">
        <f>IFERROR(VLOOKUP($D15,IDEAGLIO補助ﾘｽﾄ!$B$2:$F$50,5,FALSE),"")</f>
        <v/>
      </c>
      <c r="M15" s="524" t="str">
        <f t="shared" si="2"/>
        <v/>
      </c>
      <c r="N15" s="132">
        <f t="shared" si="3"/>
        <v>0</v>
      </c>
      <c r="O15" s="654" t="s">
        <v>192</v>
      </c>
      <c r="P15" s="405" t="str">
        <f t="shared" si="4"/>
        <v/>
      </c>
      <c r="Q15" s="406" t="str">
        <f t="shared" si="5"/>
        <v/>
      </c>
      <c r="T15" t="str">
        <f t="shared" si="1"/>
        <v/>
      </c>
      <c r="U15" s="361" t="str">
        <f>IF($T15=U$4,COUNTIF($T$5:$T15,U$4),"")</f>
        <v/>
      </c>
      <c r="V15" s="361" t="str">
        <f>IF($T15=V$4,COUNTIF($T$5:$T15,V$4),"")</f>
        <v/>
      </c>
      <c r="W15" s="361" t="str">
        <f>IF($T15=W$4,COUNTIF($T$5:$T15,W$4),"")</f>
        <v/>
      </c>
    </row>
    <row r="16" spans="2:23" ht="14.4" thickBot="1">
      <c r="B16" s="524" t="str">
        <f t="shared" si="0"/>
        <v/>
      </c>
      <c r="C16" s="658"/>
      <c r="D16" s="648"/>
      <c r="E16" s="640">
        <v>0</v>
      </c>
      <c r="F16" s="640">
        <v>0</v>
      </c>
      <c r="G16" s="640">
        <v>0</v>
      </c>
      <c r="H16" s="638"/>
      <c r="I16" s="640">
        <v>0</v>
      </c>
      <c r="J16" s="522" t="str">
        <f>IFERROR(IF(K16="","",VLOOKUP($D16,IDEAGLIO補助ﾘｽﾄ!$B$2:$F$50,4,FALSE)),"")</f>
        <v/>
      </c>
      <c r="K16" s="523" t="str">
        <f>IFERROR(VLOOKUP($D16,IDEAGLIO補助ﾘｽﾄ!$B$2:$F$50,3,FALSE),"")</f>
        <v/>
      </c>
      <c r="L16" s="522" t="str">
        <f>IFERROR(VLOOKUP($D16,IDEAGLIO補助ﾘｽﾄ!$B$2:$F$50,5,FALSE),"")</f>
        <v/>
      </c>
      <c r="M16" s="524" t="str">
        <f t="shared" si="2"/>
        <v/>
      </c>
      <c r="N16" s="132">
        <f t="shared" si="3"/>
        <v>0</v>
      </c>
      <c r="O16" s="654" t="s">
        <v>192</v>
      </c>
      <c r="P16" s="405" t="str">
        <f t="shared" si="4"/>
        <v/>
      </c>
      <c r="Q16" s="406" t="str">
        <f t="shared" si="5"/>
        <v/>
      </c>
      <c r="T16" t="str">
        <f t="shared" si="1"/>
        <v/>
      </c>
      <c r="U16" s="361" t="str">
        <f>IF($T16=U$4,COUNTIF($T$5:$T16,U$4),"")</f>
        <v/>
      </c>
      <c r="V16" s="361" t="str">
        <f>IF($T16=V$4,COUNTIF($T$5:$T16,V$4),"")</f>
        <v/>
      </c>
      <c r="W16" s="361" t="str">
        <f>IF($T16=W$4,COUNTIF($T$5:$T16,W$4),"")</f>
        <v/>
      </c>
    </row>
    <row r="17" spans="2:23" ht="14.4" thickBot="1">
      <c r="B17" s="524" t="str">
        <f t="shared" si="0"/>
        <v/>
      </c>
      <c r="C17" s="658"/>
      <c r="D17" s="648"/>
      <c r="E17" s="640">
        <v>0</v>
      </c>
      <c r="F17" s="640">
        <v>0</v>
      </c>
      <c r="G17" s="640">
        <v>0</v>
      </c>
      <c r="H17" s="638"/>
      <c r="I17" s="640">
        <v>0</v>
      </c>
      <c r="J17" s="522" t="str">
        <f>IFERROR(IF(K17="","",VLOOKUP($D17,IDEAGLIO補助ﾘｽﾄ!$B$2:$F$50,4,FALSE)),"")</f>
        <v/>
      </c>
      <c r="K17" s="523" t="str">
        <f>IFERROR(VLOOKUP($D17,IDEAGLIO補助ﾘｽﾄ!$B$2:$F$50,3,FALSE),"")</f>
        <v/>
      </c>
      <c r="L17" s="522" t="str">
        <f>IFERROR(VLOOKUP($D17,IDEAGLIO補助ﾘｽﾄ!$B$2:$F$50,5,FALSE),"")</f>
        <v/>
      </c>
      <c r="M17" s="524" t="str">
        <f t="shared" si="2"/>
        <v/>
      </c>
      <c r="N17" s="132">
        <f t="shared" si="3"/>
        <v>0</v>
      </c>
      <c r="O17" s="654" t="s">
        <v>192</v>
      </c>
      <c r="P17" s="405" t="str">
        <f t="shared" si="4"/>
        <v/>
      </c>
      <c r="Q17" s="406" t="str">
        <f t="shared" si="5"/>
        <v/>
      </c>
      <c r="T17" t="str">
        <f t="shared" si="1"/>
        <v/>
      </c>
      <c r="U17" s="361" t="str">
        <f>IF($T17=U$4,COUNTIF($T$5:$T17,U$4),"")</f>
        <v/>
      </c>
      <c r="V17" s="361" t="str">
        <f>IF($T17=V$4,COUNTIF($T$5:$T17,V$4),"")</f>
        <v/>
      </c>
      <c r="W17" s="361" t="str">
        <f>IF($T17=W$4,COUNTIF($T$5:$T17,W$4),"")</f>
        <v/>
      </c>
    </row>
    <row r="18" spans="2:23" ht="14.4" thickBot="1">
      <c r="B18" s="524" t="str">
        <f t="shared" si="0"/>
        <v/>
      </c>
      <c r="C18" s="658"/>
      <c r="D18" s="648"/>
      <c r="E18" s="640">
        <v>0</v>
      </c>
      <c r="F18" s="640">
        <v>0</v>
      </c>
      <c r="G18" s="640">
        <v>0</v>
      </c>
      <c r="H18" s="638"/>
      <c r="I18" s="640">
        <v>0</v>
      </c>
      <c r="J18" s="522" t="str">
        <f>IFERROR(IF(K18="","",VLOOKUP($D18,IDEAGLIO補助ﾘｽﾄ!$B$2:$F$50,4,FALSE)),"")</f>
        <v/>
      </c>
      <c r="K18" s="523" t="str">
        <f>IFERROR(VLOOKUP($D18,IDEAGLIO補助ﾘｽﾄ!$B$2:$F$50,3,FALSE),"")</f>
        <v/>
      </c>
      <c r="L18" s="522" t="str">
        <f>IFERROR(VLOOKUP($D18,IDEAGLIO補助ﾘｽﾄ!$B$2:$F$50,5,FALSE),"")</f>
        <v/>
      </c>
      <c r="M18" s="524" t="str">
        <f t="shared" si="2"/>
        <v/>
      </c>
      <c r="N18" s="132">
        <f t="shared" si="3"/>
        <v>0</v>
      </c>
      <c r="O18" s="654" t="s">
        <v>192</v>
      </c>
      <c r="P18" s="405" t="str">
        <f t="shared" si="4"/>
        <v/>
      </c>
      <c r="Q18" s="406" t="str">
        <f t="shared" si="5"/>
        <v/>
      </c>
      <c r="T18" t="str">
        <f t="shared" si="1"/>
        <v/>
      </c>
      <c r="U18" s="361" t="str">
        <f>IF($T18=U$4,COUNTIF($T$5:$T18,U$4),"")</f>
        <v/>
      </c>
      <c r="V18" s="361" t="str">
        <f>IF($T18=V$4,COUNTIF($T$5:$T18,V$4),"")</f>
        <v/>
      </c>
      <c r="W18" s="361" t="str">
        <f>IF($T18=W$4,COUNTIF($T$5:$T18,W$4),"")</f>
        <v/>
      </c>
    </row>
    <row r="19" spans="2:23" ht="14.4" thickBot="1">
      <c r="B19" s="524" t="str">
        <f t="shared" si="0"/>
        <v/>
      </c>
      <c r="C19" s="658"/>
      <c r="D19" s="648"/>
      <c r="E19" s="640">
        <v>0</v>
      </c>
      <c r="F19" s="640">
        <v>0</v>
      </c>
      <c r="G19" s="640">
        <v>0</v>
      </c>
      <c r="H19" s="638"/>
      <c r="I19" s="640">
        <v>0</v>
      </c>
      <c r="J19" s="522" t="str">
        <f>IFERROR(IF(K19="","",VLOOKUP($D19,IDEAGLIO補助ﾘｽﾄ!$B$2:$F$50,4,FALSE)),"")</f>
        <v/>
      </c>
      <c r="K19" s="523" t="str">
        <f>IFERROR(VLOOKUP($D19,IDEAGLIO補助ﾘｽﾄ!$B$2:$F$50,3,FALSE),"")</f>
        <v/>
      </c>
      <c r="L19" s="522" t="str">
        <f>IFERROR(VLOOKUP($D19,IDEAGLIO補助ﾘｽﾄ!$B$2:$F$50,5,FALSE),"")</f>
        <v/>
      </c>
      <c r="M19" s="524" t="str">
        <f t="shared" si="2"/>
        <v/>
      </c>
      <c r="N19" s="132">
        <f t="shared" si="3"/>
        <v>0</v>
      </c>
      <c r="O19" s="654" t="s">
        <v>192</v>
      </c>
      <c r="P19" s="405" t="str">
        <f t="shared" si="4"/>
        <v/>
      </c>
      <c r="Q19" s="406" t="str">
        <f t="shared" si="5"/>
        <v/>
      </c>
      <c r="T19" t="str">
        <f t="shared" si="1"/>
        <v/>
      </c>
      <c r="U19" s="361" t="str">
        <f>IF($T19=U$4,COUNTIF($T$5:$T19,U$4),"")</f>
        <v/>
      </c>
      <c r="V19" s="361" t="str">
        <f>IF($T19=V$4,COUNTIF($T$5:$T19,V$4),"")</f>
        <v/>
      </c>
      <c r="W19" s="361" t="str">
        <f>IF($T19=W$4,COUNTIF($T$5:$T19,W$4),"")</f>
        <v/>
      </c>
    </row>
    <row r="20" spans="2:23" ht="14.4" thickBot="1">
      <c r="B20" s="524" t="str">
        <f t="shared" si="0"/>
        <v/>
      </c>
      <c r="C20" s="658"/>
      <c r="D20" s="648"/>
      <c r="E20" s="640">
        <v>0</v>
      </c>
      <c r="F20" s="640">
        <v>0</v>
      </c>
      <c r="G20" s="640">
        <v>0</v>
      </c>
      <c r="H20" s="638"/>
      <c r="I20" s="640">
        <v>0</v>
      </c>
      <c r="J20" s="522" t="str">
        <f>IFERROR(IF(K20="","",VLOOKUP($D20,IDEAGLIO補助ﾘｽﾄ!$B$2:$F$50,4,FALSE)),"")</f>
        <v/>
      </c>
      <c r="K20" s="523" t="str">
        <f>IFERROR(VLOOKUP($D20,IDEAGLIO補助ﾘｽﾄ!$B$2:$F$50,3,FALSE),"")</f>
        <v/>
      </c>
      <c r="L20" s="522" t="str">
        <f>IFERROR(VLOOKUP($D20,IDEAGLIO補助ﾘｽﾄ!$B$2:$F$50,5,FALSE),"")</f>
        <v/>
      </c>
      <c r="M20" s="524" t="str">
        <f t="shared" si="2"/>
        <v/>
      </c>
      <c r="N20" s="132">
        <f t="shared" si="3"/>
        <v>0</v>
      </c>
      <c r="O20" s="654" t="s">
        <v>192</v>
      </c>
      <c r="P20" s="405" t="str">
        <f t="shared" si="4"/>
        <v/>
      </c>
      <c r="Q20" s="406" t="str">
        <f t="shared" si="5"/>
        <v/>
      </c>
      <c r="T20" t="str">
        <f t="shared" si="1"/>
        <v/>
      </c>
      <c r="U20" s="361" t="str">
        <f>IF($T20=U$4,COUNTIF($T$5:$T20,U$4),"")</f>
        <v/>
      </c>
      <c r="V20" s="361" t="str">
        <f>IF($T20=V$4,COUNTIF($T$5:$T20,V$4),"")</f>
        <v/>
      </c>
      <c r="W20" s="361" t="str">
        <f>IF($T20=W$4,COUNTIF($T$5:$T20,W$4),"")</f>
        <v/>
      </c>
    </row>
    <row r="21" spans="2:23" ht="14.4" thickBot="1">
      <c r="B21" s="524" t="str">
        <f t="shared" si="0"/>
        <v/>
      </c>
      <c r="C21" s="658"/>
      <c r="D21" s="648"/>
      <c r="E21" s="640">
        <v>0</v>
      </c>
      <c r="F21" s="640">
        <v>0</v>
      </c>
      <c r="G21" s="640">
        <v>0</v>
      </c>
      <c r="H21" s="638"/>
      <c r="I21" s="640">
        <v>0</v>
      </c>
      <c r="J21" s="522" t="str">
        <f>IFERROR(IF(K21="","",VLOOKUP($D21,IDEAGLIO補助ﾘｽﾄ!$B$2:$F$50,4,FALSE)),"")</f>
        <v/>
      </c>
      <c r="K21" s="523" t="str">
        <f>IFERROR(VLOOKUP($D21,IDEAGLIO補助ﾘｽﾄ!$B$2:$F$50,3,FALSE),"")</f>
        <v/>
      </c>
      <c r="L21" s="522" t="str">
        <f>IFERROR(VLOOKUP($D21,IDEAGLIO補助ﾘｽﾄ!$B$2:$F$50,5,FALSE),"")</f>
        <v/>
      </c>
      <c r="M21" s="524" t="str">
        <f t="shared" si="2"/>
        <v/>
      </c>
      <c r="N21" s="132">
        <f t="shared" si="3"/>
        <v>0</v>
      </c>
      <c r="O21" s="654" t="s">
        <v>192</v>
      </c>
      <c r="P21" s="405" t="str">
        <f t="shared" si="4"/>
        <v/>
      </c>
      <c r="Q21" s="406" t="str">
        <f t="shared" si="5"/>
        <v/>
      </c>
      <c r="T21" t="str">
        <f t="shared" si="1"/>
        <v/>
      </c>
      <c r="U21" s="361" t="str">
        <f>IF($T21=U$4,COUNTIF($T$5:$T21,U$4),"")</f>
        <v/>
      </c>
      <c r="V21" s="361" t="str">
        <f>IF($T21=V$4,COUNTIF($T$5:$T21,V$4),"")</f>
        <v/>
      </c>
      <c r="W21" s="361" t="str">
        <f>IF($T21=W$4,COUNTIF($T$5:$T21,W$4),"")</f>
        <v/>
      </c>
    </row>
    <row r="22" spans="2:23" ht="14.4" thickBot="1">
      <c r="B22" s="524" t="str">
        <f t="shared" si="0"/>
        <v/>
      </c>
      <c r="C22" s="658"/>
      <c r="D22" s="648"/>
      <c r="E22" s="640">
        <v>0</v>
      </c>
      <c r="F22" s="640">
        <v>0</v>
      </c>
      <c r="G22" s="640">
        <v>0</v>
      </c>
      <c r="H22" s="638"/>
      <c r="I22" s="640">
        <v>0</v>
      </c>
      <c r="J22" s="522" t="str">
        <f>IFERROR(IF(K22="","",VLOOKUP($D22,IDEAGLIO補助ﾘｽﾄ!$B$2:$F$50,4,FALSE)),"")</f>
        <v/>
      </c>
      <c r="K22" s="523" t="str">
        <f>IFERROR(VLOOKUP($D22,IDEAGLIO補助ﾘｽﾄ!$B$2:$F$50,3,FALSE),"")</f>
        <v/>
      </c>
      <c r="L22" s="522" t="str">
        <f>IFERROR(VLOOKUP($D22,IDEAGLIO補助ﾘｽﾄ!$B$2:$F$50,5,FALSE),"")</f>
        <v/>
      </c>
      <c r="M22" s="524" t="str">
        <f t="shared" si="2"/>
        <v/>
      </c>
      <c r="N22" s="132">
        <f t="shared" si="3"/>
        <v>0</v>
      </c>
      <c r="O22" s="654" t="s">
        <v>192</v>
      </c>
      <c r="P22" s="405" t="str">
        <f t="shared" si="4"/>
        <v/>
      </c>
      <c r="Q22" s="406" t="str">
        <f t="shared" si="5"/>
        <v/>
      </c>
      <c r="T22" t="str">
        <f t="shared" si="1"/>
        <v/>
      </c>
      <c r="U22" s="361" t="str">
        <f>IF($T22=U$4,COUNTIF($T$5:$T22,U$4),"")</f>
        <v/>
      </c>
      <c r="V22" s="361" t="str">
        <f>IF($T22=V$4,COUNTIF($T$5:$T22,V$4),"")</f>
        <v/>
      </c>
      <c r="W22" s="361" t="str">
        <f>IF($T22=W$4,COUNTIF($T$5:$T22,W$4),"")</f>
        <v/>
      </c>
    </row>
    <row r="23" spans="2:23" ht="14.4" thickBot="1">
      <c r="B23" s="524" t="str">
        <f t="shared" si="0"/>
        <v/>
      </c>
      <c r="C23" s="658"/>
      <c r="D23" s="648"/>
      <c r="E23" s="640">
        <v>0</v>
      </c>
      <c r="F23" s="640">
        <v>0</v>
      </c>
      <c r="G23" s="640">
        <v>0</v>
      </c>
      <c r="H23" s="638"/>
      <c r="I23" s="640">
        <v>0</v>
      </c>
      <c r="J23" s="522" t="str">
        <f>IFERROR(IF(K23="","",VLOOKUP($D23,IDEAGLIO補助ﾘｽﾄ!$B$2:$F$50,4,FALSE)),"")</f>
        <v/>
      </c>
      <c r="K23" s="523" t="str">
        <f>IFERROR(VLOOKUP($D23,IDEAGLIO補助ﾘｽﾄ!$B$2:$F$50,3,FALSE),"")</f>
        <v/>
      </c>
      <c r="L23" s="522" t="str">
        <f>IFERROR(VLOOKUP($D23,IDEAGLIO補助ﾘｽﾄ!$B$2:$F$50,5,FALSE),"")</f>
        <v/>
      </c>
      <c r="M23" s="524" t="str">
        <f t="shared" si="2"/>
        <v/>
      </c>
      <c r="N23" s="132">
        <f>IFERROR(I23*L23,0)</f>
        <v>0</v>
      </c>
      <c r="O23" s="654" t="s">
        <v>192</v>
      </c>
      <c r="P23" s="405" t="str">
        <f t="shared" si="4"/>
        <v/>
      </c>
      <c r="Q23" s="406" t="str">
        <f t="shared" si="5"/>
        <v/>
      </c>
      <c r="T23" t="str">
        <f t="shared" si="1"/>
        <v/>
      </c>
      <c r="U23" s="361" t="str">
        <f>IF($T23=U$4,COUNTIF($T$5:$T23,U$4),"")</f>
        <v/>
      </c>
      <c r="V23" s="361" t="str">
        <f>IF($T23=V$4,COUNTIF($T$5:$T23,V$4),"")</f>
        <v/>
      </c>
      <c r="W23" s="361" t="str">
        <f>IF($T23=W$4,COUNTIF($T$5:$T23,W$4),"")</f>
        <v/>
      </c>
    </row>
    <row r="24" spans="2:23" ht="14.4" thickBot="1">
      <c r="B24" s="524" t="str">
        <f t="shared" si="0"/>
        <v/>
      </c>
      <c r="C24" s="658"/>
      <c r="D24" s="648"/>
      <c r="E24" s="640">
        <v>0</v>
      </c>
      <c r="F24" s="640">
        <v>0</v>
      </c>
      <c r="G24" s="640">
        <v>0</v>
      </c>
      <c r="H24" s="638"/>
      <c r="I24" s="640">
        <v>0</v>
      </c>
      <c r="J24" s="522" t="str">
        <f>IFERROR(IF(K24="","",VLOOKUP($D24,IDEAGLIO補助ﾘｽﾄ!$B$2:$F$50,4,FALSE)),"")</f>
        <v/>
      </c>
      <c r="K24" s="523" t="str">
        <f>IFERROR(VLOOKUP($D24,IDEAGLIO補助ﾘｽﾄ!$B$2:$F$50,3,FALSE),"")</f>
        <v/>
      </c>
      <c r="L24" s="522" t="str">
        <f>IFERROR(VLOOKUP($D24,IDEAGLIO補助ﾘｽﾄ!$B$2:$F$50,5,FALSE),"")</f>
        <v/>
      </c>
      <c r="M24" s="524" t="str">
        <f t="shared" si="2"/>
        <v/>
      </c>
      <c r="N24" s="132">
        <f t="shared" si="3"/>
        <v>0</v>
      </c>
      <c r="O24" s="654" t="s">
        <v>192</v>
      </c>
      <c r="P24" s="405" t="str">
        <f t="shared" si="4"/>
        <v/>
      </c>
      <c r="Q24" s="406" t="str">
        <f t="shared" si="5"/>
        <v/>
      </c>
      <c r="T24" t="str">
        <f t="shared" si="1"/>
        <v/>
      </c>
      <c r="U24" s="361" t="str">
        <f>IF($T24=U$4,COUNTIF($T$5:$T24,U$4),"")</f>
        <v/>
      </c>
      <c r="V24" s="361" t="str">
        <f>IF($T24=V$4,COUNTIF($T$5:$T24,V$4),"")</f>
        <v/>
      </c>
      <c r="W24" s="361" t="str">
        <f>IF($T24=W$4,COUNTIF($T$5:$T24,W$4),"")</f>
        <v/>
      </c>
    </row>
    <row r="25" spans="2:23" ht="14.4" thickBot="1">
      <c r="B25" s="524" t="str">
        <f t="shared" si="0"/>
        <v/>
      </c>
      <c r="C25" s="658"/>
      <c r="D25" s="648"/>
      <c r="E25" s="640">
        <v>0</v>
      </c>
      <c r="F25" s="640">
        <v>0</v>
      </c>
      <c r="G25" s="640">
        <v>0</v>
      </c>
      <c r="H25" s="638"/>
      <c r="I25" s="640">
        <v>0</v>
      </c>
      <c r="J25" s="522" t="str">
        <f>IFERROR(IF(K25="","",VLOOKUP($D25,IDEAGLIO補助ﾘｽﾄ!$B$2:$F$50,4,FALSE)),"")</f>
        <v/>
      </c>
      <c r="K25" s="523" t="str">
        <f>IFERROR(VLOOKUP($D25,IDEAGLIO補助ﾘｽﾄ!$B$2:$F$50,3,FALSE),"")</f>
        <v/>
      </c>
      <c r="L25" s="522" t="str">
        <f>IFERROR(VLOOKUP($D25,IDEAGLIO補助ﾘｽﾄ!$B$2:$F$50,5,FALSE),"")</f>
        <v/>
      </c>
      <c r="M25" s="524" t="str">
        <f t="shared" si="2"/>
        <v/>
      </c>
      <c r="N25" s="132">
        <f t="shared" si="3"/>
        <v>0</v>
      </c>
      <c r="O25" s="654" t="s">
        <v>192</v>
      </c>
      <c r="P25" s="405" t="str">
        <f t="shared" si="4"/>
        <v/>
      </c>
      <c r="Q25" s="406" t="str">
        <f t="shared" si="5"/>
        <v/>
      </c>
      <c r="T25" t="str">
        <f t="shared" si="1"/>
        <v/>
      </c>
      <c r="U25" s="361" t="str">
        <f>IF($T25=U$4,COUNTIF($T$5:$T25,U$4),"")</f>
        <v/>
      </c>
      <c r="V25" s="361" t="str">
        <f>IF($T25=V$4,COUNTIF($T$5:$T25,V$4),"")</f>
        <v/>
      </c>
      <c r="W25" s="361" t="str">
        <f>IF($T25=W$4,COUNTIF($T$5:$T25,W$4),"")</f>
        <v/>
      </c>
    </row>
    <row r="26" spans="2:23" ht="14.4" thickBot="1">
      <c r="B26" s="524" t="str">
        <f t="shared" si="0"/>
        <v/>
      </c>
      <c r="C26" s="658"/>
      <c r="D26" s="648"/>
      <c r="E26" s="640">
        <v>0</v>
      </c>
      <c r="F26" s="640">
        <v>0</v>
      </c>
      <c r="G26" s="640">
        <v>0</v>
      </c>
      <c r="H26" s="638"/>
      <c r="I26" s="640">
        <v>0</v>
      </c>
      <c r="J26" s="522" t="str">
        <f>IFERROR(IF(K26="","",VLOOKUP($D26,IDEAGLIO補助ﾘｽﾄ!$B$2:$F$50,4,FALSE)),"")</f>
        <v/>
      </c>
      <c r="K26" s="523" t="str">
        <f>IFERROR(VLOOKUP($D26,IDEAGLIO補助ﾘｽﾄ!$B$2:$F$50,3,FALSE),"")</f>
        <v/>
      </c>
      <c r="L26" s="522" t="str">
        <f>IFERROR(VLOOKUP($D26,IDEAGLIO補助ﾘｽﾄ!$B$2:$F$50,5,FALSE),"")</f>
        <v/>
      </c>
      <c r="M26" s="524" t="str">
        <f t="shared" si="2"/>
        <v/>
      </c>
      <c r="N26" s="132">
        <f t="shared" si="3"/>
        <v>0</v>
      </c>
      <c r="O26" s="654" t="s">
        <v>192</v>
      </c>
      <c r="P26" s="405" t="str">
        <f t="shared" si="4"/>
        <v/>
      </c>
      <c r="Q26" s="406" t="str">
        <f t="shared" si="5"/>
        <v/>
      </c>
      <c r="T26" t="str">
        <f t="shared" si="1"/>
        <v/>
      </c>
      <c r="U26" s="361" t="str">
        <f>IF($T26=U$4,COUNTIF($T$5:$T26,U$4),"")</f>
        <v/>
      </c>
      <c r="V26" s="361" t="str">
        <f>IF($T26=V$4,COUNTIF($T$5:$T26,V$4),"")</f>
        <v/>
      </c>
      <c r="W26" s="361" t="str">
        <f>IF($T26=W$4,COUNTIF($T$5:$T26,W$4),"")</f>
        <v/>
      </c>
    </row>
    <row r="27" spans="2:23" ht="14.4" thickBot="1">
      <c r="B27" s="524" t="str">
        <f t="shared" si="0"/>
        <v/>
      </c>
      <c r="C27" s="658"/>
      <c r="D27" s="648"/>
      <c r="E27" s="640">
        <v>0</v>
      </c>
      <c r="F27" s="640">
        <v>0</v>
      </c>
      <c r="G27" s="640">
        <v>0</v>
      </c>
      <c r="H27" s="638"/>
      <c r="I27" s="640">
        <v>0</v>
      </c>
      <c r="J27" s="522" t="str">
        <f>IFERROR(IF(K27="","",VLOOKUP($D27,IDEAGLIO補助ﾘｽﾄ!$B$2:$F$50,4,FALSE)),"")</f>
        <v/>
      </c>
      <c r="K27" s="523" t="str">
        <f>IFERROR(VLOOKUP($D27,IDEAGLIO補助ﾘｽﾄ!$B$2:$F$50,3,FALSE),"")</f>
        <v/>
      </c>
      <c r="L27" s="522" t="str">
        <f>IFERROR(VLOOKUP($D27,IDEAGLIO補助ﾘｽﾄ!$B$2:$F$50,5,FALSE),"")</f>
        <v/>
      </c>
      <c r="M27" s="524" t="str">
        <f t="shared" si="2"/>
        <v/>
      </c>
      <c r="N27" s="132">
        <f t="shared" si="3"/>
        <v>0</v>
      </c>
      <c r="O27" s="654" t="s">
        <v>192</v>
      </c>
      <c r="P27" s="405" t="str">
        <f t="shared" si="4"/>
        <v/>
      </c>
      <c r="Q27" s="406" t="str">
        <f t="shared" si="5"/>
        <v/>
      </c>
      <c r="T27" t="str">
        <f t="shared" si="1"/>
        <v/>
      </c>
      <c r="U27" s="361" t="str">
        <f>IF($T27=U$4,COUNTIF($T$5:$T27,U$4),"")</f>
        <v/>
      </c>
      <c r="V27" s="361" t="str">
        <f>IF($T27=V$4,COUNTIF($T$5:$T27,V$4),"")</f>
        <v/>
      </c>
      <c r="W27" s="361" t="str">
        <f>IF($T27=W$4,COUNTIF($T$5:$T27,W$4),"")</f>
        <v/>
      </c>
    </row>
    <row r="28" spans="2:23" ht="14.4" thickBot="1">
      <c r="B28" s="524" t="str">
        <f t="shared" si="0"/>
        <v/>
      </c>
      <c r="C28" s="658"/>
      <c r="D28" s="648"/>
      <c r="E28" s="640">
        <v>0</v>
      </c>
      <c r="F28" s="640">
        <v>0</v>
      </c>
      <c r="G28" s="640">
        <v>0</v>
      </c>
      <c r="H28" s="638"/>
      <c r="I28" s="640">
        <v>0</v>
      </c>
      <c r="J28" s="522" t="str">
        <f>IFERROR(IF(K28="","",VLOOKUP($D28,IDEAGLIO補助ﾘｽﾄ!$B$2:$F$50,4,FALSE)),"")</f>
        <v/>
      </c>
      <c r="K28" s="523" t="str">
        <f>IFERROR(VLOOKUP($D28,IDEAGLIO補助ﾘｽﾄ!$B$2:$F$50,3,FALSE),"")</f>
        <v/>
      </c>
      <c r="L28" s="522" t="str">
        <f>IFERROR(VLOOKUP($D28,IDEAGLIO補助ﾘｽﾄ!$B$2:$F$50,5,FALSE),"")</f>
        <v/>
      </c>
      <c r="M28" s="524" t="str">
        <f t="shared" si="2"/>
        <v/>
      </c>
      <c r="N28" s="132">
        <f t="shared" si="3"/>
        <v>0</v>
      </c>
      <c r="O28" s="654" t="s">
        <v>192</v>
      </c>
      <c r="P28" s="405" t="str">
        <f t="shared" si="4"/>
        <v/>
      </c>
      <c r="Q28" s="406" t="str">
        <f t="shared" si="5"/>
        <v/>
      </c>
      <c r="T28" t="str">
        <f t="shared" si="1"/>
        <v/>
      </c>
      <c r="U28" s="361" t="str">
        <f>IF($T28=U$4,COUNTIF($T$5:$T28,U$4),"")</f>
        <v/>
      </c>
      <c r="V28" s="361" t="str">
        <f>IF($T28=V$4,COUNTIF($T$5:$T28,V$4),"")</f>
        <v/>
      </c>
      <c r="W28" s="361" t="str">
        <f>IF($T28=W$4,COUNTIF($T$5:$T28,W$4),"")</f>
        <v/>
      </c>
    </row>
    <row r="29" spans="2:23" ht="14.4" thickBot="1">
      <c r="B29" s="524" t="str">
        <f t="shared" si="0"/>
        <v/>
      </c>
      <c r="C29" s="658"/>
      <c r="D29" s="648"/>
      <c r="E29" s="640">
        <v>0</v>
      </c>
      <c r="F29" s="640">
        <v>0</v>
      </c>
      <c r="G29" s="640">
        <v>0</v>
      </c>
      <c r="H29" s="638"/>
      <c r="I29" s="640">
        <v>0</v>
      </c>
      <c r="J29" s="522" t="str">
        <f>IFERROR(IF(K29="","",VLOOKUP($D29,IDEAGLIO補助ﾘｽﾄ!$B$2:$F$50,4,FALSE)),"")</f>
        <v/>
      </c>
      <c r="K29" s="523" t="str">
        <f>IFERROR(VLOOKUP($D29,IDEAGLIO補助ﾘｽﾄ!$B$2:$F$50,3,FALSE),"")</f>
        <v/>
      </c>
      <c r="L29" s="522" t="str">
        <f>IFERROR(VLOOKUP($D29,IDEAGLIO補助ﾘｽﾄ!$B$2:$F$50,5,FALSE),"")</f>
        <v/>
      </c>
      <c r="M29" s="524" t="str">
        <f t="shared" si="2"/>
        <v/>
      </c>
      <c r="N29" s="132">
        <f t="shared" si="3"/>
        <v>0</v>
      </c>
      <c r="O29" s="654" t="s">
        <v>192</v>
      </c>
      <c r="P29" s="405" t="str">
        <f t="shared" si="4"/>
        <v/>
      </c>
      <c r="Q29" s="406" t="str">
        <f t="shared" si="5"/>
        <v/>
      </c>
      <c r="T29" t="str">
        <f t="shared" si="1"/>
        <v/>
      </c>
      <c r="U29" s="361" t="str">
        <f>IF($T29=U$4,COUNTIF($T$5:$T29,U$4),"")</f>
        <v/>
      </c>
      <c r="V29" s="361" t="str">
        <f>IF($T29=V$4,COUNTIF($T$5:$T29,V$4),"")</f>
        <v/>
      </c>
      <c r="W29" s="361" t="str">
        <f>IF($T29=W$4,COUNTIF($T$5:$T29,W$4),"")</f>
        <v/>
      </c>
    </row>
    <row r="30" spans="2:23" ht="14.4" thickBot="1">
      <c r="B30" s="524" t="str">
        <f t="shared" si="0"/>
        <v/>
      </c>
      <c r="C30" s="658"/>
      <c r="D30" s="648"/>
      <c r="E30" s="640">
        <v>0</v>
      </c>
      <c r="F30" s="640">
        <v>0</v>
      </c>
      <c r="G30" s="640">
        <v>0</v>
      </c>
      <c r="H30" s="638"/>
      <c r="I30" s="640">
        <v>0</v>
      </c>
      <c r="J30" s="522" t="str">
        <f>IFERROR(IF(K30="","",VLOOKUP($D30,IDEAGLIO補助ﾘｽﾄ!$B$2:$F$50,4,FALSE)),"")</f>
        <v/>
      </c>
      <c r="K30" s="523" t="str">
        <f>IFERROR(VLOOKUP($D30,IDEAGLIO補助ﾘｽﾄ!$B$2:$F$50,3,FALSE),"")</f>
        <v/>
      </c>
      <c r="L30" s="522" t="str">
        <f>IFERROR(VLOOKUP($D30,IDEAGLIO補助ﾘｽﾄ!$B$2:$F$50,5,FALSE),"")</f>
        <v/>
      </c>
      <c r="M30" s="524" t="str">
        <f t="shared" si="2"/>
        <v/>
      </c>
      <c r="N30" s="132">
        <f t="shared" si="3"/>
        <v>0</v>
      </c>
      <c r="O30" s="654" t="s">
        <v>192</v>
      </c>
      <c r="P30" s="405" t="str">
        <f t="shared" si="4"/>
        <v/>
      </c>
      <c r="Q30" s="406" t="str">
        <f t="shared" si="5"/>
        <v/>
      </c>
      <c r="T30" t="str">
        <f t="shared" si="1"/>
        <v/>
      </c>
      <c r="U30" s="361" t="str">
        <f>IF($T30=U$4,COUNTIF($T$5:$T30,U$4),"")</f>
        <v/>
      </c>
      <c r="V30" s="361" t="str">
        <f>IF($T30=V$4,COUNTIF($T$5:$T30,V$4),"")</f>
        <v/>
      </c>
      <c r="W30" s="361" t="str">
        <f>IF($T30=W$4,COUNTIF($T$5:$T30,W$4),"")</f>
        <v/>
      </c>
    </row>
  </sheetData>
  <sheetProtection sheet="1" objects="1" scenarios="1"/>
  <sortState ref="B5:R78">
    <sortCondition ref="B5:B78"/>
    <sortCondition ref="D5:D78"/>
  </sortState>
  <mergeCells count="12">
    <mergeCell ref="B1:C1"/>
    <mergeCell ref="C3:C4"/>
    <mergeCell ref="F3:F4"/>
    <mergeCell ref="G3:H4"/>
    <mergeCell ref="B3:B4"/>
    <mergeCell ref="P3:Q4"/>
    <mergeCell ref="K3:M4"/>
    <mergeCell ref="D3:D4"/>
    <mergeCell ref="O3:O4"/>
    <mergeCell ref="I3:J4"/>
    <mergeCell ref="E3:E4"/>
    <mergeCell ref="N3:N4"/>
  </mergeCells>
  <phoneticPr fontId="33"/>
  <dataValidations count="4">
    <dataValidation allowBlank="1" showInputMessage="1" showErrorMessage="1" promptTitle="資本財とは" prompt="各プロセスに関連する機器や設備。一般的には減価償却の対象となるものを指します。" sqref="B1:C1"/>
    <dataValidation allowBlank="1" showInputMessage="1" showErrorMessage="1" promptTitle="活動量とは" prompt="資本財の導入費用や、質量などの数値。排出原単位によって入力単位が異なります。" sqref="I3:J4"/>
    <dataValidation allowBlank="1" showInputMessage="1" showErrorMessage="1" promptTitle="プロセスとは" prompt="「製造（P)」「貯蔵・輸送(ST」「供給(D)」の各シートにあるプロセスNo_x000a_を選択してください。（例：P01）" sqref="C3:C4"/>
    <dataValidation allowBlank="1" showInputMessage="1" showErrorMessage="1" promptTitle="耐用年数とは" prompt="法定耐用年数（減価償却費の算定に用いる年数）。" sqref="E3:E4"/>
  </dataValidations>
  <printOptions horizontalCentered="1" verticalCentered="1"/>
  <pageMargins left="0.70866141732283472" right="0.70866141732283472" top="0.74803149606299213" bottom="0.74803149606299213" header="0.31496062992125984" footer="0.31496062992125984"/>
  <pageSetup paperSize="9" scale="77" orientation="landscape" r:id="rId1"/>
  <headerFooter scaleWithDoc="0">
    <oddHeader xml:space="preserve">&amp;R&amp;A </oddHeader>
    <oddFooter>&amp;C&amp;P/&amp;N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Color!$AK$3:$AK$17</xm:f>
          </x14:formula1>
          <xm:sqref>C14:C30</xm:sqref>
        </x14:dataValidation>
        <x14:dataValidation type="list" allowBlank="1" showInputMessage="1" showErrorMessage="1">
          <x14:formula1>
            <xm:f>Color!$AG$4:$AG$6</xm:f>
          </x14:formula1>
          <xm:sqref>H5:H30</xm:sqref>
        </x14:dataValidation>
        <x14:dataValidation type="list" allowBlank="1" showInputMessage="1" showErrorMessage="1">
          <x14:formula1>
            <xm:f>補助ﾘｽﾄ!$B$11:$B$52</xm:f>
          </x14:formula1>
          <xm:sqref>D5:D30</xm:sqref>
        </x14:dataValidation>
        <x14:dataValidation type="list" allowBlank="1" showInputMessage="1" showErrorMessage="1">
          <x14:formula1>
            <xm:f>'\\PEA-HDDV2\PEAv2\Users\takochi\Desktop\[HydrogenLCATool_V2beta34.xlsx]Color'!#REF!</xm:f>
          </x14:formula1>
          <xm:sqref>C5:C13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52"/>
  <sheetViews>
    <sheetView view="pageBreakPreview" zoomScaleNormal="100" zoomScaleSheetLayoutView="100" workbookViewId="0">
      <selection sqref="A1:B1"/>
    </sheetView>
  </sheetViews>
  <sheetFormatPr defaultColWidth="9" defaultRowHeight="13.8"/>
  <cols>
    <col min="1" max="1" width="16" style="7" bestFit="1" customWidth="1"/>
    <col min="2" max="2" width="24.69921875" style="7" bestFit="1" customWidth="1"/>
    <col min="3" max="3" width="12.19921875" style="7" customWidth="1"/>
    <col min="4" max="4" width="30" style="7" bestFit="1" customWidth="1"/>
    <col min="5" max="5" width="17.19921875" style="7" customWidth="1"/>
    <col min="6" max="6" width="17.19921875" style="342" customWidth="1"/>
    <col min="7" max="16384" width="9" style="7"/>
  </cols>
  <sheetData>
    <row r="1" spans="1:6" ht="15.6" thickTop="1" thickBot="1">
      <c r="A1" s="1080" t="s">
        <v>7833</v>
      </c>
      <c r="B1" s="1081"/>
    </row>
    <row r="2" spans="1:6" ht="14.4" thickTop="1"/>
    <row r="3" spans="1:6" s="528" customFormat="1" ht="29.25" customHeight="1">
      <c r="A3" s="525" t="s">
        <v>7720</v>
      </c>
      <c r="B3" s="525" t="s">
        <v>7721</v>
      </c>
      <c r="C3" s="526" t="s">
        <v>7723</v>
      </c>
      <c r="D3" s="525" t="s">
        <v>7457</v>
      </c>
      <c r="E3" s="526" t="s">
        <v>7722</v>
      </c>
      <c r="F3" s="527"/>
    </row>
    <row r="4" spans="1:6">
      <c r="A4" s="418" t="s">
        <v>7610</v>
      </c>
      <c r="B4" s="418" t="s">
        <v>7606</v>
      </c>
      <c r="C4" s="419">
        <v>172315000</v>
      </c>
      <c r="D4" s="517" t="str">
        <f>IFERROR(IF($A4=Color!$AM$3,VLOOKUP($C4,IDEAv2原単位!$A$3:$F$4021,2,FALSE),VLOOKUP(補助ﾘｽﾄ!$C4,GLIO!$B$5:$E$407,2,FALSE)),"")</f>
        <v>窒素</v>
      </c>
      <c r="E4" s="517" t="str">
        <f>IF(C4="","",IFERROR(IF($A4=Color!$AM$3,VLOOKUP($C4,IDEAv2原単位!$A$3:$F$4021,5,FALSE),"千円"),""))</f>
        <v>m3</v>
      </c>
      <c r="F4" s="341"/>
    </row>
    <row r="5" spans="1:6">
      <c r="A5" s="418" t="s">
        <v>7610</v>
      </c>
      <c r="B5" s="418" t="s">
        <v>7607</v>
      </c>
      <c r="C5" s="419">
        <v>172311000</v>
      </c>
      <c r="D5" s="517" t="str">
        <f>IFERROR(IF($A5=Color!$AM$3,VLOOKUP($C5,IDEAv2原単位!$A$3:$F$4021,2,FALSE),VLOOKUP(補助ﾘｽﾄ!$C5,GLIO!$B$5:$E$407,2,FALSE)),"")</f>
        <v>酸素ガス(液化酸素を含む)</v>
      </c>
      <c r="E5" s="517" t="str">
        <f>IF(C5="","",IFERROR(IF($A5=Color!$AM$3,VLOOKUP($C5,IDEAv2原単位!$A$3:$F$4021,5,FALSE),"千円"),""))</f>
        <v>m3</v>
      </c>
      <c r="F5" s="341"/>
    </row>
    <row r="6" spans="1:6">
      <c r="A6" s="418" t="s">
        <v>7610</v>
      </c>
      <c r="B6" s="416" t="s">
        <v>7592</v>
      </c>
      <c r="C6" s="417">
        <v>172411000</v>
      </c>
      <c r="D6" s="517" t="str">
        <f>IFERROR(IF($A6=Color!$AM$3,VLOOKUP($C6,IDEAv2原単位!$A$3:$F$4021,2,FALSE),VLOOKUP(補助ﾘｽﾄ!$C6,GLIO!$B$5:$E$407,2,FALSE)),"")</f>
        <v>工業塩</v>
      </c>
      <c r="E6" s="517" t="str">
        <f>IF(C6="","",IFERROR(IF($A6=Color!$AM$3,VLOOKUP($C6,IDEAv2原単位!$A$3:$F$4021,5,FALSE),"千円"),""))</f>
        <v>kg</v>
      </c>
      <c r="F6" s="341"/>
    </row>
    <row r="7" spans="1:6">
      <c r="A7" s="418" t="s">
        <v>7610</v>
      </c>
      <c r="B7" s="416" t="s">
        <v>7593</v>
      </c>
      <c r="C7" s="417">
        <v>852212235</v>
      </c>
      <c r="D7" s="517" t="str">
        <f>IFERROR(IF($A7=Color!$AM$3,VLOOKUP($C7,IDEAv2原単位!$A$3:$F$4021,2,FALSE),VLOOKUP(補助ﾘｽﾄ!$C7,GLIO!$B$5:$E$407,2,FALSE)),"")</f>
        <v>焼却処理, 産業廃棄物, 汚泥</v>
      </c>
      <c r="E7" s="517" t="str">
        <f>IF(C7="","",IFERROR(IF($A7=Color!$AM$3,VLOOKUP($C7,IDEAv2原単位!$A$3:$F$4021,5,FALSE),"千円"),""))</f>
        <v>kg</v>
      </c>
      <c r="F7" s="341"/>
    </row>
    <row r="8" spans="1:6">
      <c r="A8" s="418" t="s">
        <v>7610</v>
      </c>
      <c r="B8" s="416" t="s">
        <v>7594</v>
      </c>
      <c r="C8" s="417">
        <v>179919200</v>
      </c>
      <c r="D8" s="517" t="str">
        <f>IFERROR(IF($A8=Color!$AM$3,VLOOKUP($C8,IDEAv2原単位!$A$3:$F$4021,2,FALSE),VLOOKUP(補助ﾘｽﾄ!$C8,GLIO!$B$5:$E$407,2,FALSE)),"")</f>
        <v>純水, イオン交換膜法</v>
      </c>
      <c r="E8" s="517" t="str">
        <f>IF(C8="","",IFERROR(IF($A8=Color!$AM$3,VLOOKUP($C8,IDEAv2原単位!$A$3:$F$4021,5,FALSE),"千円"),""))</f>
        <v>m3</v>
      </c>
      <c r="F8" s="341"/>
    </row>
    <row r="9" spans="1:6">
      <c r="A9" s="418" t="s">
        <v>7610</v>
      </c>
      <c r="B9" s="420" t="s">
        <v>7598</v>
      </c>
      <c r="C9" s="417">
        <v>852511000</v>
      </c>
      <c r="D9" s="517" t="str">
        <f>IFERROR(IF($A9=Color!$AM$3,VLOOKUP($C9,IDEAv2原単位!$A$3:$F$4021,2,FALSE),VLOOKUP(補助ﾘｽﾄ!$C9,GLIO!$B$5:$E$407,2,FALSE)),"")</f>
        <v>工業排水処理</v>
      </c>
      <c r="E9" s="517" t="str">
        <f>IF(C9="","",IFERROR(IF($A9=Color!$AM$3,VLOOKUP($C9,IDEAv2原単位!$A$3:$F$4021,5,FALSE),"千円"),""))</f>
        <v>m3</v>
      </c>
      <c r="F9" s="341"/>
    </row>
    <row r="10" spans="1:6">
      <c r="A10" s="418" t="s">
        <v>7610</v>
      </c>
      <c r="B10" s="680" t="s">
        <v>7602</v>
      </c>
      <c r="C10" s="681">
        <v>361111000</v>
      </c>
      <c r="D10" s="517" t="str">
        <f>IFERROR(IF($A10=Color!$AM$3,VLOOKUP($C10,IDEAv2原単位!$A$3:$F$4021,2,FALSE),VLOOKUP(補助ﾘｽﾄ!$C10,GLIO!$B$5:$E$407,2,FALSE)),"")</f>
        <v>上水道</v>
      </c>
      <c r="E10" s="517" t="str">
        <f>IF(C10="","",IFERROR(IF($A10=Color!$AM$3,VLOOKUP($C10,IDEAv2原単位!$A$3:$F$4021,5,FALSE),"千円"),""))</f>
        <v>m3</v>
      </c>
      <c r="F10" s="341"/>
    </row>
    <row r="11" spans="1:6">
      <c r="A11" s="418" t="s">
        <v>7599</v>
      </c>
      <c r="B11" s="416" t="s">
        <v>7586</v>
      </c>
      <c r="C11" s="417">
        <v>302201</v>
      </c>
      <c r="D11" s="517" t="str">
        <f>IFERROR(IF($A11=Color!$AM$3,VLOOKUP($C11,IDEAv2原単位!$A$3:$F$4021,2,FALSE),VLOOKUP(補助ﾘｽﾄ!$C11,GLIO!$B$5:$E$407,2,FALSE)),"")</f>
        <v>化学機械</v>
      </c>
      <c r="E11" s="517" t="str">
        <f>IF(C11="","",IFERROR(IF($A11=Color!$AM$3,VLOOKUP($C11,IDEAv2原単位!$A$3:$F$4021,5,FALSE),"千円"),""))</f>
        <v>千円</v>
      </c>
      <c r="F11" s="341"/>
    </row>
    <row r="12" spans="1:6">
      <c r="A12" s="418" t="s">
        <v>7599</v>
      </c>
      <c r="B12" s="416" t="s">
        <v>7587</v>
      </c>
      <c r="C12" s="417">
        <v>301901</v>
      </c>
      <c r="D12" s="517" t="str">
        <f>IFERROR(IF($A12=Color!$AM$3,VLOOKUP($C12,IDEAv2原単位!$A$3:$F$4021,2,FALSE),VLOOKUP(補助ﾘｽﾄ!$C12,GLIO!$B$5:$E$407,2,FALSE)),"")</f>
        <v>ポンプ及び圧縮機</v>
      </c>
      <c r="E12" s="517" t="str">
        <f>IF(C12="","",IFERROR(IF($A12=Color!$AM$3,VLOOKUP($C12,IDEAv2原単位!$A$3:$F$4021,5,FALSE),"千円"),""))</f>
        <v>千円</v>
      </c>
      <c r="F12" s="341"/>
    </row>
    <row r="13" spans="1:6">
      <c r="A13" s="418" t="s">
        <v>7599</v>
      </c>
      <c r="B13" s="416" t="s">
        <v>7588</v>
      </c>
      <c r="C13" s="417">
        <v>362909</v>
      </c>
      <c r="D13" s="517" t="str">
        <f>IFERROR(IF($A13=Color!$AM$3,VLOOKUP($C13,IDEAv2原単位!$A$3:$F$4021,2,FALSE),VLOOKUP(補助ﾘｽﾄ!$C13,GLIO!$B$5:$E$407,2,FALSE)),"")</f>
        <v>その他の輸送機械</v>
      </c>
      <c r="E13" s="517" t="str">
        <f>IF(C13="","",IFERROR(IF($A13=Color!$AM$3,VLOOKUP($C13,IDEAv2原単位!$A$3:$F$4021,5,FALSE),"千円"),""))</f>
        <v>千円</v>
      </c>
      <c r="F13" s="341"/>
    </row>
    <row r="14" spans="1:6">
      <c r="A14" s="418" t="s">
        <v>7599</v>
      </c>
      <c r="B14" s="416" t="s">
        <v>7589</v>
      </c>
      <c r="C14" s="417">
        <v>362909</v>
      </c>
      <c r="D14" s="517" t="str">
        <f>IFERROR(IF($A14=Color!$AM$3,VLOOKUP($C14,IDEAv2原単位!$A$3:$F$4021,2,FALSE),VLOOKUP(補助ﾘｽﾄ!$C14,GLIO!$B$5:$E$407,2,FALSE)),"")</f>
        <v>その他の輸送機械</v>
      </c>
      <c r="E14" s="517" t="str">
        <f>IF(C14="","",IFERROR(IF($A14=Color!$AM$3,VLOOKUP($C14,IDEAv2原単位!$A$3:$F$4021,5,FALSE),"千円"),""))</f>
        <v>千円</v>
      </c>
      <c r="F14" s="341"/>
    </row>
    <row r="15" spans="1:6">
      <c r="A15" s="418" t="s">
        <v>7599</v>
      </c>
      <c r="B15" s="416" t="s">
        <v>7575</v>
      </c>
      <c r="C15" s="417">
        <v>301901</v>
      </c>
      <c r="D15" s="517" t="str">
        <f>IFERROR(IF($A15=Color!$AM$3,VLOOKUP($C15,IDEAv2原単位!$A$3:$F$4021,2,FALSE),VLOOKUP(補助ﾘｽﾄ!$C15,GLIO!$B$5:$E$407,2,FALSE)),"")</f>
        <v>ポンプ及び圧縮機</v>
      </c>
      <c r="E15" s="517" t="str">
        <f>IF(C15="","",IFERROR(IF($A15=Color!$AM$3,VLOOKUP($C15,IDEAv2原単位!$A$3:$F$4021,5,FALSE),"千円"),""))</f>
        <v>千円</v>
      </c>
      <c r="F15" s="341"/>
    </row>
    <row r="16" spans="1:6">
      <c r="A16" s="418" t="s">
        <v>7599</v>
      </c>
      <c r="B16" s="416" t="s">
        <v>7585</v>
      </c>
      <c r="C16" s="417">
        <v>362909</v>
      </c>
      <c r="D16" s="517" t="str">
        <f>IFERROR(IF($A16=Color!$AM$3,VLOOKUP($C16,IDEAv2原単位!$A$3:$F$4021,2,FALSE),VLOOKUP(補助ﾘｽﾄ!$C16,GLIO!$B$5:$E$407,2,FALSE)),"")</f>
        <v>その他の輸送機械</v>
      </c>
      <c r="E16" s="517" t="str">
        <f>IF(C16="","",IFERROR(IF($A16=Color!$AM$3,VLOOKUP($C16,IDEAv2原単位!$A$3:$F$4021,5,FALSE),"千円"),""))</f>
        <v>千円</v>
      </c>
      <c r="F16" s="341"/>
    </row>
    <row r="17" spans="1:6">
      <c r="A17" s="418" t="s">
        <v>7599</v>
      </c>
      <c r="B17" s="416" t="s">
        <v>7590</v>
      </c>
      <c r="C17" s="417">
        <v>301301</v>
      </c>
      <c r="D17" s="517" t="str">
        <f>IFERROR(IF($A17=Color!$AM$3,VLOOKUP($C17,IDEAv2原単位!$A$3:$F$4021,2,FALSE),VLOOKUP(補助ﾘｽﾄ!$C17,GLIO!$B$5:$E$407,2,FALSE)),"")</f>
        <v>冷凍機・温湿調整装置</v>
      </c>
      <c r="E17" s="517" t="str">
        <f>IF(C17="","",IFERROR(IF($A17=Color!$AM$3,VLOOKUP($C17,IDEAv2原単位!$A$3:$F$4021,5,FALSE),"千円"),""))</f>
        <v>千円</v>
      </c>
      <c r="F17" s="341"/>
    </row>
    <row r="18" spans="1:6">
      <c r="A18" s="418" t="s">
        <v>7599</v>
      </c>
      <c r="B18" s="416" t="s">
        <v>7591</v>
      </c>
      <c r="C18" s="417">
        <v>362909</v>
      </c>
      <c r="D18" s="517" t="str">
        <f>IFERROR(IF($A18=Color!$AM$3,VLOOKUP($C18,IDEAv2原単位!$A$3:$F$4021,2,FALSE),VLOOKUP(補助ﾘｽﾄ!$C18,GLIO!$B$5:$E$407,2,FALSE)),"")</f>
        <v>その他の輸送機械</v>
      </c>
      <c r="E18" s="517" t="str">
        <f>IF(C18="","",IFERROR(IF($A18=Color!$AM$3,VLOOKUP($C18,IDEAv2原単位!$A$3:$F$4021,5,FALSE),"千円"),""))</f>
        <v>千円</v>
      </c>
      <c r="F18" s="341"/>
    </row>
    <row r="19" spans="1:6">
      <c r="A19" s="418" t="s">
        <v>7599</v>
      </c>
      <c r="B19" s="416" t="s">
        <v>7576</v>
      </c>
      <c r="C19" s="417">
        <v>321103</v>
      </c>
      <c r="D19" s="517" t="str">
        <f>IFERROR(IF($A19=Color!$AM$3,VLOOKUP($C19,IDEAv2原単位!$A$3:$F$4021,2,FALSE),VLOOKUP(補助ﾘｽﾄ!$C19,GLIO!$B$5:$E$407,2,FALSE)),"")</f>
        <v>開閉制御装置及び配電盤</v>
      </c>
      <c r="E19" s="517" t="str">
        <f>IF(C19="","",IFERROR(IF($A19=Color!$AM$3,VLOOKUP($C19,IDEAv2原単位!$A$3:$F$4021,5,FALSE),"千円"),""))</f>
        <v>千円</v>
      </c>
      <c r="F19" s="341"/>
    </row>
    <row r="20" spans="1:6">
      <c r="A20" s="418" t="s">
        <v>7599</v>
      </c>
      <c r="B20" s="418" t="s">
        <v>7600</v>
      </c>
      <c r="C20" s="419">
        <v>321102</v>
      </c>
      <c r="D20" s="517" t="str">
        <f>IFERROR(IF($A20=Color!$AM$3,VLOOKUP($C20,IDEAv2原単位!$A$3:$F$4021,2,FALSE),VLOOKUP(補助ﾘｽﾄ!$C20,GLIO!$B$5:$E$407,2,FALSE)),"")</f>
        <v>変圧器・変成器</v>
      </c>
      <c r="E20" s="517" t="str">
        <f>IF(C20="","",IFERROR(IF($A20=Color!$AM$3,VLOOKUP($C20,IDEAv2原単位!$A$3:$F$4021,5,FALSE),"千円"),""))</f>
        <v>千円</v>
      </c>
      <c r="F20" s="341"/>
    </row>
    <row r="21" spans="1:6">
      <c r="A21" s="418" t="s">
        <v>7599</v>
      </c>
      <c r="B21" s="418" t="s">
        <v>7608</v>
      </c>
      <c r="C21" s="419">
        <v>321109</v>
      </c>
      <c r="D21" s="517" t="str">
        <f>IFERROR(IF($A21=Color!$AM$3,VLOOKUP($C21,IDEAv2原単位!$A$3:$F$4021,2,FALSE),VLOOKUP(補助ﾘｽﾄ!$C21,GLIO!$B$5:$E$407,2,FALSE)),"")</f>
        <v>その他の産業用電気機器</v>
      </c>
      <c r="E21" s="517" t="str">
        <f>IF(C21="","",IFERROR(IF($A21=Color!$AM$3,VLOOKUP($C21,IDEAv2原単位!$A$3:$F$4021,5,FALSE),"千円"),""))</f>
        <v>千円</v>
      </c>
      <c r="F21" s="341"/>
    </row>
    <row r="22" spans="1:6">
      <c r="A22" s="418" t="s">
        <v>7599</v>
      </c>
      <c r="B22" s="418" t="s">
        <v>7609</v>
      </c>
      <c r="C22" s="419">
        <v>321109</v>
      </c>
      <c r="D22" s="517" t="str">
        <f>IFERROR(IF($A22=Color!$AM$3,VLOOKUP($C22,IDEAv2原単位!$A$3:$F$4021,2,FALSE),VLOOKUP(補助ﾘｽﾄ!$C22,GLIO!$B$5:$E$407,2,FALSE)),"")</f>
        <v>その他の産業用電気機器</v>
      </c>
      <c r="E22" s="517" t="str">
        <f>IF(C22="","",IFERROR(IF($A22=Color!$AM$3,VLOOKUP($C22,IDEAv2原単位!$A$3:$F$4021,5,FALSE),"千円"),""))</f>
        <v>千円</v>
      </c>
      <c r="F22" s="341"/>
    </row>
    <row r="23" spans="1:6">
      <c r="A23" s="418" t="s">
        <v>7599</v>
      </c>
      <c r="B23" s="418" t="s">
        <v>7601</v>
      </c>
      <c r="C23" s="419">
        <v>362909</v>
      </c>
      <c r="D23" s="517" t="str">
        <f>IFERROR(IF($A23=Color!$AM$3,VLOOKUP($C23,IDEAv2原単位!$A$3:$F$4021,2,FALSE),VLOOKUP(補助ﾘｽﾄ!$C23,GLIO!$B$5:$E$407,2,FALSE)),"")</f>
        <v>その他の輸送機械</v>
      </c>
      <c r="E23" s="517" t="str">
        <f>IF(C23="","",IFERROR(IF($A23=Color!$AM$3,VLOOKUP($C23,IDEAv2原単位!$A$3:$F$4021,5,FALSE),"千円"),""))</f>
        <v>千円</v>
      </c>
      <c r="F23" s="341"/>
    </row>
    <row r="24" spans="1:6">
      <c r="A24" s="418" t="s">
        <v>7599</v>
      </c>
      <c r="B24" s="418" t="s">
        <v>7603</v>
      </c>
      <c r="C24" s="419">
        <v>301909</v>
      </c>
      <c r="D24" s="517" t="str">
        <f>IFERROR(IF($A24=Color!$AM$3,VLOOKUP($C24,IDEAv2原単位!$A$3:$F$4021,2,FALSE),VLOOKUP(補助ﾘｽﾄ!$C24,GLIO!$B$5:$E$407,2,FALSE)),"")</f>
        <v>その他の一般産業機械及び装置</v>
      </c>
      <c r="E24" s="517" t="str">
        <f>IF(C24="","",IFERROR(IF($A24=Color!$AM$3,VLOOKUP($C24,IDEAv2原単位!$A$3:$F$4021,5,FALSE),"千円"),""))</f>
        <v>千円</v>
      </c>
      <c r="F24" s="341"/>
    </row>
    <row r="25" spans="1:6">
      <c r="A25" s="418" t="s">
        <v>7599</v>
      </c>
      <c r="B25" s="418" t="s">
        <v>7604</v>
      </c>
      <c r="C25" s="419">
        <v>301909</v>
      </c>
      <c r="D25" s="517" t="str">
        <f>IFERROR(IF($A25=Color!$AM$3,VLOOKUP($C25,IDEAv2原単位!$A$3:$F$4021,2,FALSE),VLOOKUP(補助ﾘｽﾄ!$C25,GLIO!$B$5:$E$407,2,FALSE)),"")</f>
        <v>その他の一般産業機械及び装置</v>
      </c>
      <c r="E25" s="517" t="str">
        <f>IF(C25="","",IFERROR(IF($A25=Color!$AM$3,VLOOKUP($C25,IDEAv2原単位!$A$3:$F$4021,5,FALSE),"千円"),""))</f>
        <v>千円</v>
      </c>
      <c r="F25" s="341"/>
    </row>
    <row r="26" spans="1:6" ht="14.4" thickBot="1">
      <c r="A26" s="418" t="s">
        <v>7599</v>
      </c>
      <c r="B26" s="418" t="s">
        <v>7605</v>
      </c>
      <c r="C26" s="419">
        <v>352101</v>
      </c>
      <c r="D26" s="517" t="str">
        <f>IFERROR(IF($A26=Color!$AM$3,VLOOKUP($C26,IDEAv2原単位!$A$3:$F$4021,2,FALSE),VLOOKUP(補助ﾘｽﾄ!$C26,GLIO!$B$5:$E$407,2,FALSE)),"")</f>
        <v>トラック・バス・その他の自動車</v>
      </c>
      <c r="E26" s="517" t="str">
        <f>IF(C26="","",IFERROR(IF($A26=Color!$AM$3,VLOOKUP($C26,IDEAv2原単位!$A$3:$F$4021,5,FALSE),"千円"),""))</f>
        <v>千円</v>
      </c>
      <c r="F26" s="341"/>
    </row>
    <row r="27" spans="1:6" ht="14.4" thickBot="1">
      <c r="A27" s="678" t="s">
        <v>7932</v>
      </c>
      <c r="B27" s="682" t="s">
        <v>7942</v>
      </c>
      <c r="C27" s="742">
        <v>1</v>
      </c>
      <c r="D27" s="679" t="str">
        <f>IFERROR(IF($A27="IDEAv2",VLOOKUP($C27,IDEAv2原単位!$A$3:$F$4021,2,FALSE),IF($A27="その他",VLOOKUP($C27,その他原単位!$A$4:$D$13,2,FALSE),VLOOKUP($C27,GLIO!$B$5:$E$407,2,FALSE))),"")</f>
        <v>自社購入電力</v>
      </c>
      <c r="E27" s="395" t="str">
        <f>IF(C27="","",IFERROR(IF($A27=Color!$AM$3,VLOOKUP($C27,IDEAv2原単位!$A$3:$F$4021,5,FALSE),"千円"),""))</f>
        <v>千円</v>
      </c>
      <c r="F27" s="341"/>
    </row>
    <row r="28" spans="1:6" ht="14.4" thickBot="1">
      <c r="A28" s="678"/>
      <c r="B28" s="682"/>
      <c r="C28" s="742"/>
      <c r="D28" s="679" t="str">
        <f>IFERROR(IF($A28="IDEAv2",VLOOKUP($C28,IDEAv2原単位!$A$3:$F$4021,2,FALSE),IF($A28="その他",VLOOKUP($C28,その他原単位!$A$4:$D$13,2,FALSE),VLOOKUP($C28,GLIO!$B$5:$E$407,2,FALSE))),"")</f>
        <v/>
      </c>
      <c r="E28" s="395" t="str">
        <f>IF(C28="","",IFERROR(IF($A28=Color!$AM$3,VLOOKUP($C28,IDEAv2原単位!$A$3:$F$4021,5,FALSE),"千円"),""))</f>
        <v/>
      </c>
      <c r="F28" s="341"/>
    </row>
    <row r="29" spans="1:6" ht="14.4" thickBot="1">
      <c r="A29" s="678"/>
      <c r="B29" s="682" t="s">
        <v>7910</v>
      </c>
      <c r="C29" s="742"/>
      <c r="D29" s="679" t="str">
        <f>IFERROR(IF($A29="IDEAv2",VLOOKUP($C29,IDEAv2原単位!$A$3:$F$4021,2,FALSE),IF($A29="その他",VLOOKUP($C29,その他原単位!$A$4:$D$13,2,FALSE),VLOOKUP($C29,GLIO!$B$5:$E$407,2,FALSE))),"")</f>
        <v/>
      </c>
      <c r="E29" s="395" t="str">
        <f>IF(C29="","",IFERROR(IF($A29=Color!$AM$3,VLOOKUP($C29,IDEAv2原単位!$A$3:$F$4021,5,FALSE),"千円"),""))</f>
        <v/>
      </c>
      <c r="F29" s="341"/>
    </row>
    <row r="30" spans="1:6" ht="14.4" thickBot="1">
      <c r="A30" s="678"/>
      <c r="B30" s="682" t="s">
        <v>7835</v>
      </c>
      <c r="C30" s="742"/>
      <c r="D30" s="679" t="str">
        <f>IFERROR(IF($A30="IDEAv2",VLOOKUP($C30,IDEAv2原単位!$A$3:$F$4021,2,FALSE),IF($A30="その他",VLOOKUP($C30,その他原単位!$A$4:$D$13,2,FALSE),VLOOKUP($C30,GLIO!$B$5:$E$407,2,FALSE))),"")</f>
        <v/>
      </c>
      <c r="E30" s="395" t="str">
        <f>IF(C30="","",IFERROR(IF($A30=Color!$AM$3,VLOOKUP($C30,IDEAv2原単位!$A$3:$F$4021,5,FALSE),"千円"),""))</f>
        <v/>
      </c>
      <c r="F30" s="341"/>
    </row>
    <row r="31" spans="1:6" ht="14.4" thickBot="1">
      <c r="A31" s="678"/>
      <c r="B31" s="682" t="s">
        <v>7835</v>
      </c>
      <c r="C31" s="742"/>
      <c r="D31" s="679" t="str">
        <f>IFERROR(IF($A31="IDEAv2",VLOOKUP($C31,IDEAv2原単位!$A$3:$F$4021,2,FALSE),IF($A31="その他",VLOOKUP($C31,その他原単位!$A$4:$D$13,2,FALSE),VLOOKUP($C31,GLIO!$B$5:$E$407,2,FALSE))),"")</f>
        <v/>
      </c>
      <c r="E31" s="395" t="str">
        <f>IF(C31="","",IFERROR(IF($A31=Color!$AM$3,VLOOKUP($C31,IDEAv2原単位!$A$3:$F$4021,5,FALSE),"千円"),""))</f>
        <v/>
      </c>
      <c r="F31" s="341"/>
    </row>
    <row r="32" spans="1:6" ht="14.4" thickBot="1">
      <c r="A32" s="678"/>
      <c r="B32" s="682" t="s">
        <v>7835</v>
      </c>
      <c r="C32" s="742"/>
      <c r="D32" s="679" t="str">
        <f>IFERROR(IF($A32="IDEAv2",VLOOKUP($C32,IDEAv2原単位!$A$3:$F$4021,2,FALSE),IF($A32="その他",VLOOKUP($C32,その他原単位!$A$4:$D$13,2,FALSE),VLOOKUP($C32,GLIO!$B$5:$E$407,2,FALSE))),"")</f>
        <v/>
      </c>
      <c r="E32" s="395" t="str">
        <f>IF(C32="","",IFERROR(IF($A32=Color!$AM$3,VLOOKUP($C32,IDEAv2原単位!$A$3:$F$4021,5,FALSE),"千円"),""))</f>
        <v/>
      </c>
      <c r="F32" s="341"/>
    </row>
    <row r="33" spans="1:6" ht="14.4" thickBot="1">
      <c r="A33" s="678"/>
      <c r="B33" s="682" t="s">
        <v>7835</v>
      </c>
      <c r="C33" s="742"/>
      <c r="D33" s="679" t="str">
        <f>IFERROR(IF($A33="IDEAv2",VLOOKUP($C33,IDEAv2原単位!$A$3:$F$4021,2,FALSE),IF($A33="その他",VLOOKUP($C33,その他原単位!$A$4:$D$13,2,FALSE),VLOOKUP($C33,GLIO!$B$5:$E$407,2,FALSE))),"")</f>
        <v/>
      </c>
      <c r="E33" s="395" t="str">
        <f>IF(C33="","",IFERROR(IF($A33=Color!$AM$3,VLOOKUP($C33,IDEAv2原単位!$A$3:$F$4021,5,FALSE),"千円"),""))</f>
        <v/>
      </c>
      <c r="F33" s="341"/>
    </row>
    <row r="34" spans="1:6" ht="14.4" thickBot="1">
      <c r="A34" s="678"/>
      <c r="B34" s="682" t="s">
        <v>7835</v>
      </c>
      <c r="C34" s="742"/>
      <c r="D34" s="679" t="str">
        <f>IFERROR(IF($A34="IDEAv2",VLOOKUP($C34,IDEAv2原単位!$A$3:$F$4021,2,FALSE),IF($A34="その他",VLOOKUP($C34,その他原単位!$A$4:$D$13,2,FALSE),VLOOKUP($C34,GLIO!$B$5:$E$407,2,FALSE))),"")</f>
        <v/>
      </c>
      <c r="E34" s="395" t="str">
        <f>IF(C34="","",IFERROR(IF($A34=Color!$AM$3,VLOOKUP($C34,IDEAv2原単位!$A$3:$F$4021,5,FALSE),"千円"),""))</f>
        <v/>
      </c>
      <c r="F34" s="341"/>
    </row>
    <row r="35" spans="1:6" ht="14.4" thickBot="1">
      <c r="A35" s="678"/>
      <c r="B35" s="682" t="s">
        <v>7835</v>
      </c>
      <c r="C35" s="743"/>
      <c r="D35" s="679" t="str">
        <f>IFERROR(IF($A35="IDEAv2",VLOOKUP($C35,IDEAv2原単位!$A$3:$F$4021,2,FALSE),IF($A35="その他",VLOOKUP($C35,その他原単位!$A$4:$D$13,2,FALSE),VLOOKUP($C35,GLIO!$B$5:$E$407,2,FALSE))),"")</f>
        <v/>
      </c>
      <c r="E35" s="395" t="str">
        <f>IF(C35="","",IFERROR(IF($A35=Color!$AM$3,VLOOKUP($C35,IDEAv2原単位!$A$3:$F$4021,5,FALSE),"千円"),""))</f>
        <v/>
      </c>
      <c r="F35" s="341"/>
    </row>
    <row r="36" spans="1:6" ht="14.4" thickBot="1">
      <c r="A36" s="678"/>
      <c r="B36" s="682" t="s">
        <v>7835</v>
      </c>
      <c r="C36" s="742"/>
      <c r="D36" s="679" t="str">
        <f>IFERROR(IF($A36="IDEAv2",VLOOKUP($C36,IDEAv2原単位!$A$3:$F$4021,2,FALSE),IF($A36="その他",VLOOKUP($C36,その他原単位!$A$4:$D$13,2,FALSE),VLOOKUP($C36,GLIO!$B$5:$E$407,2,FALSE))),"")</f>
        <v/>
      </c>
      <c r="E36" s="395" t="str">
        <f>IF(C36="","",IFERROR(IF($A36=Color!$AM$3,VLOOKUP($C36,IDEAv2原単位!$A$3:$F$4021,5,FALSE),"千円"),""))</f>
        <v/>
      </c>
      <c r="F36" s="341"/>
    </row>
    <row r="37" spans="1:6" ht="14.4" thickBot="1">
      <c r="A37" s="678"/>
      <c r="B37" s="682" t="s">
        <v>7835</v>
      </c>
      <c r="C37" s="742"/>
      <c r="D37" s="679" t="str">
        <f>IFERROR(IF($A37="IDEAv2",VLOOKUP($C37,IDEAv2原単位!$A$3:$F$4021,2,FALSE),IF($A37="その他",VLOOKUP($C37,その他原単位!$A$4:$D$13,2,FALSE),VLOOKUP($C37,GLIO!$B$5:$E$407,2,FALSE))),"")</f>
        <v/>
      </c>
      <c r="E37" s="395" t="str">
        <f>IF(C37="","",IFERROR(IF($A37=Color!$AM$3,VLOOKUP($C37,IDEAv2原単位!$A$3:$F$4021,5,FALSE),"千円"),""))</f>
        <v/>
      </c>
      <c r="F37" s="341"/>
    </row>
    <row r="38" spans="1:6" ht="14.4" thickBot="1">
      <c r="A38" s="678"/>
      <c r="B38" s="682" t="s">
        <v>7835</v>
      </c>
      <c r="C38" s="742"/>
      <c r="D38" s="679" t="str">
        <f>IFERROR(IF($A38="IDEAv2",VLOOKUP($C38,IDEAv2原単位!$A$3:$F$4021,2,FALSE),IF($A38="その他",VLOOKUP($C38,その他原単位!$A$4:$D$13,2,FALSE),VLOOKUP($C38,GLIO!$B$5:$E$407,2,FALSE))),"")</f>
        <v/>
      </c>
      <c r="E38" s="395" t="str">
        <f>IF(C38="","",IFERROR(IF($A38=Color!$AM$3,VLOOKUP($C38,IDEAv2原単位!$A$3:$F$4021,5,FALSE),"千円"),""))</f>
        <v/>
      </c>
      <c r="F38" s="341"/>
    </row>
    <row r="39" spans="1:6" ht="14.4" thickBot="1">
      <c r="A39" s="678"/>
      <c r="B39" s="682" t="s">
        <v>7835</v>
      </c>
      <c r="C39" s="743"/>
      <c r="D39" s="679" t="str">
        <f>IFERROR(IF($A39="IDEAv2",VLOOKUP($C39,IDEAv2原単位!$A$3:$F$4021,2,FALSE),IF($A39="その他",VLOOKUP($C39,その他原単位!$A$4:$D$13,2,FALSE),VLOOKUP($C39,GLIO!$B$5:$E$407,2,FALSE))),"")</f>
        <v/>
      </c>
      <c r="E39" s="395" t="str">
        <f>IF(C39="","",IFERROR(IF($A39=Color!$AM$3,VLOOKUP($C39,IDEAv2原単位!$A$3:$F$4021,5,FALSE),"千円"),""))</f>
        <v/>
      </c>
      <c r="F39" s="341"/>
    </row>
    <row r="40" spans="1:6" ht="14.4" thickBot="1">
      <c r="A40" s="678"/>
      <c r="B40" s="682" t="s">
        <v>7835</v>
      </c>
      <c r="C40" s="742"/>
      <c r="D40" s="679" t="str">
        <f>IFERROR(IF($A40="IDEAv2",VLOOKUP($C40,IDEAv2原単位!$A$3:$F$4021,2,FALSE),IF($A40="その他",VLOOKUP($C40,その他原単位!$A$4:$D$13,2,FALSE),VLOOKUP($C40,GLIO!$B$5:$E$407,2,FALSE))),"")</f>
        <v/>
      </c>
      <c r="E40" s="395" t="str">
        <f>IF(C40="","",IFERROR(IF($A40=Color!$AM$3,VLOOKUP($C40,IDEAv2原単位!$A$3:$F$4021,5,FALSE),"千円"),""))</f>
        <v/>
      </c>
      <c r="F40" s="341"/>
    </row>
    <row r="41" spans="1:6" ht="14.4" thickBot="1">
      <c r="A41" s="678"/>
      <c r="B41" s="682" t="s">
        <v>7835</v>
      </c>
      <c r="C41" s="742"/>
      <c r="D41" s="679" t="str">
        <f>IFERROR(IF($A41="IDEAv2",VLOOKUP($C41,IDEAv2原単位!$A$3:$F$4021,2,FALSE),IF($A41="その他",VLOOKUP($C41,その他原単位!$A$4:$D$13,2,FALSE),VLOOKUP($C41,GLIO!$B$5:$E$407,2,FALSE))),"")</f>
        <v/>
      </c>
      <c r="E41" s="395" t="str">
        <f>IF(C41="","",IFERROR(IF($A41=Color!$AM$3,VLOOKUP($C41,IDEAv2原単位!$A$3:$F$4021,5,FALSE),"千円"),""))</f>
        <v/>
      </c>
      <c r="F41" s="341"/>
    </row>
    <row r="42" spans="1:6" ht="14.4" thickBot="1">
      <c r="A42" s="678"/>
      <c r="B42" s="682" t="s">
        <v>7835</v>
      </c>
      <c r="C42" s="742"/>
      <c r="D42" s="679" t="str">
        <f>IFERROR(IF($A42="IDEAv2",VLOOKUP($C42,IDEAv2原単位!$A$3:$F$4021,2,FALSE),IF($A42="その他",VLOOKUP($C42,その他原単位!$A$4:$D$13,2,FALSE),VLOOKUP($C42,GLIO!$B$5:$E$407,2,FALSE))),"")</f>
        <v/>
      </c>
      <c r="E42" s="395" t="str">
        <f>IF(C42="","",IFERROR(IF($A42=Color!$AM$3,VLOOKUP($C42,IDEAv2原単位!$A$3:$F$4021,5,FALSE),"千円"),""))</f>
        <v/>
      </c>
      <c r="F42" s="341"/>
    </row>
    <row r="43" spans="1:6" ht="14.4" thickBot="1">
      <c r="A43" s="678"/>
      <c r="B43" s="682" t="s">
        <v>7835</v>
      </c>
      <c r="C43" s="742"/>
      <c r="D43" s="679" t="str">
        <f>IFERROR(IF($A43="IDEAv2",VLOOKUP($C43,IDEAv2原単位!$A$3:$F$4021,2,FALSE),IF($A43="その他",VLOOKUP($C43,その他原単位!$A$4:$D$13,2,FALSE),VLOOKUP($C43,GLIO!$B$5:$E$407,2,FALSE))),"")</f>
        <v/>
      </c>
      <c r="E43" s="395" t="str">
        <f>IF(C43="","",IFERROR(IF($A43=Color!$AM$3,VLOOKUP($C43,IDEAv2原単位!$A$3:$F$4021,5,FALSE),"千円"),""))</f>
        <v/>
      </c>
      <c r="F43" s="341"/>
    </row>
    <row r="44" spans="1:6" ht="14.4" thickBot="1">
      <c r="A44" s="678"/>
      <c r="B44" s="682" t="s">
        <v>7835</v>
      </c>
      <c r="C44" s="742"/>
      <c r="D44" s="679" t="str">
        <f>IFERROR(IF($A44="IDEAv2",VLOOKUP($C44,IDEAv2原単位!$A$3:$F$4021,2,FALSE),IF($A44="その他",VLOOKUP($C44,その他原単位!$A$4:$D$13,2,FALSE),VLOOKUP($C44,GLIO!$B$5:$E$407,2,FALSE))),"")</f>
        <v/>
      </c>
      <c r="E44" s="395" t="str">
        <f>IF(C44="","",IFERROR(IF($A44=Color!$AM$3,VLOOKUP($C44,IDEAv2原単位!$A$3:$F$4021,5,FALSE),"千円"),""))</f>
        <v/>
      </c>
      <c r="F44" s="341"/>
    </row>
    <row r="45" spans="1:6" ht="14.4" thickBot="1">
      <c r="A45" s="678"/>
      <c r="B45" s="682" t="s">
        <v>7835</v>
      </c>
      <c r="C45" s="742"/>
      <c r="D45" s="679" t="str">
        <f>IFERROR(IF($A45="IDEAv2",VLOOKUP($C45,IDEAv2原単位!$A$3:$F$4021,2,FALSE),IF($A45="その他",VLOOKUP($C45,その他原単位!$A$4:$D$13,2,FALSE),VLOOKUP($C45,GLIO!$B$5:$E$407,2,FALSE))),"")</f>
        <v/>
      </c>
      <c r="E45" s="395" t="str">
        <f>IF(C45="","",IFERROR(IF($A45=Color!$AM$3,VLOOKUP($C45,IDEAv2原単位!$A$3:$F$4021,5,FALSE),"千円"),""))</f>
        <v/>
      </c>
      <c r="F45" s="341"/>
    </row>
    <row r="46" spans="1:6" ht="14.4" thickBot="1">
      <c r="A46" s="678"/>
      <c r="B46" s="682" t="s">
        <v>7835</v>
      </c>
      <c r="C46" s="742"/>
      <c r="D46" s="679" t="str">
        <f>IFERROR(IF($A46="IDEAv2",VLOOKUP($C46,IDEAv2原単位!$A$3:$F$4021,2,FALSE),IF($A46="その他",VLOOKUP($C46,その他原単位!$A$4:$D$13,2,FALSE),VLOOKUP($C46,GLIO!$B$5:$E$407,2,FALSE))),"")</f>
        <v/>
      </c>
      <c r="E46" s="395" t="str">
        <f>IF(C46="","",IFERROR(IF($A46=Color!$AM$3,VLOOKUP($C46,IDEAv2原単位!$A$3:$F$4021,5,FALSE),"千円"),""))</f>
        <v/>
      </c>
      <c r="F46" s="341"/>
    </row>
    <row r="47" spans="1:6" ht="14.4" thickBot="1">
      <c r="A47" s="678"/>
      <c r="B47" s="682" t="s">
        <v>7835</v>
      </c>
      <c r="C47" s="742"/>
      <c r="D47" s="679" t="str">
        <f>IFERROR(IF($A47="IDEAv2",VLOOKUP($C47,IDEAv2原単位!$A$3:$F$4021,2,FALSE),IF($A47="その他",VLOOKUP($C47,その他原単位!$A$4:$D$13,2,FALSE),VLOOKUP($C47,GLIO!$B$5:$E$407,2,FALSE))),"")</f>
        <v/>
      </c>
      <c r="E47" s="395" t="str">
        <f>IF(C47="","",IFERROR(IF($A47=Color!$AM$3,VLOOKUP($C47,IDEAv2原単位!$A$3:$F$4021,5,FALSE),"千円"),""))</f>
        <v/>
      </c>
      <c r="F47" s="341"/>
    </row>
    <row r="48" spans="1:6" ht="14.4" thickBot="1">
      <c r="A48" s="678"/>
      <c r="B48" s="682" t="s">
        <v>7835</v>
      </c>
      <c r="C48" s="742"/>
      <c r="D48" s="679" t="str">
        <f>IFERROR(IF($A48="IDEAv2",VLOOKUP($C48,IDEAv2原単位!$A$3:$F$4021,2,FALSE),IF($A48="その他",VLOOKUP($C48,その他原単位!$A$4:$D$13,2,FALSE),VLOOKUP($C48,GLIO!$B$5:$E$407,2,FALSE))),"")</f>
        <v/>
      </c>
      <c r="E48" s="395" t="str">
        <f>IF(C48="","",IFERROR(IF($A48=Color!$AM$3,VLOOKUP($C48,IDEAv2原単位!$A$3:$F$4021,5,FALSE),"千円"),""))</f>
        <v/>
      </c>
      <c r="F48" s="341"/>
    </row>
    <row r="49" spans="1:6" ht="14.4" thickBot="1">
      <c r="A49" s="678"/>
      <c r="B49" s="682" t="s">
        <v>7835</v>
      </c>
      <c r="C49" s="742"/>
      <c r="D49" s="679" t="str">
        <f>IFERROR(IF($A49="IDEAv2",VLOOKUP($C49,IDEAv2原単位!$A$3:$F$4021,2,FALSE),IF($A49="その他",VLOOKUP($C49,その他原単位!$A$4:$D$13,2,FALSE),VLOOKUP($C49,GLIO!$B$5:$E$407,2,FALSE))),"")</f>
        <v/>
      </c>
      <c r="E49" s="415"/>
      <c r="F49" s="341"/>
    </row>
    <row r="50" spans="1:6" ht="14.4" thickBot="1">
      <c r="A50" s="678"/>
      <c r="B50" s="682" t="s">
        <v>7835</v>
      </c>
      <c r="C50" s="742"/>
      <c r="D50" s="679" t="str">
        <f>IFERROR(IF($A50="IDEAv2",VLOOKUP($C50,IDEAv2原単位!$A$3:$F$4021,2,FALSE),IF($A50="その他",VLOOKUP($C50,その他原単位!$A$4:$D$13,2,FALSE),VLOOKUP($C50,GLIO!$B$5:$E$407,2,FALSE))),"")</f>
        <v/>
      </c>
      <c r="E50" s="395" t="str">
        <f>IF(C50="","",IFERROR(IF($A50=Color!$AM$3,VLOOKUP($C50,IDEAv2原単位!$A$3:$F$4021,5,FALSE),"千円"),""))</f>
        <v/>
      </c>
      <c r="F50" s="341"/>
    </row>
    <row r="51" spans="1:6" ht="14.4" thickBot="1">
      <c r="A51" s="678"/>
      <c r="B51" s="682" t="s">
        <v>7835</v>
      </c>
      <c r="C51" s="742"/>
      <c r="D51" s="679" t="str">
        <f>IFERROR(IF($A51="IDEAv2",VLOOKUP($C51,IDEAv2原単位!$A$3:$F$4021,2,FALSE),IF($A51="その他",VLOOKUP($C51,その他原単位!$A$4:$D$13,2,FALSE),VLOOKUP($C51,GLIO!$B$5:$E$407,2,FALSE))),"")</f>
        <v/>
      </c>
      <c r="E51" s="395" t="str">
        <f>IF(C51="","",IFERROR(IF($A51=Color!$AM$3,VLOOKUP($C51,IDEAv2原単位!$A$3:$F$4021,5,FALSE),"千円"),""))</f>
        <v/>
      </c>
      <c r="F51" s="341"/>
    </row>
    <row r="52" spans="1:6" ht="14.4" thickBot="1">
      <c r="A52" s="678"/>
      <c r="B52" s="682" t="s">
        <v>7835</v>
      </c>
      <c r="C52" s="742"/>
      <c r="D52" s="679" t="str">
        <f>IFERROR(IF($A52="IDEAv2",VLOOKUP($C52,IDEAv2原単位!$A$3:$F$4021,2,FALSE),IF($A52="その他",VLOOKUP($C52,その他原単位!$A$4:$D$13,2,FALSE),VLOOKUP($C52,GLIO!$B$5:$E$407,2,FALSE))),"")</f>
        <v/>
      </c>
      <c r="E52" s="395" t="str">
        <f>IF(C52="","",IFERROR(IF($A52=Color!$AM$3,VLOOKUP($C52,IDEAv2原単位!$A$3:$F$4021,5,FALSE),"千円"),""))</f>
        <v/>
      </c>
      <c r="F52" s="341"/>
    </row>
  </sheetData>
  <sheetProtection sheet="1" objects="1" scenarios="1"/>
  <mergeCells count="1">
    <mergeCell ref="A1:B1"/>
  </mergeCells>
  <phoneticPr fontId="33"/>
  <conditionalFormatting sqref="F11:F13">
    <cfRule type="cellIs" dxfId="41" priority="2" operator="equal">
      <formula>0</formula>
    </cfRule>
  </conditionalFormatting>
  <conditionalFormatting sqref="F11:F13">
    <cfRule type="cellIs" dxfId="40" priority="1" operator="equal">
      <formula>0</formula>
    </cfRule>
  </conditionalFormatting>
  <pageMargins left="0.7" right="0.7" top="0.75" bottom="0.75" header="0.3" footer="0.3"/>
  <pageSetup paperSize="9" scale="92" orientation="portrait" verticalDpi="90" r:id="rId1"/>
  <rowBreaks count="1" manualBreakCount="1">
    <brk id="52" max="3" man="1"/>
  </rowBreaks>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Color!$AM$3:$AM$5</xm:f>
          </x14:formula1>
          <xm:sqref>A27:A52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topLeftCell="A76" workbookViewId="0">
      <selection activeCell="E41" sqref="E41"/>
    </sheetView>
  </sheetViews>
  <sheetFormatPr defaultColWidth="9.09765625" defaultRowHeight="13.8"/>
  <cols>
    <col min="1" max="1" width="9" style="801" customWidth="1"/>
    <col min="2" max="2" width="14.09765625" style="59" bestFit="1" customWidth="1"/>
    <col min="3" max="3" width="13.69921875" style="59" bestFit="1" customWidth="1"/>
    <col min="4" max="4" width="7.09765625" style="59" bestFit="1" customWidth="1"/>
    <col min="5" max="5" width="12.8984375" style="224" bestFit="1" customWidth="1"/>
    <col min="6" max="6" width="12.8984375" bestFit="1" customWidth="1"/>
    <col min="7" max="7" width="9.09765625" style="801"/>
  </cols>
  <sheetData>
    <row r="1" spans="2:6">
      <c r="B1" s="817"/>
      <c r="C1" s="818" t="s">
        <v>7936</v>
      </c>
      <c r="D1" s="818" t="s">
        <v>7937</v>
      </c>
      <c r="E1" s="819" t="s">
        <v>7938</v>
      </c>
      <c r="F1" s="820" t="s">
        <v>7935</v>
      </c>
    </row>
    <row r="2" spans="2:6">
      <c r="B2" s="814" t="s">
        <v>7074</v>
      </c>
      <c r="C2" s="815">
        <f>'製造(P)'!$B23</f>
        <v>0</v>
      </c>
      <c r="D2" s="815" t="str">
        <f>'製造(P)'!AD$23</f>
        <v/>
      </c>
      <c r="E2" s="815">
        <f>'製造(P)'!AE$23</f>
        <v>0</v>
      </c>
      <c r="F2" s="820" t="str">
        <f>IF(E2=0,"",COUNTIF($E$2:$E2,"Yes"))</f>
        <v/>
      </c>
    </row>
    <row r="3" spans="2:6">
      <c r="B3" s="814" t="s">
        <v>7074</v>
      </c>
      <c r="C3" s="815">
        <f>'製造(P)'!$B24</f>
        <v>0</v>
      </c>
      <c r="D3" s="815" t="str">
        <f>'製造(P)'!AD$24</f>
        <v/>
      </c>
      <c r="E3" s="815">
        <f>'製造(P)'!AE$24</f>
        <v>0</v>
      </c>
      <c r="F3" s="820" t="str">
        <f>IF(E3=0,"",COUNTIF($E$2:$E3,"Yes"))</f>
        <v/>
      </c>
    </row>
    <row r="4" spans="2:6">
      <c r="B4" s="814" t="s">
        <v>7074</v>
      </c>
      <c r="C4" s="815">
        <f>'製造(P)'!$B25</f>
        <v>0</v>
      </c>
      <c r="D4" s="815" t="str">
        <f>'製造(P)'!AD$25</f>
        <v/>
      </c>
      <c r="E4" s="815">
        <f>'製造(P)'!AE$25</f>
        <v>0</v>
      </c>
      <c r="F4" s="820" t="str">
        <f>IF(E4=0,"",COUNTIF($E$2:$E4,"Yes"))</f>
        <v/>
      </c>
    </row>
    <row r="5" spans="2:6">
      <c r="B5" s="814" t="s">
        <v>7074</v>
      </c>
      <c r="C5" s="815">
        <f>'製造(P)'!$B26</f>
        <v>0</v>
      </c>
      <c r="D5" s="815" t="str">
        <f>'製造(P)'!AD$26</f>
        <v/>
      </c>
      <c r="E5" s="815">
        <f>'製造(P)'!AE$26</f>
        <v>0</v>
      </c>
      <c r="F5" s="820" t="str">
        <f>IF(E5=0,"",COUNTIF($E$2:$E5,"Yes"))</f>
        <v/>
      </c>
    </row>
    <row r="6" spans="2:6">
      <c r="B6" s="814" t="s">
        <v>7074</v>
      </c>
      <c r="C6" s="815">
        <f>'製造(P)'!$B27</f>
        <v>0</v>
      </c>
      <c r="D6" s="815" t="str">
        <f>'製造(P)'!AD27</f>
        <v/>
      </c>
      <c r="E6" s="815">
        <f>'製造(P)'!AE27</f>
        <v>0</v>
      </c>
      <c r="F6" s="820" t="str">
        <f>IF(E6=0,"",COUNTIF($E$2:$E6,"Yes"))</f>
        <v/>
      </c>
    </row>
    <row r="7" spans="2:6">
      <c r="B7" s="814" t="s">
        <v>7074</v>
      </c>
      <c r="C7" s="815">
        <f>'製造(P)'!$B28</f>
        <v>0</v>
      </c>
      <c r="D7" s="815" t="str">
        <f>'製造(P)'!AD28</f>
        <v/>
      </c>
      <c r="E7" s="815">
        <f>'製造(P)'!AE28</f>
        <v>0</v>
      </c>
      <c r="F7" s="820" t="str">
        <f>IF(E7=0,"",COUNTIF($E$2:$E7,"Yes"))</f>
        <v/>
      </c>
    </row>
    <row r="8" spans="2:6">
      <c r="B8" s="814" t="s">
        <v>7074</v>
      </c>
      <c r="C8" s="815">
        <f>'製造(P)'!$B29</f>
        <v>0</v>
      </c>
      <c r="D8" s="815" t="str">
        <f>'製造(P)'!AD29</f>
        <v/>
      </c>
      <c r="E8" s="815">
        <f>'製造(P)'!AE29</f>
        <v>0</v>
      </c>
      <c r="F8" s="820" t="str">
        <f>IF(E8=0,"",COUNTIF($E$2:$E8,"Yes"))</f>
        <v/>
      </c>
    </row>
    <row r="9" spans="2:6">
      <c r="B9" s="814" t="s">
        <v>7074</v>
      </c>
      <c r="C9" s="815">
        <f>'製造(P)'!$B30</f>
        <v>0</v>
      </c>
      <c r="D9" s="815" t="str">
        <f>'製造(P)'!AD30</f>
        <v/>
      </c>
      <c r="E9" s="815">
        <f>'製造(P)'!AE30</f>
        <v>0</v>
      </c>
      <c r="F9" s="820" t="str">
        <f>IF(E9=0,"",COUNTIF($E$2:$E9,"Yes"))</f>
        <v/>
      </c>
    </row>
    <row r="10" spans="2:6">
      <c r="B10" s="814" t="s">
        <v>7074</v>
      </c>
      <c r="C10" s="815">
        <f>'製造(P)'!$B31</f>
        <v>0</v>
      </c>
      <c r="D10" s="815" t="str">
        <f>'製造(P)'!AD31</f>
        <v/>
      </c>
      <c r="E10" s="815">
        <f>'製造(P)'!AE31</f>
        <v>0</v>
      </c>
      <c r="F10" s="820" t="str">
        <f>IF(E10=0,"",COUNTIF($E$2:$E10,"Yes"))</f>
        <v/>
      </c>
    </row>
    <row r="11" spans="2:6">
      <c r="B11" s="814" t="s">
        <v>7074</v>
      </c>
      <c r="C11" s="815">
        <f>'製造(P)'!$B32</f>
        <v>0</v>
      </c>
      <c r="D11" s="815" t="str">
        <f>'製造(P)'!AD32</f>
        <v/>
      </c>
      <c r="E11" s="815">
        <f>'製造(P)'!AE32</f>
        <v>0</v>
      </c>
      <c r="F11" s="820" t="str">
        <f>IF(E11=0,"",COUNTIF($E$2:$E11,"Yes"))</f>
        <v/>
      </c>
    </row>
    <row r="12" spans="2:6">
      <c r="B12" s="814" t="s">
        <v>7074</v>
      </c>
      <c r="C12" s="815" t="str">
        <f>'製造(P)'!$B39</f>
        <v>系統電力</v>
      </c>
      <c r="D12" s="815" t="str">
        <f>'製造(P)'!AD39</f>
        <v/>
      </c>
      <c r="E12" s="815">
        <f>'製造(P)'!AE39</f>
        <v>0</v>
      </c>
      <c r="F12" s="820" t="str">
        <f>IF(E12=0,"",COUNTIF($E$2:$E12,"Yes"))</f>
        <v/>
      </c>
    </row>
    <row r="13" spans="2:6">
      <c r="B13" s="814" t="s">
        <v>7074</v>
      </c>
      <c r="C13" s="815" t="str">
        <f>'製造(P)'!$B40</f>
        <v>都市ガス</v>
      </c>
      <c r="D13" s="815" t="str">
        <f>'製造(P)'!AD40</f>
        <v/>
      </c>
      <c r="E13" s="815">
        <f>'製造(P)'!AE40</f>
        <v>0</v>
      </c>
      <c r="F13" s="820" t="str">
        <f>IF(E13=0,"",COUNTIF($E$2:$E13,"Yes"))</f>
        <v/>
      </c>
    </row>
    <row r="14" spans="2:6">
      <c r="B14" s="814" t="s">
        <v>7074</v>
      </c>
      <c r="C14" s="815" t="str">
        <f>'製造(P)'!$B41</f>
        <v>一般炭</v>
      </c>
      <c r="D14" s="815" t="str">
        <f>'製造(P)'!AD41</f>
        <v/>
      </c>
      <c r="E14" s="815">
        <f>'製造(P)'!AE41</f>
        <v>0</v>
      </c>
      <c r="F14" s="820" t="str">
        <f>IF(E14=0,"",COUNTIF($E$2:$E14,"Yes"))</f>
        <v/>
      </c>
    </row>
    <row r="15" spans="2:6">
      <c r="B15" s="814" t="s">
        <v>7074</v>
      </c>
      <c r="C15" s="815" t="str">
        <f>'製造(P)'!$B42</f>
        <v>LPG</v>
      </c>
      <c r="D15" s="815" t="str">
        <f>'製造(P)'!AD42</f>
        <v/>
      </c>
      <c r="E15" s="815">
        <f>'製造(P)'!AE42</f>
        <v>0</v>
      </c>
      <c r="F15" s="820" t="str">
        <f>IF(E15=0,"",COUNTIF($E$2:$E15,"Yes"))</f>
        <v/>
      </c>
    </row>
    <row r="16" spans="2:6">
      <c r="B16" s="814" t="s">
        <v>7074</v>
      </c>
      <c r="C16" s="815" t="str">
        <f>'製造(P)'!$B43</f>
        <v>LNG</v>
      </c>
      <c r="D16" s="815" t="str">
        <f>'製造(P)'!AD43</f>
        <v/>
      </c>
      <c r="E16" s="815">
        <f>'製造(P)'!AE43</f>
        <v>0</v>
      </c>
      <c r="F16" s="820" t="str">
        <f>IF(E16=0,"",COUNTIF($E$2:$E16,"Yes"))</f>
        <v/>
      </c>
    </row>
    <row r="17" spans="2:6">
      <c r="B17" s="814" t="s">
        <v>7074</v>
      </c>
      <c r="C17" s="815" t="str">
        <f>'製造(P)'!$B44</f>
        <v>灯油</v>
      </c>
      <c r="D17" s="815" t="str">
        <f>'製造(P)'!AD44</f>
        <v/>
      </c>
      <c r="E17" s="815">
        <f>'製造(P)'!AE44</f>
        <v>0</v>
      </c>
      <c r="F17" s="820" t="str">
        <f>IF(E17=0,"",COUNTIF($E$2:$E17,"Yes"))</f>
        <v/>
      </c>
    </row>
    <row r="18" spans="2:6">
      <c r="B18" s="814" t="s">
        <v>7074</v>
      </c>
      <c r="C18" s="815" t="str">
        <f>'製造(P)'!$B45</f>
        <v>A重油</v>
      </c>
      <c r="D18" s="815" t="str">
        <f>'製造(P)'!AD45</f>
        <v/>
      </c>
      <c r="E18" s="815">
        <f>'製造(P)'!AE45</f>
        <v>0</v>
      </c>
      <c r="F18" s="820" t="str">
        <f>IF(E18=0,"",COUNTIF($E$2:$E18,"Yes"))</f>
        <v/>
      </c>
    </row>
    <row r="19" spans="2:6">
      <c r="B19" s="814" t="s">
        <v>7074</v>
      </c>
      <c r="C19" s="815" t="str">
        <f>'製造(P)'!$B46</f>
        <v>C重油</v>
      </c>
      <c r="D19" s="815" t="str">
        <f>'製造(P)'!AD46</f>
        <v/>
      </c>
      <c r="E19" s="815">
        <f>'製造(P)'!AE46</f>
        <v>0</v>
      </c>
      <c r="F19" s="820" t="str">
        <f>IF(E19=0,"",COUNTIF($E$2:$E19,"Yes"))</f>
        <v/>
      </c>
    </row>
    <row r="20" spans="2:6">
      <c r="B20" s="814" t="s">
        <v>7074</v>
      </c>
      <c r="C20" s="815" t="str">
        <f>'製造(P)'!$B47</f>
        <v>ガソリン</v>
      </c>
      <c r="D20" s="815" t="str">
        <f>'製造(P)'!AD47</f>
        <v/>
      </c>
      <c r="E20" s="815">
        <f>'製造(P)'!AE47</f>
        <v>0</v>
      </c>
      <c r="F20" s="820" t="str">
        <f>IF(E20=0,"",COUNTIF($E$2:$E20,"Yes"))</f>
        <v/>
      </c>
    </row>
    <row r="21" spans="2:6">
      <c r="B21" s="814" t="s">
        <v>7074</v>
      </c>
      <c r="C21" s="815" t="str">
        <f>'製造(P)'!$B48</f>
        <v>軽油</v>
      </c>
      <c r="D21" s="815" t="str">
        <f>'製造(P)'!AD48</f>
        <v/>
      </c>
      <c r="E21" s="815">
        <f>'製造(P)'!AE48</f>
        <v>0</v>
      </c>
      <c r="F21" s="820" t="str">
        <f>IF(E21=0,"",COUNTIF($E$2:$E21,"Yes"))</f>
        <v/>
      </c>
    </row>
    <row r="22" spans="2:6">
      <c r="B22" s="814" t="s">
        <v>7074</v>
      </c>
      <c r="C22" s="815" t="str">
        <f>'製造(P)'!$B49</f>
        <v>工業用水</v>
      </c>
      <c r="D22" s="815" t="str">
        <f>'製造(P)'!AD49</f>
        <v/>
      </c>
      <c r="E22" s="815">
        <f>'製造(P)'!AE49</f>
        <v>0</v>
      </c>
      <c r="F22" s="820" t="str">
        <f>IF(E22=0,"",COUNTIF($E$2:$E22,"Yes"))</f>
        <v/>
      </c>
    </row>
    <row r="23" spans="2:6">
      <c r="B23" s="814" t="s">
        <v>7074</v>
      </c>
      <c r="C23" s="815" t="str">
        <f>'製造(P)'!$D50</f>
        <v>水道水</v>
      </c>
      <c r="D23" s="815">
        <f>'製造(P)'!AD50</f>
        <v>3.8924314492575705E-4</v>
      </c>
      <c r="E23" s="815">
        <f>'製造(P)'!AE50</f>
        <v>0</v>
      </c>
      <c r="F23" s="820" t="str">
        <f>IF(E23=0,"",COUNTIF($E$2:$E23,"Yes"))</f>
        <v/>
      </c>
    </row>
    <row r="24" spans="2:6">
      <c r="B24" s="814" t="s">
        <v>7074</v>
      </c>
      <c r="C24" s="815">
        <f>'製造(P)'!$D51</f>
        <v>0</v>
      </c>
      <c r="D24" s="815" t="str">
        <f>'製造(P)'!AD51</f>
        <v/>
      </c>
      <c r="E24" s="815">
        <f>'製造(P)'!AE51</f>
        <v>0</v>
      </c>
      <c r="F24" s="820" t="str">
        <f>IF(E24=0,"",COUNTIF($E$2:$E24,"Yes"))</f>
        <v/>
      </c>
    </row>
    <row r="25" spans="2:6">
      <c r="B25" s="814" t="s">
        <v>7074</v>
      </c>
      <c r="C25" s="815">
        <f>'製造(P)'!$D52</f>
        <v>0</v>
      </c>
      <c r="D25" s="815" t="str">
        <f>'製造(P)'!AD52</f>
        <v/>
      </c>
      <c r="E25" s="815">
        <f>'製造(P)'!AE52</f>
        <v>0</v>
      </c>
      <c r="F25" s="820" t="str">
        <f>IF(E25=0,"",COUNTIF($E$2:$E25,"Yes"))</f>
        <v/>
      </c>
    </row>
    <row r="26" spans="2:6">
      <c r="B26" s="814" t="s">
        <v>7074</v>
      </c>
      <c r="C26" s="815" t="str">
        <f>'製造(P)'!$B57</f>
        <v>風力発電陸上（1,000kW級）</v>
      </c>
      <c r="D26" s="815">
        <f>'製造(P)'!AD57</f>
        <v>3.7595424228881305E-2</v>
      </c>
      <c r="E26" s="815">
        <f>'製造(P)'!AE57</f>
        <v>0</v>
      </c>
      <c r="F26" s="820" t="str">
        <f>IF(E26=0,"",COUNTIF($E$2:$E26,"Yes"))</f>
        <v/>
      </c>
    </row>
    <row r="27" spans="2:6">
      <c r="B27" s="814" t="s">
        <v>7074</v>
      </c>
      <c r="C27" s="815">
        <f>'製造(P)'!$B58</f>
        <v>0</v>
      </c>
      <c r="D27" s="815" t="str">
        <f>'製造(P)'!AD58</f>
        <v/>
      </c>
      <c r="E27" s="815">
        <f>'製造(P)'!AE58</f>
        <v>0</v>
      </c>
      <c r="F27" s="820" t="str">
        <f>IF(E27=0,"",COUNTIF($E$2:$E27,"Yes"))</f>
        <v/>
      </c>
    </row>
    <row r="28" spans="2:6">
      <c r="B28" s="814" t="s">
        <v>7074</v>
      </c>
      <c r="C28" s="815">
        <f>'製造(P)'!$B59</f>
        <v>0</v>
      </c>
      <c r="D28" s="815" t="str">
        <f>'製造(P)'!AD59</f>
        <v/>
      </c>
      <c r="E28" s="815">
        <f>'製造(P)'!AE59</f>
        <v>0</v>
      </c>
      <c r="F28" s="820" t="str">
        <f>IF(E28=0,"",COUNTIF($E$2:$E28,"Yes"))</f>
        <v/>
      </c>
    </row>
    <row r="29" spans="2:6">
      <c r="B29" s="814" t="s">
        <v>7074</v>
      </c>
      <c r="C29" s="815">
        <f>'製造(P)'!$B66</f>
        <v>0</v>
      </c>
      <c r="D29" s="815" t="str">
        <f>'製造(P)'!AD66</f>
        <v/>
      </c>
      <c r="E29" s="815">
        <f>'製造(P)'!AE66</f>
        <v>0</v>
      </c>
      <c r="F29" s="820" t="str">
        <f>IF(E29=0,"",COUNTIF($E$2:$E29,"Yes"))</f>
        <v/>
      </c>
    </row>
    <row r="30" spans="2:6">
      <c r="B30" s="814" t="s">
        <v>7074</v>
      </c>
      <c r="C30" s="815">
        <f>'製造(P)'!$B67</f>
        <v>0</v>
      </c>
      <c r="D30" s="815" t="str">
        <f>'製造(P)'!AD67</f>
        <v/>
      </c>
      <c r="E30" s="815">
        <f>'製造(P)'!AE67</f>
        <v>0</v>
      </c>
      <c r="F30" s="820" t="str">
        <f>IF(E30=0,"",COUNTIF($E$2:$E30,"Yes"))</f>
        <v/>
      </c>
    </row>
    <row r="31" spans="2:6">
      <c r="B31" s="814" t="s">
        <v>7074</v>
      </c>
      <c r="C31" s="815">
        <f>'製造(P)'!$B68</f>
        <v>0</v>
      </c>
      <c r="D31" s="815" t="str">
        <f>'製造(P)'!AD68</f>
        <v/>
      </c>
      <c r="E31" s="815">
        <f>'製造(P)'!AE68</f>
        <v>0</v>
      </c>
      <c r="F31" s="820" t="str">
        <f>IF(E31=0,"",COUNTIF($E$2:$E31,"Yes"))</f>
        <v/>
      </c>
    </row>
    <row r="32" spans="2:6">
      <c r="B32" s="814" t="s">
        <v>7074</v>
      </c>
      <c r="C32" s="815">
        <f>'製造(P)'!$B69</f>
        <v>0</v>
      </c>
      <c r="D32" s="815" t="str">
        <f>'製造(P)'!AD69</f>
        <v/>
      </c>
      <c r="E32" s="815">
        <f>'製造(P)'!AE69</f>
        <v>0</v>
      </c>
      <c r="F32" s="820" t="str">
        <f>IF(E32=0,"",COUNTIF($E$2:$E32,"Yes"))</f>
        <v/>
      </c>
    </row>
    <row r="33" spans="2:6">
      <c r="B33" s="814" t="s">
        <v>7074</v>
      </c>
      <c r="C33" s="815">
        <f>'製造(P)'!$B70</f>
        <v>0</v>
      </c>
      <c r="D33" s="815" t="str">
        <f>'製造(P)'!AD70</f>
        <v/>
      </c>
      <c r="E33" s="815">
        <f>'製造(P)'!AE70</f>
        <v>0</v>
      </c>
      <c r="F33" s="820" t="str">
        <f>IF(E33=0,"",COUNTIF($E$2:$E33,"Yes"))</f>
        <v/>
      </c>
    </row>
    <row r="34" spans="2:6">
      <c r="B34" s="814" t="s">
        <v>7074</v>
      </c>
      <c r="C34" s="815" t="str">
        <f>'製造(P)'!$D77</f>
        <v>燃料法</v>
      </c>
      <c r="D34" s="816" t="str">
        <f>'製造(P)'!AD77</f>
        <v/>
      </c>
      <c r="E34" s="816">
        <f>'製造(P)'!AE77</f>
        <v>0</v>
      </c>
      <c r="F34" s="820" t="str">
        <f>IF(E34=0,"",COUNTIF($E$2:$E34,"Yes"))</f>
        <v/>
      </c>
    </row>
    <row r="35" spans="2:6">
      <c r="B35" s="814" t="s">
        <v>7074</v>
      </c>
      <c r="C35" s="815" t="str">
        <f>'製造(P)'!$D79</f>
        <v>燃費法</v>
      </c>
      <c r="D35" s="815" t="str">
        <f>'製造(P)'!AD79</f>
        <v/>
      </c>
      <c r="E35" s="815">
        <f>'製造(P)'!AE79</f>
        <v>0</v>
      </c>
      <c r="F35" s="820" t="str">
        <f>IF(E35=0,"",COUNTIF($E$2:$E35,"Yes"))</f>
        <v/>
      </c>
    </row>
    <row r="36" spans="2:6">
      <c r="B36" s="814" t="s">
        <v>7074</v>
      </c>
      <c r="C36" s="815" t="str">
        <f>'製造(P)'!$D83</f>
        <v>改良トンキロ法</v>
      </c>
      <c r="D36" s="815" t="str">
        <f>'製造(P)'!AD83</f>
        <v/>
      </c>
      <c r="E36" s="815">
        <f>'製造(P)'!AE83</f>
        <v>0</v>
      </c>
      <c r="F36" s="820" t="str">
        <f>IF(E36=0,"",COUNTIF($E$2:$E36,"Yes"))</f>
        <v/>
      </c>
    </row>
    <row r="37" spans="2:6">
      <c r="B37" s="814" t="s">
        <v>7074</v>
      </c>
      <c r="C37" s="815" t="str">
        <f>'製造(P)'!$B94</f>
        <v>廃水</v>
      </c>
      <c r="D37" s="815" t="str">
        <f>'製造(P)'!AD94</f>
        <v/>
      </c>
      <c r="E37" s="815">
        <f>'製造(P)'!AE94</f>
        <v>0</v>
      </c>
      <c r="F37" s="820" t="str">
        <f>IF(E37=0,"",COUNTIF($E$2:$E37,"Yes"))</f>
        <v/>
      </c>
    </row>
    <row r="38" spans="2:6">
      <c r="B38" s="814" t="s">
        <v>7074</v>
      </c>
      <c r="C38" s="815">
        <f>'製造(P)'!$D95</f>
        <v>0</v>
      </c>
      <c r="D38" s="815" t="str">
        <f>'製造(P)'!AD95</f>
        <v/>
      </c>
      <c r="E38" s="815">
        <f>'製造(P)'!AE95</f>
        <v>0</v>
      </c>
      <c r="F38" s="820" t="str">
        <f>IF(E38=0,"",COUNTIF($E$2:$E38,"Yes"))</f>
        <v/>
      </c>
    </row>
    <row r="39" spans="2:6">
      <c r="B39" s="814" t="s">
        <v>7074</v>
      </c>
      <c r="C39" s="815">
        <f>'製造(P)'!$D96</f>
        <v>0</v>
      </c>
      <c r="D39" s="815" t="str">
        <f>'製造(P)'!AD96</f>
        <v/>
      </c>
      <c r="E39" s="815">
        <f>'製造(P)'!AE96</f>
        <v>0</v>
      </c>
      <c r="F39" s="820" t="str">
        <f>IF(E39=0,"",COUNTIF($E$2:$E39,"Yes"))</f>
        <v/>
      </c>
    </row>
    <row r="40" spans="2:6">
      <c r="B40" s="814" t="s">
        <v>7074</v>
      </c>
      <c r="C40" s="815">
        <f>'製造(P)'!$D97</f>
        <v>0</v>
      </c>
      <c r="D40" s="815" t="str">
        <f>'製造(P)'!AD97</f>
        <v/>
      </c>
      <c r="E40" s="815">
        <f>'製造(P)'!AE97</f>
        <v>0</v>
      </c>
      <c r="F40" s="820" t="str">
        <f>IF(E40=0,"",COUNTIF($E$2:$E40,"Yes"))</f>
        <v/>
      </c>
    </row>
    <row r="41" spans="2:6">
      <c r="B41" s="814" t="s">
        <v>7074</v>
      </c>
      <c r="C41" s="815" t="str">
        <f>'製造(P)'!$Q113</f>
        <v>受変電・電気設備</v>
      </c>
      <c r="D41" s="815">
        <f>'製造(P)'!AD113</f>
        <v>7.0013781389120025E-2</v>
      </c>
      <c r="E41" s="815">
        <f>'製造(P)'!AE113</f>
        <v>0</v>
      </c>
      <c r="F41" s="820" t="str">
        <f>IF(E41=0,"",COUNTIF($E$2:$E41,"Yes"))</f>
        <v/>
      </c>
    </row>
    <row r="42" spans="2:6">
      <c r="B42" s="814" t="s">
        <v>7074</v>
      </c>
      <c r="C42" s="815" t="str">
        <f>'製造(P)'!$Q114</f>
        <v>蓄電システム</v>
      </c>
      <c r="D42" s="815">
        <f>'製造(P)'!AD114</f>
        <v>0.29978128126184178</v>
      </c>
      <c r="E42" s="815">
        <f>'製造(P)'!AE114</f>
        <v>0</v>
      </c>
      <c r="F42" s="820" t="str">
        <f>IF(E42=0,"",COUNTIF($E$2:$E42,"Yes"))</f>
        <v/>
      </c>
    </row>
    <row r="43" spans="2:6">
      <c r="B43" s="814" t="s">
        <v>7074</v>
      </c>
      <c r="C43" s="815" t="str">
        <f>'製造(P)'!$Q115</f>
        <v>水電解装置</v>
      </c>
      <c r="D43" s="815">
        <f>'製造(P)'!AD115</f>
        <v>2.6980315313565768E-2</v>
      </c>
      <c r="E43" s="815">
        <f>'製造(P)'!AE115</f>
        <v>0</v>
      </c>
      <c r="F43" s="820" t="str">
        <f>IF(E43=0,"",COUNTIF($E$2:$E43,"Yes"))</f>
        <v/>
      </c>
    </row>
    <row r="44" spans="2:6">
      <c r="B44" s="814" t="s">
        <v>7074</v>
      </c>
      <c r="C44" s="815" t="str">
        <f>'製造(P)'!$Q116</f>
        <v/>
      </c>
      <c r="D44" s="815" t="str">
        <f>'製造(P)'!AD116</f>
        <v/>
      </c>
      <c r="E44" s="815">
        <f>'製造(P)'!AE116</f>
        <v>0</v>
      </c>
      <c r="F44" s="820" t="str">
        <f>IF(E44=0,"",COUNTIF($E$2:$E44,"Yes"))</f>
        <v/>
      </c>
    </row>
    <row r="45" spans="2:6">
      <c r="B45" s="814" t="s">
        <v>7074</v>
      </c>
      <c r="C45" s="815" t="str">
        <f>'製造(P)'!$Q117</f>
        <v/>
      </c>
      <c r="D45" s="815" t="str">
        <f>'製造(P)'!AD117</f>
        <v/>
      </c>
      <c r="E45" s="815">
        <f>'製造(P)'!AE117</f>
        <v>0</v>
      </c>
      <c r="F45" s="820" t="str">
        <f>IF(E45=0,"",COUNTIF($E$2:$E45,"Yes"))</f>
        <v/>
      </c>
    </row>
    <row r="46" spans="2:6">
      <c r="B46" s="814" t="s">
        <v>7074</v>
      </c>
      <c r="C46" s="815" t="str">
        <f>'製造(P)'!$Q118</f>
        <v/>
      </c>
      <c r="D46" s="815" t="str">
        <f>'製造(P)'!AD118</f>
        <v/>
      </c>
      <c r="E46" s="815">
        <f>'製造(P)'!AE118</f>
        <v>0</v>
      </c>
      <c r="F46" s="820" t="str">
        <f>IF(E46=0,"",COUNTIF($E$2:$E46,"Yes"))</f>
        <v/>
      </c>
    </row>
    <row r="47" spans="2:6">
      <c r="B47" s="814" t="s">
        <v>7074</v>
      </c>
      <c r="C47" s="815" t="str">
        <f>'製造(P)'!$Q119</f>
        <v/>
      </c>
      <c r="D47" s="815" t="str">
        <f>'製造(P)'!AD119</f>
        <v/>
      </c>
      <c r="E47" s="815">
        <f>'製造(P)'!AE119</f>
        <v>0</v>
      </c>
      <c r="F47" s="820" t="str">
        <f>IF(E47=0,"",COUNTIF($E$2:$E47,"Yes"))</f>
        <v/>
      </c>
    </row>
    <row r="48" spans="2:6">
      <c r="B48" s="814" t="s">
        <v>7074</v>
      </c>
      <c r="C48" s="815" t="str">
        <f>'製造(P)'!$Q120</f>
        <v/>
      </c>
      <c r="D48" s="815" t="str">
        <f>'製造(P)'!AD120</f>
        <v/>
      </c>
      <c r="E48" s="815">
        <f>'製造(P)'!AE120</f>
        <v>0</v>
      </c>
      <c r="F48" s="820" t="str">
        <f>IF(E48=0,"",COUNTIF($E$2:$E48,"Yes"))</f>
        <v/>
      </c>
    </row>
    <row r="49" spans="2:6">
      <c r="B49" s="814" t="s">
        <v>7074</v>
      </c>
      <c r="C49" s="815" t="str">
        <f>'製造(P)'!$Q121</f>
        <v/>
      </c>
      <c r="D49" s="815" t="str">
        <f>'製造(P)'!AD121</f>
        <v/>
      </c>
      <c r="E49" s="815">
        <f>'製造(P)'!AE121</f>
        <v>0</v>
      </c>
      <c r="F49" s="820" t="str">
        <f>IF(E49=0,"",COUNTIF($E$2:$E49,"Yes"))</f>
        <v/>
      </c>
    </row>
    <row r="50" spans="2:6">
      <c r="B50" s="814" t="s">
        <v>7074</v>
      </c>
      <c r="C50" s="815" t="str">
        <f>'製造(P)'!$Q122</f>
        <v/>
      </c>
      <c r="D50" s="815" t="str">
        <f>'製造(P)'!AD122</f>
        <v/>
      </c>
      <c r="E50" s="815">
        <f>'製造(P)'!AE122</f>
        <v>0</v>
      </c>
      <c r="F50" s="820" t="str">
        <f>IF(E50=0,"",COUNTIF($E$2:$E50,"Yes"))</f>
        <v/>
      </c>
    </row>
    <row r="51" spans="2:6">
      <c r="B51" s="814" t="s">
        <v>7933</v>
      </c>
      <c r="C51" s="815">
        <f>'貯蔵・輸送(ST)'!B23</f>
        <v>0</v>
      </c>
      <c r="D51" s="816" t="str">
        <f>'貯蔵・輸送(ST)'!AD$23</f>
        <v/>
      </c>
      <c r="E51" s="815">
        <f>'貯蔵・輸送(ST)'!$AE$23</f>
        <v>0</v>
      </c>
      <c r="F51" s="820" t="str">
        <f>IF(E51=0,"",COUNTIF($E$2:$E51,"Yes"))</f>
        <v/>
      </c>
    </row>
    <row r="52" spans="2:6">
      <c r="B52" s="814" t="s">
        <v>7933</v>
      </c>
      <c r="C52" s="815">
        <f>'貯蔵・輸送(ST)'!$B24</f>
        <v>0</v>
      </c>
      <c r="D52" s="816" t="str">
        <f>'貯蔵・輸送(ST)'!AD$24</f>
        <v/>
      </c>
      <c r="E52" s="815">
        <f>'貯蔵・輸送(ST)'!$AE$24</f>
        <v>0</v>
      </c>
      <c r="F52" s="820" t="str">
        <f>IF(E52=0,"",COUNTIF($E$2:$E52,"Yes"))</f>
        <v/>
      </c>
    </row>
    <row r="53" spans="2:6">
      <c r="B53" s="814" t="s">
        <v>7933</v>
      </c>
      <c r="C53" s="815">
        <f>'貯蔵・輸送(ST)'!$B25</f>
        <v>0</v>
      </c>
      <c r="D53" s="816" t="str">
        <f>'貯蔵・輸送(ST)'!AD$25</f>
        <v/>
      </c>
      <c r="E53" s="815">
        <f>'貯蔵・輸送(ST)'!$AE$25</f>
        <v>0</v>
      </c>
      <c r="F53" s="820" t="str">
        <f>IF(E53=0,"",COUNTIF($E$2:$E53,"Yes"))</f>
        <v/>
      </c>
    </row>
    <row r="54" spans="2:6">
      <c r="B54" s="814" t="s">
        <v>7933</v>
      </c>
      <c r="C54" s="815">
        <f>'貯蔵・輸送(ST)'!$B26</f>
        <v>0</v>
      </c>
      <c r="D54" s="816" t="str">
        <f>'貯蔵・輸送(ST)'!AD$26</f>
        <v/>
      </c>
      <c r="E54" s="815">
        <f>'貯蔵・輸送(ST)'!$AE$26</f>
        <v>0</v>
      </c>
      <c r="F54" s="820" t="str">
        <f>IF(E54=0,"",COUNTIF($E$2:$E54,"Yes"))</f>
        <v/>
      </c>
    </row>
    <row r="55" spans="2:6">
      <c r="B55" s="814" t="s">
        <v>7933</v>
      </c>
      <c r="C55" s="815">
        <f>'貯蔵・輸送(ST)'!$B27</f>
        <v>0</v>
      </c>
      <c r="D55" s="816" t="str">
        <f>'貯蔵・輸送(ST)'!AD27</f>
        <v/>
      </c>
      <c r="E55" s="815">
        <f>'貯蔵・輸送(ST)'!$AE27</f>
        <v>0</v>
      </c>
      <c r="F55" s="820" t="str">
        <f>IF(E55=0,"",COUNTIF($E$2:$E55,"Yes"))</f>
        <v/>
      </c>
    </row>
    <row r="56" spans="2:6">
      <c r="B56" s="814" t="s">
        <v>7933</v>
      </c>
      <c r="C56" s="815">
        <f>'貯蔵・輸送(ST)'!$B28</f>
        <v>0</v>
      </c>
      <c r="D56" s="816" t="str">
        <f>'貯蔵・輸送(ST)'!AD28</f>
        <v/>
      </c>
      <c r="E56" s="815">
        <f>'貯蔵・輸送(ST)'!$AE28</f>
        <v>0</v>
      </c>
      <c r="F56" s="820" t="str">
        <f>IF(E56=0,"",COUNTIF($E$2:$E56,"Yes"))</f>
        <v/>
      </c>
    </row>
    <row r="57" spans="2:6">
      <c r="B57" s="814" t="s">
        <v>7933</v>
      </c>
      <c r="C57" s="815">
        <f>'貯蔵・輸送(ST)'!$B29</f>
        <v>0</v>
      </c>
      <c r="D57" s="816" t="str">
        <f>'貯蔵・輸送(ST)'!AD29</f>
        <v/>
      </c>
      <c r="E57" s="815">
        <f>'貯蔵・輸送(ST)'!$AE29</f>
        <v>0</v>
      </c>
      <c r="F57" s="820" t="str">
        <f>IF(E57=0,"",COUNTIF($E$2:$E57,"Yes"))</f>
        <v/>
      </c>
    </row>
    <row r="58" spans="2:6">
      <c r="B58" s="814" t="s">
        <v>7933</v>
      </c>
      <c r="C58" s="815">
        <f>'貯蔵・輸送(ST)'!$B30</f>
        <v>0</v>
      </c>
      <c r="D58" s="816" t="str">
        <f>'貯蔵・輸送(ST)'!AD30</f>
        <v/>
      </c>
      <c r="E58" s="815">
        <f>'貯蔵・輸送(ST)'!$AE30</f>
        <v>0</v>
      </c>
      <c r="F58" s="820" t="str">
        <f>IF(E58=0,"",COUNTIF($E$2:$E58,"Yes"))</f>
        <v/>
      </c>
    </row>
    <row r="59" spans="2:6">
      <c r="B59" s="814" t="s">
        <v>7933</v>
      </c>
      <c r="C59" s="815">
        <f>'貯蔵・輸送(ST)'!$B31</f>
        <v>0</v>
      </c>
      <c r="D59" s="816" t="str">
        <f>'貯蔵・輸送(ST)'!AD31</f>
        <v/>
      </c>
      <c r="E59" s="815">
        <f>'貯蔵・輸送(ST)'!$AE31</f>
        <v>0</v>
      </c>
      <c r="F59" s="820" t="str">
        <f>IF(E59=0,"",COUNTIF($E$2:$E59,"Yes"))</f>
        <v/>
      </c>
    </row>
    <row r="60" spans="2:6">
      <c r="B60" s="814" t="s">
        <v>7933</v>
      </c>
      <c r="C60" s="815">
        <f>'貯蔵・輸送(ST)'!$B32</f>
        <v>0</v>
      </c>
      <c r="D60" s="816" t="str">
        <f>'貯蔵・輸送(ST)'!AD32</f>
        <v/>
      </c>
      <c r="E60" s="815">
        <f>'貯蔵・輸送(ST)'!$AE32</f>
        <v>0</v>
      </c>
      <c r="F60" s="820" t="str">
        <f>IF(E60=0,"",COUNTIF($E$2:$E60,"Yes"))</f>
        <v/>
      </c>
    </row>
    <row r="61" spans="2:6">
      <c r="B61" s="814" t="s">
        <v>7933</v>
      </c>
      <c r="C61" s="815" t="str">
        <f>'貯蔵・輸送(ST)'!$B39</f>
        <v>系統電力</v>
      </c>
      <c r="D61" s="816" t="str">
        <f>'貯蔵・輸送(ST)'!AD39</f>
        <v/>
      </c>
      <c r="E61" s="815">
        <f>'貯蔵・輸送(ST)'!$AE39</f>
        <v>0</v>
      </c>
      <c r="F61" s="820" t="str">
        <f>IF(E61=0,"",COUNTIF($E$2:$E61,"Yes"))</f>
        <v/>
      </c>
    </row>
    <row r="62" spans="2:6">
      <c r="B62" s="814" t="s">
        <v>7933</v>
      </c>
      <c r="C62" s="815" t="str">
        <f>'貯蔵・輸送(ST)'!$B40</f>
        <v>都市ガス</v>
      </c>
      <c r="D62" s="816" t="str">
        <f>'貯蔵・輸送(ST)'!AD40</f>
        <v/>
      </c>
      <c r="E62" s="815">
        <f>'貯蔵・輸送(ST)'!$AE40</f>
        <v>0</v>
      </c>
      <c r="F62" s="820" t="str">
        <f>IF(E62=0,"",COUNTIF($E$2:$E62,"Yes"))</f>
        <v/>
      </c>
    </row>
    <row r="63" spans="2:6">
      <c r="B63" s="814" t="s">
        <v>7933</v>
      </c>
      <c r="C63" s="815" t="str">
        <f>'貯蔵・輸送(ST)'!$B41</f>
        <v>一般炭</v>
      </c>
      <c r="D63" s="816" t="str">
        <f>'貯蔵・輸送(ST)'!AD41</f>
        <v/>
      </c>
      <c r="E63" s="815">
        <f>'貯蔵・輸送(ST)'!$AE41</f>
        <v>0</v>
      </c>
      <c r="F63" s="820" t="str">
        <f>IF(E63=0,"",COUNTIF($E$2:$E63,"Yes"))</f>
        <v/>
      </c>
    </row>
    <row r="64" spans="2:6">
      <c r="B64" s="814" t="s">
        <v>7933</v>
      </c>
      <c r="C64" s="815" t="str">
        <f>'貯蔵・輸送(ST)'!$B42</f>
        <v>LPG</v>
      </c>
      <c r="D64" s="816" t="str">
        <f>'貯蔵・輸送(ST)'!AD42</f>
        <v/>
      </c>
      <c r="E64" s="815">
        <f>'貯蔵・輸送(ST)'!$AE42</f>
        <v>0</v>
      </c>
      <c r="F64" s="820" t="str">
        <f>IF(E64=0,"",COUNTIF($E$2:$E64,"Yes"))</f>
        <v/>
      </c>
    </row>
    <row r="65" spans="2:6">
      <c r="B65" s="814" t="s">
        <v>7933</v>
      </c>
      <c r="C65" s="815" t="str">
        <f>'貯蔵・輸送(ST)'!$B43</f>
        <v>LNG</v>
      </c>
      <c r="D65" s="816" t="str">
        <f>'貯蔵・輸送(ST)'!AD43</f>
        <v/>
      </c>
      <c r="E65" s="815">
        <f>'貯蔵・輸送(ST)'!$AE43</f>
        <v>0</v>
      </c>
      <c r="F65" s="820" t="str">
        <f>IF(E65=0,"",COUNTIF($E$2:$E65,"Yes"))</f>
        <v/>
      </c>
    </row>
    <row r="66" spans="2:6">
      <c r="B66" s="814" t="s">
        <v>7933</v>
      </c>
      <c r="C66" s="815" t="str">
        <f>'貯蔵・輸送(ST)'!$B44</f>
        <v>灯油</v>
      </c>
      <c r="D66" s="816" t="str">
        <f>'貯蔵・輸送(ST)'!AD44</f>
        <v/>
      </c>
      <c r="E66" s="815">
        <f>'貯蔵・輸送(ST)'!$AE44</f>
        <v>0</v>
      </c>
      <c r="F66" s="820" t="str">
        <f>IF(E66=0,"",COUNTIF($E$2:$E66,"Yes"))</f>
        <v/>
      </c>
    </row>
    <row r="67" spans="2:6">
      <c r="B67" s="814" t="s">
        <v>7933</v>
      </c>
      <c r="C67" s="815" t="str">
        <f>'貯蔵・輸送(ST)'!$B45</f>
        <v>A重油</v>
      </c>
      <c r="D67" s="816" t="str">
        <f>'貯蔵・輸送(ST)'!AD45</f>
        <v/>
      </c>
      <c r="E67" s="815">
        <f>'貯蔵・輸送(ST)'!$AE45</f>
        <v>0</v>
      </c>
      <c r="F67" s="820" t="str">
        <f>IF(E67=0,"",COUNTIF($E$2:$E67,"Yes"))</f>
        <v/>
      </c>
    </row>
    <row r="68" spans="2:6">
      <c r="B68" s="814" t="s">
        <v>7933</v>
      </c>
      <c r="C68" s="815" t="str">
        <f>'貯蔵・輸送(ST)'!$B46</f>
        <v>C重油</v>
      </c>
      <c r="D68" s="816" t="str">
        <f>'貯蔵・輸送(ST)'!AD46</f>
        <v/>
      </c>
      <c r="E68" s="815">
        <f>'貯蔵・輸送(ST)'!$AE46</f>
        <v>0</v>
      </c>
      <c r="F68" s="820" t="str">
        <f>IF(E68=0,"",COUNTIF($E$2:$E68,"Yes"))</f>
        <v/>
      </c>
    </row>
    <row r="69" spans="2:6">
      <c r="B69" s="814" t="s">
        <v>7933</v>
      </c>
      <c r="C69" s="815" t="str">
        <f>'貯蔵・輸送(ST)'!$B47</f>
        <v>ガソリン</v>
      </c>
      <c r="D69" s="816" t="str">
        <f>'貯蔵・輸送(ST)'!AD47</f>
        <v/>
      </c>
      <c r="E69" s="815">
        <f>'貯蔵・輸送(ST)'!$AE47</f>
        <v>0</v>
      </c>
      <c r="F69" s="820" t="str">
        <f>IF(E69=0,"",COUNTIF($E$2:$E69,"Yes"))</f>
        <v/>
      </c>
    </row>
    <row r="70" spans="2:6">
      <c r="B70" s="814" t="s">
        <v>7933</v>
      </c>
      <c r="C70" s="815" t="str">
        <f>'貯蔵・輸送(ST)'!$B48</f>
        <v>軽油</v>
      </c>
      <c r="D70" s="816" t="str">
        <f>'貯蔵・輸送(ST)'!AD48</f>
        <v/>
      </c>
      <c r="E70" s="815">
        <f>'貯蔵・輸送(ST)'!$AE48</f>
        <v>0</v>
      </c>
      <c r="F70" s="820" t="str">
        <f>IF(E70=0,"",COUNTIF($E$2:$E70,"Yes"))</f>
        <v/>
      </c>
    </row>
    <row r="71" spans="2:6">
      <c r="B71" s="814" t="s">
        <v>7933</v>
      </c>
      <c r="C71" s="815" t="str">
        <f>'貯蔵・輸送(ST)'!$B49</f>
        <v>工業用水</v>
      </c>
      <c r="D71" s="816" t="str">
        <f>'貯蔵・輸送(ST)'!AD49</f>
        <v/>
      </c>
      <c r="E71" s="815">
        <f>'貯蔵・輸送(ST)'!$AE49</f>
        <v>0</v>
      </c>
      <c r="F71" s="820" t="str">
        <f>IF(E71=0,"",COUNTIF($E$2:$E71,"Yes"))</f>
        <v/>
      </c>
    </row>
    <row r="72" spans="2:6">
      <c r="B72" s="814" t="s">
        <v>7933</v>
      </c>
      <c r="C72" s="815">
        <f>'貯蔵・輸送(ST)'!$D50</f>
        <v>0</v>
      </c>
      <c r="D72" s="816" t="str">
        <f>'貯蔵・輸送(ST)'!AD50</f>
        <v/>
      </c>
      <c r="E72" s="815">
        <f>'貯蔵・輸送(ST)'!$AE50</f>
        <v>0</v>
      </c>
      <c r="F72" s="820" t="str">
        <f>IF(E72=0,"",COUNTIF($E$2:$E72,"Yes"))</f>
        <v/>
      </c>
    </row>
    <row r="73" spans="2:6">
      <c r="B73" s="814" t="s">
        <v>7933</v>
      </c>
      <c r="C73" s="815">
        <f>'貯蔵・輸送(ST)'!$D51</f>
        <v>0</v>
      </c>
      <c r="D73" s="816" t="str">
        <f>'貯蔵・輸送(ST)'!AD51</f>
        <v/>
      </c>
      <c r="E73" s="815">
        <f>'貯蔵・輸送(ST)'!$AE51</f>
        <v>0</v>
      </c>
      <c r="F73" s="820" t="str">
        <f>IF(E73=0,"",COUNTIF($E$2:$E73,"Yes"))</f>
        <v/>
      </c>
    </row>
    <row r="74" spans="2:6">
      <c r="B74" s="814" t="s">
        <v>7933</v>
      </c>
      <c r="C74" s="815">
        <f>'貯蔵・輸送(ST)'!$D52</f>
        <v>0</v>
      </c>
      <c r="D74" s="816" t="str">
        <f>'貯蔵・輸送(ST)'!AD52</f>
        <v/>
      </c>
      <c r="E74" s="815">
        <f>'貯蔵・輸送(ST)'!$AE52</f>
        <v>0</v>
      </c>
      <c r="F74" s="820" t="str">
        <f>IF(E74=0,"",COUNTIF($E$2:$E74,"Yes"))</f>
        <v/>
      </c>
    </row>
    <row r="75" spans="2:6">
      <c r="B75" s="814" t="s">
        <v>7933</v>
      </c>
      <c r="C75" s="815" t="str">
        <f>'貯蔵・輸送(ST)'!$B57</f>
        <v>風力発電陸上（1,000kW級）</v>
      </c>
      <c r="D75" s="816">
        <f>'貯蔵・輸送(ST)'!AD57</f>
        <v>1.5038169691552521E-2</v>
      </c>
      <c r="E75" s="815">
        <f>'貯蔵・輸送(ST)'!$AE57</f>
        <v>0</v>
      </c>
      <c r="F75" s="820" t="str">
        <f>IF(E75=0,"",COUNTIF($E$2:$E75,"Yes"))</f>
        <v/>
      </c>
    </row>
    <row r="76" spans="2:6">
      <c r="B76" s="814" t="s">
        <v>7933</v>
      </c>
      <c r="C76" s="815">
        <f>'貯蔵・輸送(ST)'!$B58</f>
        <v>0</v>
      </c>
      <c r="D76" s="816" t="str">
        <f>'貯蔵・輸送(ST)'!AD58</f>
        <v/>
      </c>
      <c r="E76" s="815">
        <f>'貯蔵・輸送(ST)'!$AE58</f>
        <v>0</v>
      </c>
      <c r="F76" s="820" t="str">
        <f>IF(E76=0,"",COUNTIF($E$2:$E76,"Yes"))</f>
        <v/>
      </c>
    </row>
    <row r="77" spans="2:6">
      <c r="B77" s="814" t="s">
        <v>7933</v>
      </c>
      <c r="C77" s="815">
        <f>'貯蔵・輸送(ST)'!$B59</f>
        <v>0</v>
      </c>
      <c r="D77" s="816" t="str">
        <f>'貯蔵・輸送(ST)'!AD59</f>
        <v/>
      </c>
      <c r="E77" s="815">
        <f>'貯蔵・輸送(ST)'!$AE59</f>
        <v>0</v>
      </c>
      <c r="F77" s="820" t="str">
        <f>IF(E77=0,"",COUNTIF($E$2:$E77,"Yes"))</f>
        <v/>
      </c>
    </row>
    <row r="78" spans="2:6">
      <c r="B78" s="814" t="s">
        <v>7933</v>
      </c>
      <c r="C78" s="815">
        <f>'貯蔵・輸送(ST)'!$B66</f>
        <v>0</v>
      </c>
      <c r="D78" s="816" t="str">
        <f>'貯蔵・輸送(ST)'!AD66</f>
        <v/>
      </c>
      <c r="E78" s="815">
        <f>'貯蔵・輸送(ST)'!$AE66</f>
        <v>0</v>
      </c>
      <c r="F78" s="820" t="str">
        <f>IF(E78=0,"",COUNTIF($E$2:$E78,"Yes"))</f>
        <v/>
      </c>
    </row>
    <row r="79" spans="2:6">
      <c r="B79" s="814" t="s">
        <v>7933</v>
      </c>
      <c r="C79" s="815">
        <f>'貯蔵・輸送(ST)'!$B67</f>
        <v>0</v>
      </c>
      <c r="D79" s="816" t="str">
        <f>'貯蔵・輸送(ST)'!AD67</f>
        <v/>
      </c>
      <c r="E79" s="815">
        <f>'貯蔵・輸送(ST)'!$AE67</f>
        <v>0</v>
      </c>
      <c r="F79" s="820" t="str">
        <f>IF(E79=0,"",COUNTIF($E$2:$E79,"Yes"))</f>
        <v/>
      </c>
    </row>
    <row r="80" spans="2:6">
      <c r="B80" s="814" t="s">
        <v>7933</v>
      </c>
      <c r="C80" s="815">
        <f>'貯蔵・輸送(ST)'!$B68</f>
        <v>0</v>
      </c>
      <c r="D80" s="816" t="str">
        <f>'貯蔵・輸送(ST)'!AD68</f>
        <v/>
      </c>
      <c r="E80" s="815">
        <f>'貯蔵・輸送(ST)'!$AE68</f>
        <v>0</v>
      </c>
      <c r="F80" s="820" t="str">
        <f>IF(E80=0,"",COUNTIF($E$2:$E80,"Yes"))</f>
        <v/>
      </c>
    </row>
    <row r="81" spans="2:6">
      <c r="B81" s="814" t="s">
        <v>7933</v>
      </c>
      <c r="C81" s="815">
        <f>'貯蔵・輸送(ST)'!$B69</f>
        <v>0</v>
      </c>
      <c r="D81" s="816" t="str">
        <f>'貯蔵・輸送(ST)'!AD69</f>
        <v/>
      </c>
      <c r="E81" s="815">
        <f>'貯蔵・輸送(ST)'!$AE69</f>
        <v>0</v>
      </c>
      <c r="F81" s="820" t="str">
        <f>IF(E81=0,"",COUNTIF($E$2:$E81,"Yes"))</f>
        <v/>
      </c>
    </row>
    <row r="82" spans="2:6">
      <c r="B82" s="814" t="s">
        <v>7933</v>
      </c>
      <c r="C82" s="815">
        <f>'貯蔵・輸送(ST)'!$B70</f>
        <v>0</v>
      </c>
      <c r="D82" s="816" t="str">
        <f>'貯蔵・輸送(ST)'!AD70</f>
        <v/>
      </c>
      <c r="E82" s="815">
        <f>'貯蔵・輸送(ST)'!$AE70</f>
        <v>0</v>
      </c>
      <c r="F82" s="820" t="str">
        <f>IF(E82=0,"",COUNTIF($E$2:$E82,"Yes"))</f>
        <v/>
      </c>
    </row>
    <row r="83" spans="2:6">
      <c r="B83" s="814" t="s">
        <v>7933</v>
      </c>
      <c r="C83" s="815" t="str">
        <f>'貯蔵・輸送(ST)'!$D77</f>
        <v>燃料法</v>
      </c>
      <c r="D83" s="816" t="str">
        <f>'貯蔵・輸送(ST)'!AD77</f>
        <v/>
      </c>
      <c r="E83" s="816">
        <f>'貯蔵・輸送(ST)'!$AE77</f>
        <v>0</v>
      </c>
      <c r="F83" s="820" t="str">
        <f>IF(E83=0,"",COUNTIF($E$2:$E83,"Yes"))</f>
        <v/>
      </c>
    </row>
    <row r="84" spans="2:6">
      <c r="B84" s="814" t="s">
        <v>7933</v>
      </c>
      <c r="C84" s="815" t="str">
        <f>'貯蔵・輸送(ST)'!$D79</f>
        <v>燃費法</v>
      </c>
      <c r="D84" s="816" t="str">
        <f>'貯蔵・輸送(ST)'!AD79</f>
        <v/>
      </c>
      <c r="E84" s="815">
        <f>'貯蔵・輸送(ST)'!$AE79</f>
        <v>0</v>
      </c>
      <c r="F84" s="820" t="str">
        <f>IF(E84=0,"",COUNTIF($E$2:$E84,"Yes"))</f>
        <v/>
      </c>
    </row>
    <row r="85" spans="2:6">
      <c r="B85" s="814" t="s">
        <v>7933</v>
      </c>
      <c r="C85" s="815" t="str">
        <f>'貯蔵・輸送(ST)'!$D83</f>
        <v>改良トンキロ法</v>
      </c>
      <c r="D85" s="816" t="str">
        <f>'貯蔵・輸送(ST)'!AD83</f>
        <v/>
      </c>
      <c r="E85" s="815">
        <f>'貯蔵・輸送(ST)'!$AE83</f>
        <v>0</v>
      </c>
      <c r="F85" s="820" t="str">
        <f>IF(E85=0,"",COUNTIF($E$2:$E85,"Yes"))</f>
        <v/>
      </c>
    </row>
    <row r="86" spans="2:6">
      <c r="B86" s="814" t="s">
        <v>7933</v>
      </c>
      <c r="C86" s="815" t="str">
        <f>'貯蔵・輸送(ST)'!$B94</f>
        <v>廃水</v>
      </c>
      <c r="D86" s="816" t="str">
        <f>'貯蔵・輸送(ST)'!AD94</f>
        <v/>
      </c>
      <c r="E86" s="815">
        <f>'貯蔵・輸送(ST)'!$AE94</f>
        <v>0</v>
      </c>
      <c r="F86" s="820" t="str">
        <f>IF(E86=0,"",COUNTIF($E$2:$E86,"Yes"))</f>
        <v/>
      </c>
    </row>
    <row r="87" spans="2:6">
      <c r="B87" s="814" t="s">
        <v>7933</v>
      </c>
      <c r="C87" s="815">
        <f>'貯蔵・輸送(ST)'!$D95</f>
        <v>0</v>
      </c>
      <c r="D87" s="816" t="str">
        <f>'貯蔵・輸送(ST)'!AD95</f>
        <v/>
      </c>
      <c r="E87" s="815">
        <f>'貯蔵・輸送(ST)'!$AE95</f>
        <v>0</v>
      </c>
      <c r="F87" s="820" t="str">
        <f>IF(E87=0,"",COUNTIF($E$2:$E87,"Yes"))</f>
        <v/>
      </c>
    </row>
    <row r="88" spans="2:6">
      <c r="B88" s="814" t="s">
        <v>7933</v>
      </c>
      <c r="C88" s="815">
        <f>'貯蔵・輸送(ST)'!$D96</f>
        <v>0</v>
      </c>
      <c r="D88" s="816" t="str">
        <f>'貯蔵・輸送(ST)'!AD96</f>
        <v/>
      </c>
      <c r="E88" s="815">
        <f>'貯蔵・輸送(ST)'!$AE96</f>
        <v>0</v>
      </c>
      <c r="F88" s="820" t="str">
        <f>IF(E88=0,"",COUNTIF($E$2:$E88,"Yes"))</f>
        <v/>
      </c>
    </row>
    <row r="89" spans="2:6">
      <c r="B89" s="814" t="s">
        <v>7933</v>
      </c>
      <c r="C89" s="815">
        <f>'貯蔵・輸送(ST)'!$D97</f>
        <v>0</v>
      </c>
      <c r="D89" s="816" t="str">
        <f>'貯蔵・輸送(ST)'!AD97</f>
        <v/>
      </c>
      <c r="E89" s="815">
        <f>'貯蔵・輸送(ST)'!$AE97</f>
        <v>0</v>
      </c>
      <c r="F89" s="820" t="str">
        <f>IF(E89=0,"",COUNTIF($E$2:$E89,"Yes"))</f>
        <v/>
      </c>
    </row>
    <row r="90" spans="2:6">
      <c r="B90" s="814" t="s">
        <v>7933</v>
      </c>
      <c r="C90" s="815" t="str">
        <f>'貯蔵・輸送(ST)'!$Q113</f>
        <v>水素貯蔵タンク</v>
      </c>
      <c r="D90" s="816">
        <f>'貯蔵・輸送(ST)'!AD113</f>
        <v>0.32632920227950851</v>
      </c>
      <c r="E90" s="815">
        <f>'貯蔵・輸送(ST)'!$AE113</f>
        <v>0</v>
      </c>
      <c r="F90" s="820" t="str">
        <f>IF(E90=0,"",COUNTIF($E$2:$E90,"Yes"))</f>
        <v/>
      </c>
    </row>
    <row r="91" spans="2:6">
      <c r="B91" s="814" t="s">
        <v>7933</v>
      </c>
      <c r="C91" s="815" t="str">
        <f>'貯蔵・輸送(ST)'!$Q114</f>
        <v>水素圧縮機</v>
      </c>
      <c r="D91" s="816">
        <f>'貯蔵・輸送(ST)'!AD114</f>
        <v>6.6044528521824769E-2</v>
      </c>
      <c r="E91" s="815">
        <f>'貯蔵・輸送(ST)'!$AE114</f>
        <v>0</v>
      </c>
      <c r="F91" s="820" t="str">
        <f>IF(E91=0,"",COUNTIF($E$2:$E91,"Yes"))</f>
        <v/>
      </c>
    </row>
    <row r="92" spans="2:6">
      <c r="B92" s="814" t="s">
        <v>7933</v>
      </c>
      <c r="C92" s="815" t="str">
        <f>'貯蔵・輸送(ST)'!$Q115</f>
        <v/>
      </c>
      <c r="D92" s="816" t="str">
        <f>'貯蔵・輸送(ST)'!AD115</f>
        <v/>
      </c>
      <c r="E92" s="815">
        <f>'貯蔵・輸送(ST)'!$AE115</f>
        <v>0</v>
      </c>
      <c r="F92" s="820" t="str">
        <f>IF(E92=0,"",COUNTIF($E$2:$E92,"Yes"))</f>
        <v/>
      </c>
    </row>
    <row r="93" spans="2:6">
      <c r="B93" s="814" t="s">
        <v>7933</v>
      </c>
      <c r="C93" s="815" t="str">
        <f>'貯蔵・輸送(ST)'!$Q116</f>
        <v/>
      </c>
      <c r="D93" s="816" t="str">
        <f>'貯蔵・輸送(ST)'!AD116</f>
        <v/>
      </c>
      <c r="E93" s="815">
        <f>'貯蔵・輸送(ST)'!$AE116</f>
        <v>0</v>
      </c>
      <c r="F93" s="820" t="str">
        <f>IF(E93=0,"",COUNTIF($E$2:$E93,"Yes"))</f>
        <v/>
      </c>
    </row>
    <row r="94" spans="2:6">
      <c r="B94" s="814" t="s">
        <v>7933</v>
      </c>
      <c r="C94" s="815" t="str">
        <f>'貯蔵・輸送(ST)'!$Q117</f>
        <v/>
      </c>
      <c r="D94" s="816" t="str">
        <f>'貯蔵・輸送(ST)'!AD117</f>
        <v/>
      </c>
      <c r="E94" s="815">
        <f>'貯蔵・輸送(ST)'!$AE117</f>
        <v>0</v>
      </c>
      <c r="F94" s="820" t="str">
        <f>IF(E94=0,"",COUNTIF($E$2:$E94,"Yes"))</f>
        <v/>
      </c>
    </row>
    <row r="95" spans="2:6">
      <c r="B95" s="814" t="s">
        <v>7933</v>
      </c>
      <c r="C95" s="815" t="str">
        <f>'貯蔵・輸送(ST)'!$Q118</f>
        <v/>
      </c>
      <c r="D95" s="816" t="str">
        <f>'貯蔵・輸送(ST)'!AD118</f>
        <v/>
      </c>
      <c r="E95" s="815">
        <f>'貯蔵・輸送(ST)'!$AE118</f>
        <v>0</v>
      </c>
      <c r="F95" s="820" t="str">
        <f>IF(E95=0,"",COUNTIF($E$2:$E95,"Yes"))</f>
        <v/>
      </c>
    </row>
    <row r="96" spans="2:6">
      <c r="B96" s="814" t="s">
        <v>7933</v>
      </c>
      <c r="C96" s="815" t="str">
        <f>'貯蔵・輸送(ST)'!$Q119</f>
        <v/>
      </c>
      <c r="D96" s="816" t="str">
        <f>'貯蔵・輸送(ST)'!AD119</f>
        <v/>
      </c>
      <c r="E96" s="815">
        <f>'貯蔵・輸送(ST)'!$AE119</f>
        <v>0</v>
      </c>
      <c r="F96" s="820" t="str">
        <f>IF(E96=0,"",COUNTIF($E$2:$E96,"Yes"))</f>
        <v/>
      </c>
    </row>
    <row r="97" spans="2:6">
      <c r="B97" s="814" t="s">
        <v>7933</v>
      </c>
      <c r="C97" s="815" t="str">
        <f>'貯蔵・輸送(ST)'!$Q120</f>
        <v/>
      </c>
      <c r="D97" s="816" t="str">
        <f>'貯蔵・輸送(ST)'!AD120</f>
        <v/>
      </c>
      <c r="E97" s="815">
        <f>'貯蔵・輸送(ST)'!$AE120</f>
        <v>0</v>
      </c>
      <c r="F97" s="820" t="str">
        <f>IF(E97=0,"",COUNTIF($E$2:$E97,"Yes"))</f>
        <v/>
      </c>
    </row>
    <row r="98" spans="2:6">
      <c r="B98" s="814" t="s">
        <v>7933</v>
      </c>
      <c r="C98" s="815" t="str">
        <f>'貯蔵・輸送(ST)'!$Q121</f>
        <v/>
      </c>
      <c r="D98" s="816" t="str">
        <f>'貯蔵・輸送(ST)'!AD121</f>
        <v/>
      </c>
      <c r="E98" s="815">
        <f>'貯蔵・輸送(ST)'!$AE121</f>
        <v>0</v>
      </c>
      <c r="F98" s="820" t="str">
        <f>IF(E98=0,"",COUNTIF($E$2:$E98,"Yes"))</f>
        <v/>
      </c>
    </row>
    <row r="99" spans="2:6">
      <c r="B99" s="814" t="s">
        <v>7933</v>
      </c>
      <c r="C99" s="815" t="str">
        <f>'貯蔵・輸送(ST)'!$Q122</f>
        <v/>
      </c>
      <c r="D99" s="816" t="str">
        <f>'貯蔵・輸送(ST)'!AD122</f>
        <v/>
      </c>
      <c r="E99" s="815">
        <f>'貯蔵・輸送(ST)'!$AE122</f>
        <v>0</v>
      </c>
      <c r="F99" s="820" t="str">
        <f>IF(E99=0,"",COUNTIF($E$2:$E99,"Yes"))</f>
        <v/>
      </c>
    </row>
    <row r="100" spans="2:6">
      <c r="B100" s="814" t="s">
        <v>7934</v>
      </c>
      <c r="C100" s="815">
        <f>'供給(D)'!B23</f>
        <v>0</v>
      </c>
      <c r="D100" s="816" t="str">
        <f>'供給(D)'!AD$23</f>
        <v/>
      </c>
      <c r="E100" s="815">
        <f>'供給(D)'!$AE$23</f>
        <v>0</v>
      </c>
      <c r="F100" s="820" t="str">
        <f>IF(E100=0,"",COUNTIF($E$2:$E100,"Yes"))</f>
        <v/>
      </c>
    </row>
    <row r="101" spans="2:6">
      <c r="B101" s="814" t="s">
        <v>7934</v>
      </c>
      <c r="C101" s="815">
        <f>'供給(D)'!$B24</f>
        <v>0</v>
      </c>
      <c r="D101" s="816" t="str">
        <f>'供給(D)'!AD$24</f>
        <v/>
      </c>
      <c r="E101" s="815">
        <f>'供給(D)'!$AE$24</f>
        <v>0</v>
      </c>
      <c r="F101" s="820" t="str">
        <f>IF(E101=0,"",COUNTIF($E$2:$E101,"Yes"))</f>
        <v/>
      </c>
    </row>
    <row r="102" spans="2:6">
      <c r="B102" s="814" t="s">
        <v>7934</v>
      </c>
      <c r="C102" s="815">
        <f>'供給(D)'!$B25</f>
        <v>0</v>
      </c>
      <c r="D102" s="816" t="str">
        <f>'供給(D)'!AD$25</f>
        <v/>
      </c>
      <c r="E102" s="815">
        <f>'供給(D)'!$AE$25</f>
        <v>0</v>
      </c>
      <c r="F102" s="820" t="str">
        <f>IF(E102=0,"",COUNTIF($E$2:$E102,"Yes"))</f>
        <v/>
      </c>
    </row>
    <row r="103" spans="2:6">
      <c r="B103" s="814" t="s">
        <v>7934</v>
      </c>
      <c r="C103" s="815">
        <f>'供給(D)'!$B26</f>
        <v>0</v>
      </c>
      <c r="D103" s="816" t="str">
        <f>'供給(D)'!AD$26</f>
        <v/>
      </c>
      <c r="E103" s="815">
        <f>'供給(D)'!$AE$26</f>
        <v>0</v>
      </c>
      <c r="F103" s="820" t="str">
        <f>IF(E103=0,"",COUNTIF($E$2:$E103,"Yes"))</f>
        <v/>
      </c>
    </row>
    <row r="104" spans="2:6">
      <c r="B104" s="814" t="s">
        <v>7934</v>
      </c>
      <c r="C104" s="815">
        <f>'供給(D)'!$B27</f>
        <v>0</v>
      </c>
      <c r="D104" s="816" t="str">
        <f>'供給(D)'!AD27</f>
        <v/>
      </c>
      <c r="E104" s="815">
        <f>'供給(D)'!$AE27</f>
        <v>0</v>
      </c>
      <c r="F104" s="820" t="str">
        <f>IF(E104=0,"",COUNTIF($E$2:$E104,"Yes"))</f>
        <v/>
      </c>
    </row>
    <row r="105" spans="2:6">
      <c r="B105" s="814" t="s">
        <v>7934</v>
      </c>
      <c r="C105" s="815">
        <f>'供給(D)'!$B28</f>
        <v>0</v>
      </c>
      <c r="D105" s="816" t="str">
        <f>'供給(D)'!AD28</f>
        <v/>
      </c>
      <c r="E105" s="815">
        <f>'供給(D)'!$AE28</f>
        <v>0</v>
      </c>
      <c r="F105" s="820" t="str">
        <f>IF(E105=0,"",COUNTIF($E$2:$E105,"Yes"))</f>
        <v/>
      </c>
    </row>
    <row r="106" spans="2:6">
      <c r="B106" s="814" t="s">
        <v>7934</v>
      </c>
      <c r="C106" s="815">
        <f>'供給(D)'!$B29</f>
        <v>0</v>
      </c>
      <c r="D106" s="816" t="str">
        <f>'供給(D)'!AD29</f>
        <v/>
      </c>
      <c r="E106" s="815">
        <f>'供給(D)'!$AE29</f>
        <v>0</v>
      </c>
      <c r="F106" s="820" t="str">
        <f>IF(E106=0,"",COUNTIF($E$2:$E106,"Yes"))</f>
        <v/>
      </c>
    </row>
    <row r="107" spans="2:6">
      <c r="B107" s="814" t="s">
        <v>7934</v>
      </c>
      <c r="C107" s="815">
        <f>'供給(D)'!$B30</f>
        <v>0</v>
      </c>
      <c r="D107" s="816" t="str">
        <f>'供給(D)'!AD30</f>
        <v/>
      </c>
      <c r="E107" s="815">
        <f>'供給(D)'!$AE30</f>
        <v>0</v>
      </c>
      <c r="F107" s="820" t="str">
        <f>IF(E107=0,"",COUNTIF($E$2:$E107,"Yes"))</f>
        <v/>
      </c>
    </row>
    <row r="108" spans="2:6">
      <c r="B108" s="814" t="s">
        <v>7934</v>
      </c>
      <c r="C108" s="815">
        <f>'供給(D)'!$B31</f>
        <v>0</v>
      </c>
      <c r="D108" s="816" t="str">
        <f>'供給(D)'!AD31</f>
        <v/>
      </c>
      <c r="E108" s="815">
        <f>'供給(D)'!$AE31</f>
        <v>0</v>
      </c>
      <c r="F108" s="820" t="str">
        <f>IF(E108=0,"",COUNTIF($E$2:$E108,"Yes"))</f>
        <v/>
      </c>
    </row>
    <row r="109" spans="2:6">
      <c r="B109" s="814" t="s">
        <v>7934</v>
      </c>
      <c r="C109" s="815">
        <f>'供給(D)'!$B32</f>
        <v>0</v>
      </c>
      <c r="D109" s="816" t="str">
        <f>'供給(D)'!AD32</f>
        <v/>
      </c>
      <c r="E109" s="815">
        <f>'供給(D)'!$AE32</f>
        <v>0</v>
      </c>
      <c r="F109" s="820" t="str">
        <f>IF(E109=0,"",COUNTIF($E$2:$E109,"Yes"))</f>
        <v/>
      </c>
    </row>
    <row r="110" spans="2:6">
      <c r="B110" s="814" t="s">
        <v>7934</v>
      </c>
      <c r="C110" s="815" t="str">
        <f>'供給(D)'!$B39</f>
        <v>系統電力</v>
      </c>
      <c r="D110" s="816" t="str">
        <f>'供給(D)'!AD39</f>
        <v/>
      </c>
      <c r="E110" s="815">
        <f>'供給(D)'!$AE39</f>
        <v>0</v>
      </c>
      <c r="F110" s="820" t="str">
        <f>IF(E110=0,"",COUNTIF($E$2:$E110,"Yes"))</f>
        <v/>
      </c>
    </row>
    <row r="111" spans="2:6">
      <c r="B111" s="814" t="s">
        <v>7934</v>
      </c>
      <c r="C111" s="815" t="str">
        <f>'供給(D)'!$B40</f>
        <v>都市ガス</v>
      </c>
      <c r="D111" s="816" t="str">
        <f>'供給(D)'!AD40</f>
        <v/>
      </c>
      <c r="E111" s="815">
        <f>'供給(D)'!$AE40</f>
        <v>0</v>
      </c>
      <c r="F111" s="820" t="str">
        <f>IF(E111=0,"",COUNTIF($E$2:$E111,"Yes"))</f>
        <v/>
      </c>
    </row>
    <row r="112" spans="2:6">
      <c r="B112" s="814" t="s">
        <v>7934</v>
      </c>
      <c r="C112" s="815" t="str">
        <f>'供給(D)'!$B41</f>
        <v>一般炭</v>
      </c>
      <c r="D112" s="816" t="str">
        <f>'供給(D)'!AD41</f>
        <v/>
      </c>
      <c r="E112" s="815">
        <f>'供給(D)'!$AE41</f>
        <v>0</v>
      </c>
      <c r="F112" s="820" t="str">
        <f>IF(E112=0,"",COUNTIF($E$2:$E112,"Yes"))</f>
        <v/>
      </c>
    </row>
    <row r="113" spans="2:6">
      <c r="B113" s="814" t="s">
        <v>7934</v>
      </c>
      <c r="C113" s="815" t="str">
        <f>'供給(D)'!$B42</f>
        <v>LPG</v>
      </c>
      <c r="D113" s="816" t="str">
        <f>'供給(D)'!AD42</f>
        <v/>
      </c>
      <c r="E113" s="815">
        <f>'供給(D)'!$AE42</f>
        <v>0</v>
      </c>
      <c r="F113" s="820" t="str">
        <f>IF(E113=0,"",COUNTIF($E$2:$E113,"Yes"))</f>
        <v/>
      </c>
    </row>
    <row r="114" spans="2:6">
      <c r="B114" s="814" t="s">
        <v>7934</v>
      </c>
      <c r="C114" s="815" t="str">
        <f>'供給(D)'!$B43</f>
        <v>LNG</v>
      </c>
      <c r="D114" s="816" t="str">
        <f>'供給(D)'!AD43</f>
        <v/>
      </c>
      <c r="E114" s="815">
        <f>'供給(D)'!$AE43</f>
        <v>0</v>
      </c>
      <c r="F114" s="820" t="str">
        <f>IF(E114=0,"",COUNTIF($E$2:$E114,"Yes"))</f>
        <v/>
      </c>
    </row>
    <row r="115" spans="2:6">
      <c r="B115" s="814" t="s">
        <v>7934</v>
      </c>
      <c r="C115" s="815" t="str">
        <f>'供給(D)'!$B44</f>
        <v>灯油</v>
      </c>
      <c r="D115" s="816" t="str">
        <f>'供給(D)'!AD44</f>
        <v/>
      </c>
      <c r="E115" s="815">
        <f>'供給(D)'!$AE44</f>
        <v>0</v>
      </c>
      <c r="F115" s="820" t="str">
        <f>IF(E115=0,"",COUNTIF($E$2:$E115,"Yes"))</f>
        <v/>
      </c>
    </row>
    <row r="116" spans="2:6">
      <c r="B116" s="814" t="s">
        <v>7934</v>
      </c>
      <c r="C116" s="815" t="str">
        <f>'供給(D)'!$B45</f>
        <v>A重油</v>
      </c>
      <c r="D116" s="816" t="str">
        <f>'供給(D)'!AD45</f>
        <v/>
      </c>
      <c r="E116" s="815">
        <f>'供給(D)'!$AE45</f>
        <v>0</v>
      </c>
      <c r="F116" s="820" t="str">
        <f>IF(E116=0,"",COUNTIF($E$2:$E116,"Yes"))</f>
        <v/>
      </c>
    </row>
    <row r="117" spans="2:6">
      <c r="B117" s="814" t="s">
        <v>7934</v>
      </c>
      <c r="C117" s="815" t="str">
        <f>'供給(D)'!$B46</f>
        <v>C重油</v>
      </c>
      <c r="D117" s="816" t="str">
        <f>'供給(D)'!AD46</f>
        <v/>
      </c>
      <c r="E117" s="815">
        <f>'供給(D)'!$AE46</f>
        <v>0</v>
      </c>
      <c r="F117" s="820" t="str">
        <f>IF(E117=0,"",COUNTIF($E$2:$E117,"Yes"))</f>
        <v/>
      </c>
    </row>
    <row r="118" spans="2:6">
      <c r="B118" s="814" t="s">
        <v>7934</v>
      </c>
      <c r="C118" s="815" t="str">
        <f>'供給(D)'!$B47</f>
        <v>ガソリン</v>
      </c>
      <c r="D118" s="816" t="str">
        <f>'供給(D)'!AD47</f>
        <v/>
      </c>
      <c r="E118" s="815">
        <f>'供給(D)'!$AE47</f>
        <v>0</v>
      </c>
      <c r="F118" s="820" t="str">
        <f>IF(E118=0,"",COUNTIF($E$2:$E118,"Yes"))</f>
        <v/>
      </c>
    </row>
    <row r="119" spans="2:6">
      <c r="B119" s="814" t="s">
        <v>7934</v>
      </c>
      <c r="C119" s="815" t="str">
        <f>'供給(D)'!$B48</f>
        <v>軽油</v>
      </c>
      <c r="D119" s="816" t="str">
        <f>'供給(D)'!AD48</f>
        <v/>
      </c>
      <c r="E119" s="815">
        <f>'供給(D)'!$AE48</f>
        <v>0</v>
      </c>
      <c r="F119" s="820" t="str">
        <f>IF(E119=0,"",COUNTIF($E$2:$E119,"Yes"))</f>
        <v/>
      </c>
    </row>
    <row r="120" spans="2:6">
      <c r="B120" s="814" t="s">
        <v>7934</v>
      </c>
      <c r="C120" s="815" t="str">
        <f>'供給(D)'!$B49</f>
        <v>工業用水</v>
      </c>
      <c r="D120" s="816" t="str">
        <f>'供給(D)'!AD49</f>
        <v/>
      </c>
      <c r="E120" s="815">
        <f>'供給(D)'!$AE49</f>
        <v>0</v>
      </c>
      <c r="F120" s="820" t="str">
        <f>IF(E120=0,"",COUNTIF($E$2:$E120,"Yes"))</f>
        <v/>
      </c>
    </row>
    <row r="121" spans="2:6">
      <c r="B121" s="814" t="s">
        <v>7934</v>
      </c>
      <c r="C121" s="815">
        <f>'供給(D)'!$D50</f>
        <v>0</v>
      </c>
      <c r="D121" s="816" t="str">
        <f>'供給(D)'!AD50</f>
        <v/>
      </c>
      <c r="E121" s="815">
        <f>'供給(D)'!$AE50</f>
        <v>0</v>
      </c>
      <c r="F121" s="820" t="str">
        <f>IF(E121=0,"",COUNTIF($E$2:$E121,"Yes"))</f>
        <v/>
      </c>
    </row>
    <row r="122" spans="2:6">
      <c r="B122" s="814" t="s">
        <v>7934</v>
      </c>
      <c r="C122" s="815">
        <f>'供給(D)'!$D51</f>
        <v>0</v>
      </c>
      <c r="D122" s="816" t="str">
        <f>'供給(D)'!AD51</f>
        <v/>
      </c>
      <c r="E122" s="815">
        <f>'供給(D)'!$AE51</f>
        <v>0</v>
      </c>
      <c r="F122" s="820" t="str">
        <f>IF(E122=0,"",COUNTIF($E$2:$E122,"Yes"))</f>
        <v/>
      </c>
    </row>
    <row r="123" spans="2:6">
      <c r="B123" s="814" t="s">
        <v>7934</v>
      </c>
      <c r="C123" s="815">
        <f>'供給(D)'!$D52</f>
        <v>0</v>
      </c>
      <c r="D123" s="816" t="str">
        <f>'供給(D)'!AD52</f>
        <v/>
      </c>
      <c r="E123" s="815">
        <f>'供給(D)'!$AE52</f>
        <v>0</v>
      </c>
      <c r="F123" s="820" t="str">
        <f>IF(E123=0,"",COUNTIF($E$2:$E123,"Yes"))</f>
        <v/>
      </c>
    </row>
    <row r="124" spans="2:6">
      <c r="B124" s="814" t="s">
        <v>7934</v>
      </c>
      <c r="C124" s="815" t="str">
        <f>'供給(D)'!$B57</f>
        <v>風力発電陸上（1,000kW級）</v>
      </c>
      <c r="D124" s="816">
        <f>'供給(D)'!AD57</f>
        <v>1.5790078176130147E-3</v>
      </c>
      <c r="E124" s="815">
        <f>'供給(D)'!$AE57</f>
        <v>0</v>
      </c>
      <c r="F124" s="820" t="str">
        <f>IF(E124=0,"",COUNTIF($E$2:$E124,"Yes"))</f>
        <v/>
      </c>
    </row>
    <row r="125" spans="2:6">
      <c r="B125" s="814" t="s">
        <v>7934</v>
      </c>
      <c r="C125" s="815">
        <f>'供給(D)'!$B58</f>
        <v>0</v>
      </c>
      <c r="D125" s="816" t="str">
        <f>'供給(D)'!AD58</f>
        <v/>
      </c>
      <c r="E125" s="815">
        <f>'供給(D)'!$AE58</f>
        <v>0</v>
      </c>
      <c r="F125" s="820" t="str">
        <f>IF(E125=0,"",COUNTIF($E$2:$E125,"Yes"))</f>
        <v/>
      </c>
    </row>
    <row r="126" spans="2:6">
      <c r="B126" s="814" t="s">
        <v>7934</v>
      </c>
      <c r="C126" s="815">
        <f>'供給(D)'!$B59</f>
        <v>0</v>
      </c>
      <c r="D126" s="816" t="str">
        <f>'供給(D)'!AD59</f>
        <v/>
      </c>
      <c r="E126" s="815">
        <f>'供給(D)'!$AE59</f>
        <v>0</v>
      </c>
      <c r="F126" s="820" t="str">
        <f>IF(E126=0,"",COUNTIF($E$2:$E126,"Yes"))</f>
        <v/>
      </c>
    </row>
    <row r="127" spans="2:6">
      <c r="B127" s="814" t="s">
        <v>7934</v>
      </c>
      <c r="C127" s="815">
        <f>'供給(D)'!$B66</f>
        <v>0</v>
      </c>
      <c r="D127" s="816" t="str">
        <f>'供給(D)'!AD66</f>
        <v/>
      </c>
      <c r="E127" s="815">
        <f>'供給(D)'!$AE66</f>
        <v>0</v>
      </c>
      <c r="F127" s="820" t="str">
        <f>IF(E127=0,"",COUNTIF($E$2:$E127,"Yes"))</f>
        <v/>
      </c>
    </row>
    <row r="128" spans="2:6">
      <c r="B128" s="814" t="s">
        <v>7934</v>
      </c>
      <c r="C128" s="815">
        <f>'供給(D)'!$B67</f>
        <v>0</v>
      </c>
      <c r="D128" s="816" t="str">
        <f>'供給(D)'!AD67</f>
        <v/>
      </c>
      <c r="E128" s="815">
        <f>'供給(D)'!$AE67</f>
        <v>0</v>
      </c>
      <c r="F128" s="820" t="str">
        <f>IF(E128=0,"",COUNTIF($E$2:$E128,"Yes"))</f>
        <v/>
      </c>
    </row>
    <row r="129" spans="2:6">
      <c r="B129" s="814" t="s">
        <v>7934</v>
      </c>
      <c r="C129" s="815">
        <f>'供給(D)'!$B68</f>
        <v>0</v>
      </c>
      <c r="D129" s="816" t="str">
        <f>'供給(D)'!AD68</f>
        <v/>
      </c>
      <c r="E129" s="815">
        <f>'供給(D)'!$AE68</f>
        <v>0</v>
      </c>
      <c r="F129" s="820" t="str">
        <f>IF(E129=0,"",COUNTIF($E$2:$E129,"Yes"))</f>
        <v/>
      </c>
    </row>
    <row r="130" spans="2:6">
      <c r="B130" s="814" t="s">
        <v>7934</v>
      </c>
      <c r="C130" s="815">
        <f>'供給(D)'!$B69</f>
        <v>0</v>
      </c>
      <c r="D130" s="816" t="str">
        <f>'供給(D)'!AD69</f>
        <v/>
      </c>
      <c r="E130" s="815">
        <f>'供給(D)'!$AE69</f>
        <v>0</v>
      </c>
      <c r="F130" s="820" t="str">
        <f>IF(E130=0,"",COUNTIF($E$2:$E130,"Yes"))</f>
        <v/>
      </c>
    </row>
    <row r="131" spans="2:6">
      <c r="B131" s="814" t="s">
        <v>7934</v>
      </c>
      <c r="C131" s="815">
        <f>'供給(D)'!$B70</f>
        <v>0</v>
      </c>
      <c r="D131" s="816" t="str">
        <f>'供給(D)'!AD70</f>
        <v/>
      </c>
      <c r="E131" s="815">
        <f>'供給(D)'!$AE70</f>
        <v>0</v>
      </c>
      <c r="F131" s="820" t="str">
        <f>IF(E131=0,"",COUNTIF($E$2:$E131,"Yes"))</f>
        <v/>
      </c>
    </row>
    <row r="132" spans="2:6">
      <c r="B132" s="814" t="s">
        <v>7934</v>
      </c>
      <c r="C132" s="815" t="str">
        <f>'供給(D)'!$D77</f>
        <v>燃料法</v>
      </c>
      <c r="D132" s="816" t="str">
        <f>'供給(D)'!AD77</f>
        <v/>
      </c>
      <c r="E132" s="816">
        <f>'供給(D)'!$AE77</f>
        <v>0</v>
      </c>
      <c r="F132" s="820" t="str">
        <f>IF(E132=0,"",COUNTIF($E$2:$E132,"Yes"))</f>
        <v/>
      </c>
    </row>
    <row r="133" spans="2:6">
      <c r="B133" s="814" t="s">
        <v>7934</v>
      </c>
      <c r="C133" s="815" t="str">
        <f>'供給(D)'!$D79</f>
        <v>燃費法</v>
      </c>
      <c r="D133" s="816" t="str">
        <f>'供給(D)'!AD79</f>
        <v/>
      </c>
      <c r="E133" s="815">
        <f>'供給(D)'!$AE79</f>
        <v>0</v>
      </c>
      <c r="F133" s="820" t="str">
        <f>IF(E133=0,"",COUNTIF($E$2:$E133,"Yes"))</f>
        <v/>
      </c>
    </row>
    <row r="134" spans="2:6">
      <c r="B134" s="814" t="s">
        <v>7934</v>
      </c>
      <c r="C134" s="815" t="str">
        <f>'供給(D)'!$D83</f>
        <v>改良トンキロ法</v>
      </c>
      <c r="D134" s="816" t="str">
        <f>'供給(D)'!AD83</f>
        <v/>
      </c>
      <c r="E134" s="815">
        <f>'供給(D)'!$AE83</f>
        <v>0</v>
      </c>
      <c r="F134" s="820" t="str">
        <f>IF(E134=0,"",COUNTIF($E$2:$E134,"Yes"))</f>
        <v/>
      </c>
    </row>
    <row r="135" spans="2:6">
      <c r="B135" s="814" t="s">
        <v>7934</v>
      </c>
      <c r="C135" s="815" t="str">
        <f>'供給(D)'!$B94</f>
        <v>廃水</v>
      </c>
      <c r="D135" s="816" t="str">
        <f>'供給(D)'!AD94</f>
        <v/>
      </c>
      <c r="E135" s="815">
        <f>'供給(D)'!$AE94</f>
        <v>0</v>
      </c>
      <c r="F135" s="820" t="str">
        <f>IF(E135=0,"",COUNTIF($E$2:$E135,"Yes"))</f>
        <v/>
      </c>
    </row>
    <row r="136" spans="2:6">
      <c r="B136" s="814" t="s">
        <v>7934</v>
      </c>
      <c r="C136" s="815">
        <f>'供給(D)'!$D95</f>
        <v>0</v>
      </c>
      <c r="D136" s="816" t="str">
        <f>'供給(D)'!AD95</f>
        <v/>
      </c>
      <c r="E136" s="815">
        <f>'供給(D)'!$AE95</f>
        <v>0</v>
      </c>
      <c r="F136" s="820" t="str">
        <f>IF(E136=0,"",COUNTIF($E$2:$E136,"Yes"))</f>
        <v/>
      </c>
    </row>
    <row r="137" spans="2:6">
      <c r="B137" s="814" t="s">
        <v>7934</v>
      </c>
      <c r="C137" s="815">
        <f>'供給(D)'!$D96</f>
        <v>0</v>
      </c>
      <c r="D137" s="816" t="str">
        <f>'供給(D)'!AD96</f>
        <v/>
      </c>
      <c r="E137" s="815">
        <f>'供給(D)'!$AE96</f>
        <v>0</v>
      </c>
      <c r="F137" s="820" t="str">
        <f>IF(E137=0,"",COUNTIF($E$2:$E137,"Yes"))</f>
        <v/>
      </c>
    </row>
    <row r="138" spans="2:6">
      <c r="B138" s="814" t="s">
        <v>7934</v>
      </c>
      <c r="C138" s="815">
        <f>'供給(D)'!$D97</f>
        <v>0</v>
      </c>
      <c r="D138" s="816" t="str">
        <f>'供給(D)'!AD97</f>
        <v/>
      </c>
      <c r="E138" s="815">
        <f>'供給(D)'!$AE97</f>
        <v>0</v>
      </c>
      <c r="F138" s="820" t="str">
        <f>IF(E138=0,"",COUNTIF($E$2:$E138,"Yes"))</f>
        <v/>
      </c>
    </row>
    <row r="139" spans="2:6">
      <c r="B139" s="814" t="s">
        <v>7934</v>
      </c>
      <c r="C139" s="815" t="str">
        <f>'供給(D)'!$Q113</f>
        <v>蓄圧器</v>
      </c>
      <c r="D139" s="816">
        <f>'供給(D)'!AD113</f>
        <v>4.5122062537413521E-3</v>
      </c>
      <c r="E139" s="815">
        <f>'供給(D)'!$AE113</f>
        <v>0</v>
      </c>
      <c r="F139" s="820" t="str">
        <f>IF(E139=0,"",COUNTIF($E$2:$E139,"Yes"))</f>
        <v/>
      </c>
    </row>
    <row r="140" spans="2:6">
      <c r="B140" s="814" t="s">
        <v>7934</v>
      </c>
      <c r="C140" s="815" t="str">
        <f>'供給(D)'!$Q114</f>
        <v>プレクーラー</v>
      </c>
      <c r="D140" s="816">
        <f>'供給(D)'!AD114</f>
        <v>4.7824876512701214E-3</v>
      </c>
      <c r="E140" s="815">
        <f>'供給(D)'!$AE114</f>
        <v>0</v>
      </c>
      <c r="F140" s="820" t="str">
        <f>IF(E140=0,"",COUNTIF($E$2:$E140,"Yes"))</f>
        <v/>
      </c>
    </row>
    <row r="141" spans="2:6">
      <c r="B141" s="814" t="s">
        <v>7934</v>
      </c>
      <c r="C141" s="815" t="str">
        <f>'供給(D)'!$Q115</f>
        <v>ディスペンサ</v>
      </c>
      <c r="D141" s="816">
        <f>'供給(D)'!AD115</f>
        <v>4.5122062537413521E-3</v>
      </c>
      <c r="E141" s="815">
        <f>'供給(D)'!$AE115</f>
        <v>0</v>
      </c>
      <c r="F141" s="820" t="str">
        <f>IF(E141=0,"",COUNTIF($E$2:$E141,"Yes"))</f>
        <v/>
      </c>
    </row>
    <row r="142" spans="2:6">
      <c r="B142" s="814" t="s">
        <v>7934</v>
      </c>
      <c r="C142" s="815" t="str">
        <f>'供給(D)'!$Q116</f>
        <v>保安設備</v>
      </c>
      <c r="D142" s="816">
        <f>'供給(D)'!AD116</f>
        <v>8.0559785037341482E-3</v>
      </c>
      <c r="E142" s="815">
        <f>'供給(D)'!$AE116</f>
        <v>0</v>
      </c>
      <c r="F142" s="820" t="str">
        <f>IF(E142=0,"",COUNTIF($E$2:$E142,"Yes"))</f>
        <v/>
      </c>
    </row>
    <row r="143" spans="2:6">
      <c r="B143" s="814" t="s">
        <v>7934</v>
      </c>
      <c r="C143" s="815" t="str">
        <f>'供給(D)'!$Q117</f>
        <v/>
      </c>
      <c r="D143" s="816" t="str">
        <f>'供給(D)'!AD117</f>
        <v/>
      </c>
      <c r="E143" s="815">
        <f>'供給(D)'!$AE117</f>
        <v>0</v>
      </c>
      <c r="F143" s="820" t="str">
        <f>IF(E143=0,"",COUNTIF($E$2:$E143,"Yes"))</f>
        <v/>
      </c>
    </row>
    <row r="144" spans="2:6">
      <c r="B144" s="814" t="s">
        <v>7934</v>
      </c>
      <c r="C144" s="815" t="str">
        <f>'供給(D)'!$Q118</f>
        <v/>
      </c>
      <c r="D144" s="816" t="str">
        <f>'供給(D)'!AD118</f>
        <v/>
      </c>
      <c r="E144" s="815">
        <f>'供給(D)'!$AE118</f>
        <v>0</v>
      </c>
      <c r="F144" s="820" t="str">
        <f>IF(E144=0,"",COUNTIF($E$2:$E144,"Yes"))</f>
        <v/>
      </c>
    </row>
    <row r="145" spans="2:6">
      <c r="B145" s="814" t="s">
        <v>7934</v>
      </c>
      <c r="C145" s="815" t="str">
        <f>'供給(D)'!$Q119</f>
        <v/>
      </c>
      <c r="D145" s="816" t="str">
        <f>'供給(D)'!AD119</f>
        <v/>
      </c>
      <c r="E145" s="815">
        <f>'供給(D)'!$AE119</f>
        <v>0</v>
      </c>
      <c r="F145" s="820" t="str">
        <f>IF(E145=0,"",COUNTIF($E$2:$E145,"Yes"))</f>
        <v/>
      </c>
    </row>
    <row r="146" spans="2:6">
      <c r="B146" s="814" t="s">
        <v>7934</v>
      </c>
      <c r="C146" s="815" t="str">
        <f>'供給(D)'!$Q120</f>
        <v/>
      </c>
      <c r="D146" s="816" t="str">
        <f>'供給(D)'!AD120</f>
        <v/>
      </c>
      <c r="E146" s="815">
        <f>'供給(D)'!$AE120</f>
        <v>0</v>
      </c>
      <c r="F146" s="820" t="str">
        <f>IF(E146=0,"",COUNTIF($E$2:$E146,"Yes"))</f>
        <v/>
      </c>
    </row>
    <row r="147" spans="2:6">
      <c r="B147" s="814" t="s">
        <v>7934</v>
      </c>
      <c r="C147" s="815" t="str">
        <f>'供給(D)'!$Q121</f>
        <v/>
      </c>
      <c r="D147" s="816" t="str">
        <f>'供給(D)'!AD121</f>
        <v/>
      </c>
      <c r="E147" s="815">
        <f>'供給(D)'!$AE121</f>
        <v>0</v>
      </c>
      <c r="F147" s="820" t="str">
        <f>IF(E147=0,"",COUNTIF($E$2:$E147,"Yes"))</f>
        <v/>
      </c>
    </row>
    <row r="148" spans="2:6">
      <c r="B148" s="814" t="s">
        <v>7934</v>
      </c>
      <c r="C148" s="815" t="str">
        <f>'供給(D)'!$Q122</f>
        <v/>
      </c>
      <c r="D148" s="816" t="str">
        <f>'供給(D)'!AD122</f>
        <v/>
      </c>
      <c r="E148" s="815">
        <f>'供給(D)'!$AE122</f>
        <v>0</v>
      </c>
      <c r="F148" s="820" t="str">
        <f>IF(E148=0,"",COUNTIF($E$2:$E148,"Yes"))</f>
        <v/>
      </c>
    </row>
  </sheetData>
  <phoneticPr fontId="33"/>
  <conditionalFormatting sqref="B2:B50">
    <cfRule type="expression" dxfId="39" priority="132" stopIfTrue="1">
      <formula>#REF!="Ⅲ[再生可能エネルギー供給量]"</formula>
    </cfRule>
    <cfRule type="expression" dxfId="38" priority="133" stopIfTrue="1">
      <formula>#REF!="Ⅱ[エネルギー使用量差]"</formula>
    </cfRule>
  </conditionalFormatting>
  <conditionalFormatting sqref="B2:B50 B2:C2 C3:C11 D2:E11 C34:E36 D51:D60">
    <cfRule type="expression" dxfId="37" priority="61">
      <formula>#REF!="No"</formula>
    </cfRule>
  </conditionalFormatting>
  <conditionalFormatting sqref="C12:E25 E51:E60">
    <cfRule type="expression" dxfId="36" priority="34">
      <formula>#REF!="No"</formula>
    </cfRule>
  </conditionalFormatting>
  <conditionalFormatting sqref="C26:C33 D26:E28">
    <cfRule type="expression" dxfId="35" priority="33">
      <formula>#REF!="No"</formula>
    </cfRule>
  </conditionalFormatting>
  <conditionalFormatting sqref="D29:E33">
    <cfRule type="expression" dxfId="34" priority="32">
      <formula>#REF!="No"</formula>
    </cfRule>
  </conditionalFormatting>
  <conditionalFormatting sqref="C37:E40">
    <cfRule type="expression" dxfId="33" priority="30">
      <formula>#REF!="No"</formula>
    </cfRule>
  </conditionalFormatting>
  <conditionalFormatting sqref="C41:E50">
    <cfRule type="expression" dxfId="32" priority="29">
      <formula>#REF!="No"</formula>
    </cfRule>
  </conditionalFormatting>
  <conditionalFormatting sqref="B51:B99">
    <cfRule type="expression" dxfId="31" priority="27" stopIfTrue="1">
      <formula>#REF!="Ⅲ[再生可能エネルギー供給量]"</formula>
    </cfRule>
    <cfRule type="expression" dxfId="30" priority="28" stopIfTrue="1">
      <formula>#REF!="Ⅱ[エネルギー使用量差]"</formula>
    </cfRule>
  </conditionalFormatting>
  <conditionalFormatting sqref="C83:C85 C52:C60 B51:C51 B52:B99 E83:E85">
    <cfRule type="expression" dxfId="29" priority="26">
      <formula>#REF!="No"</formula>
    </cfRule>
  </conditionalFormatting>
  <conditionalFormatting sqref="C61:C74 E61:E74">
    <cfRule type="expression" dxfId="28" priority="25">
      <formula>#REF!="No"</formula>
    </cfRule>
  </conditionalFormatting>
  <conditionalFormatting sqref="C75:C82 E75:E77">
    <cfRule type="expression" dxfId="27" priority="24">
      <formula>#REF!="No"</formula>
    </cfRule>
  </conditionalFormatting>
  <conditionalFormatting sqref="E78:E82">
    <cfRule type="expression" dxfId="26" priority="23">
      <formula>#REF!="No"</formula>
    </cfRule>
  </conditionalFormatting>
  <conditionalFormatting sqref="C86:C89 E86:E89">
    <cfRule type="expression" dxfId="25" priority="22">
      <formula>#REF!="No"</formula>
    </cfRule>
  </conditionalFormatting>
  <conditionalFormatting sqref="C90:C99 E90:E99">
    <cfRule type="expression" dxfId="24" priority="21">
      <formula>#REF!="No"</formula>
    </cfRule>
  </conditionalFormatting>
  <conditionalFormatting sqref="B100:B148">
    <cfRule type="expression" dxfId="23" priority="19" stopIfTrue="1">
      <formula>#REF!="Ⅲ[再生可能エネルギー供給量]"</formula>
    </cfRule>
    <cfRule type="expression" dxfId="22" priority="20" stopIfTrue="1">
      <formula>#REF!="Ⅱ[エネルギー使用量差]"</formula>
    </cfRule>
  </conditionalFormatting>
  <conditionalFormatting sqref="C132:C134 C101:C109 B100:C100 B101:B148 E100:E109 E132:E134">
    <cfRule type="expression" dxfId="21" priority="18">
      <formula>#REF!="No"</formula>
    </cfRule>
  </conditionalFormatting>
  <conditionalFormatting sqref="C110:C123 E110:E123">
    <cfRule type="expression" dxfId="20" priority="17">
      <formula>#REF!="No"</formula>
    </cfRule>
  </conditionalFormatting>
  <conditionalFormatting sqref="C124:C131 E124:E126">
    <cfRule type="expression" dxfId="19" priority="16">
      <formula>#REF!="No"</formula>
    </cfRule>
  </conditionalFormatting>
  <conditionalFormatting sqref="E127:E131">
    <cfRule type="expression" dxfId="18" priority="15">
      <formula>#REF!="No"</formula>
    </cfRule>
  </conditionalFormatting>
  <conditionalFormatting sqref="C135:C138 E135:E138">
    <cfRule type="expression" dxfId="17" priority="14">
      <formula>#REF!="No"</formula>
    </cfRule>
  </conditionalFormatting>
  <conditionalFormatting sqref="C139:C148 E139:E148">
    <cfRule type="expression" dxfId="16" priority="13">
      <formula>#REF!="No"</formula>
    </cfRule>
  </conditionalFormatting>
  <conditionalFormatting sqref="D83:D85">
    <cfRule type="expression" dxfId="15" priority="12">
      <formula>#REF!="No"</formula>
    </cfRule>
  </conditionalFormatting>
  <conditionalFormatting sqref="D61:D74">
    <cfRule type="expression" dxfId="14" priority="11">
      <formula>#REF!="No"</formula>
    </cfRule>
  </conditionalFormatting>
  <conditionalFormatting sqref="D75:D77">
    <cfRule type="expression" dxfId="13" priority="10">
      <formula>#REF!="No"</formula>
    </cfRule>
  </conditionalFormatting>
  <conditionalFormatting sqref="D78:D82">
    <cfRule type="expression" dxfId="12" priority="9">
      <formula>#REF!="No"</formula>
    </cfRule>
  </conditionalFormatting>
  <conditionalFormatting sqref="D86:D89">
    <cfRule type="expression" dxfId="11" priority="8">
      <formula>#REF!="No"</formula>
    </cfRule>
  </conditionalFormatting>
  <conditionalFormatting sqref="D90:D99">
    <cfRule type="expression" dxfId="10" priority="7">
      <formula>#REF!="No"</formula>
    </cfRule>
  </conditionalFormatting>
  <conditionalFormatting sqref="D100:D109 D132:D134">
    <cfRule type="expression" dxfId="9" priority="6">
      <formula>#REF!="No"</formula>
    </cfRule>
  </conditionalFormatting>
  <conditionalFormatting sqref="D110:D123">
    <cfRule type="expression" dxfId="8" priority="5">
      <formula>#REF!="No"</formula>
    </cfRule>
  </conditionalFormatting>
  <conditionalFormatting sqref="D124:D126">
    <cfRule type="expression" dxfId="7" priority="4">
      <formula>#REF!="No"</formula>
    </cfRule>
  </conditionalFormatting>
  <conditionalFormatting sqref="D127:D131">
    <cfRule type="expression" dxfId="6" priority="3">
      <formula>#REF!="No"</formula>
    </cfRule>
  </conditionalFormatting>
  <conditionalFormatting sqref="D135:D138">
    <cfRule type="expression" dxfId="5" priority="2">
      <formula>#REF!="No"</formula>
    </cfRule>
  </conditionalFormatting>
  <conditionalFormatting sqref="D139:D148">
    <cfRule type="expression" dxfId="4" priority="1">
      <formula>#REF!="No"</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zoomScale="130" zoomScaleNormal="100" zoomScaleSheetLayoutView="130" workbookViewId="0">
      <selection sqref="A1:B1"/>
    </sheetView>
  </sheetViews>
  <sheetFormatPr defaultRowHeight="13.8"/>
  <cols>
    <col min="1" max="1" width="13.19921875" style="801" bestFit="1" customWidth="1"/>
    <col min="2" max="2" width="12.3984375" bestFit="1" customWidth="1"/>
    <col min="3" max="3" width="14.09765625" bestFit="1" customWidth="1"/>
    <col min="4" max="4" width="6.8984375" bestFit="1" customWidth="1"/>
  </cols>
  <sheetData>
    <row r="1" spans="1:4" s="801" customFormat="1" ht="15.6" thickTop="1" thickBot="1">
      <c r="A1" s="1080" t="s">
        <v>7950</v>
      </c>
      <c r="B1" s="1081"/>
    </row>
    <row r="2" spans="1:4" s="801" customFormat="1" ht="14.4" thickTop="1"/>
    <row r="3" spans="1:4">
      <c r="A3" s="839" t="s">
        <v>7951</v>
      </c>
      <c r="B3" s="839" t="s">
        <v>7929</v>
      </c>
      <c r="C3" s="840" t="s">
        <v>7930</v>
      </c>
      <c r="D3" s="839" t="s">
        <v>7931</v>
      </c>
    </row>
    <row r="4" spans="1:4">
      <c r="A4" s="813">
        <v>1</v>
      </c>
      <c r="B4" s="841" t="s">
        <v>7942</v>
      </c>
      <c r="C4" s="842">
        <v>0.217</v>
      </c>
      <c r="D4" s="842" t="s">
        <v>224</v>
      </c>
    </row>
    <row r="5" spans="1:4">
      <c r="A5" s="813">
        <v>2</v>
      </c>
      <c r="B5" s="841"/>
      <c r="C5" s="842"/>
      <c r="D5" s="841"/>
    </row>
    <row r="6" spans="1:4">
      <c r="A6" s="813">
        <v>3</v>
      </c>
      <c r="B6" s="841"/>
      <c r="C6" s="842"/>
      <c r="D6" s="841"/>
    </row>
    <row r="7" spans="1:4">
      <c r="A7" s="813">
        <v>4</v>
      </c>
      <c r="B7" s="842"/>
      <c r="C7" s="842"/>
      <c r="D7" s="842"/>
    </row>
    <row r="8" spans="1:4">
      <c r="A8" s="813">
        <v>5</v>
      </c>
      <c r="B8" s="842"/>
      <c r="C8" s="842"/>
      <c r="D8" s="842"/>
    </row>
    <row r="9" spans="1:4">
      <c r="A9" s="813">
        <v>6</v>
      </c>
      <c r="B9" s="842"/>
      <c r="C9" s="842"/>
      <c r="D9" s="842"/>
    </row>
    <row r="10" spans="1:4">
      <c r="A10" s="813">
        <v>7</v>
      </c>
      <c r="B10" s="842"/>
      <c r="C10" s="842"/>
      <c r="D10" s="842"/>
    </row>
    <row r="11" spans="1:4">
      <c r="A11" s="813">
        <v>8</v>
      </c>
      <c r="B11" s="842"/>
      <c r="C11" s="842"/>
      <c r="D11" s="842"/>
    </row>
    <row r="12" spans="1:4">
      <c r="A12" s="813">
        <v>9</v>
      </c>
      <c r="B12" s="842"/>
      <c r="C12" s="842"/>
      <c r="D12" s="842"/>
    </row>
    <row r="13" spans="1:4">
      <c r="A13" s="813">
        <v>10</v>
      </c>
      <c r="B13" s="842"/>
      <c r="C13" s="842"/>
      <c r="D13" s="842"/>
    </row>
  </sheetData>
  <mergeCells count="1">
    <mergeCell ref="A1:B1"/>
  </mergeCells>
  <phoneticPr fontId="3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F50"/>
  <sheetViews>
    <sheetView view="pageBreakPreview" zoomScale="60" zoomScaleNormal="70" workbookViewId="0">
      <selection activeCell="B25" sqref="B25"/>
    </sheetView>
  </sheetViews>
  <sheetFormatPr defaultColWidth="9" defaultRowHeight="13.8"/>
  <cols>
    <col min="1" max="1" width="9.69921875" style="531" bestFit="1" customWidth="1"/>
    <col min="2" max="2" width="39.3984375" style="531" bestFit="1" customWidth="1"/>
    <col min="3" max="3" width="10.5" style="531" bestFit="1" customWidth="1"/>
    <col min="4" max="4" width="39.3984375" style="531" bestFit="1" customWidth="1"/>
    <col min="5" max="5" width="5.19921875" style="531" bestFit="1" customWidth="1"/>
    <col min="6" max="6" width="16.09765625" style="531" bestFit="1" customWidth="1"/>
    <col min="7" max="16384" width="9" style="531"/>
  </cols>
  <sheetData>
    <row r="1" spans="1:6">
      <c r="A1" s="529" t="s">
        <v>7441</v>
      </c>
      <c r="B1" s="529" t="s">
        <v>7724</v>
      </c>
      <c r="C1" s="529" t="s">
        <v>7442</v>
      </c>
      <c r="D1" s="529" t="s">
        <v>7725</v>
      </c>
      <c r="E1" s="529" t="s">
        <v>7726</v>
      </c>
      <c r="F1" s="530" t="s">
        <v>7458</v>
      </c>
    </row>
    <row r="2" spans="1:6">
      <c r="A2" s="529" t="str">
        <f>IF(補助ﾘｽﾄ!A11="","",補助ﾘｽﾄ!A11)</f>
        <v>GLIO</v>
      </c>
      <c r="B2" s="529" t="str">
        <f>IF(補助ﾘｽﾄ!B11="","",補助ﾘｽﾄ!B11)</f>
        <v>苛性ソーダプラント</v>
      </c>
      <c r="C2" s="532">
        <f>IF(補助ﾘｽﾄ!C11="","",補助ﾘｽﾄ!C11)</f>
        <v>302201</v>
      </c>
      <c r="D2" s="529" t="str">
        <f>IF(補助ﾘｽﾄ!D11="","",補助ﾘｽﾄ!D11)</f>
        <v>化学機械</v>
      </c>
      <c r="E2" s="533" t="str">
        <f>IF(C2="","",IF($A2="IDEAv2",VLOOKUP($C2,IDEAv2原単位!$A$3:$F$4021,5,FALSE),"千円"))</f>
        <v>千円</v>
      </c>
      <c r="F2" s="533">
        <f>IF(C2="", "", IF($A2="IDEAv2",VLOOKUP($C2,IDEAv2原単位!$A$3:$F$4021,6,FALSE),VLOOKUP(IDEAGLIO補助ﾘｽﾄ!$C2,GLIO!$B$5:$E$407,4,FALSE)))</f>
        <v>3.2924022553989398</v>
      </c>
    </row>
    <row r="3" spans="1:6">
      <c r="A3" s="529" t="str">
        <f>IF(補助ﾘｽﾄ!A12="","",補助ﾘｽﾄ!A12)</f>
        <v>GLIO</v>
      </c>
      <c r="B3" s="529" t="str">
        <f>IF(補助ﾘｽﾄ!B12="","",補助ﾘｽﾄ!B12)</f>
        <v>液化設備</v>
      </c>
      <c r="C3" s="532">
        <f>IF(補助ﾘｽﾄ!C12="","",補助ﾘｽﾄ!C12)</f>
        <v>301901</v>
      </c>
      <c r="D3" s="529" t="str">
        <f>IF(補助ﾘｽﾄ!D12="","",補助ﾘｽﾄ!D12)</f>
        <v>ポンプ及び圧縮機</v>
      </c>
      <c r="E3" s="533" t="str">
        <f>IF(C3="","",IF($A3="IDEAv2",VLOOKUP($C3,IDEAv2原単位!$A$3:$F$4021,5,FALSE),"千円"))</f>
        <v>千円</v>
      </c>
      <c r="F3" s="533">
        <f>IF(C3="", "", IF($A3="IDEAv2",VLOOKUP($C3,IDEAv2原単位!$A$3:$F$4021,6,FALSE),VLOOKUP(IDEAGLIO補助ﾘｽﾄ!$C3,GLIO!$B$5:$E$407,4,FALSE)))</f>
        <v>4.3654422510986031</v>
      </c>
    </row>
    <row r="4" spans="1:6">
      <c r="A4" s="529" t="str">
        <f>IF(補助ﾘｽﾄ!A13="","",補助ﾘｽﾄ!A13)</f>
        <v>GLIO</v>
      </c>
      <c r="B4" s="529" t="str">
        <f>IF(補助ﾘｽﾄ!B13="","",補助ﾘｽﾄ!B13)</f>
        <v>液化ローリー</v>
      </c>
      <c r="C4" s="532">
        <f>IF(補助ﾘｽﾄ!C13="","",補助ﾘｽﾄ!C13)</f>
        <v>362909</v>
      </c>
      <c r="D4" s="529" t="str">
        <f>IF(補助ﾘｽﾄ!D13="","",補助ﾘｽﾄ!D13)</f>
        <v>その他の輸送機械</v>
      </c>
      <c r="E4" s="533" t="str">
        <f>IF(C4="","",IF($A4="IDEAv2",VLOOKUP($C4,IDEAv2原単位!$A$3:$F$4021,5,FALSE),"千円"))</f>
        <v>千円</v>
      </c>
      <c r="F4" s="533">
        <f>IF(C4="", "", IF($A4="IDEAv2",VLOOKUP($C4,IDEAv2原単位!$A$3:$F$4021,6,FALSE),VLOOKUP(IDEAGLIO補助ﾘｽﾄ!$C4,GLIO!$B$5:$E$407,4,FALSE)))</f>
        <v>4.6015703058763222</v>
      </c>
    </row>
    <row r="5" spans="1:6">
      <c r="A5" s="529" t="str">
        <f>IF(補助ﾘｽﾄ!A14="","",補助ﾘｽﾄ!A14)</f>
        <v>GLIO</v>
      </c>
      <c r="B5" s="529" t="str">
        <f>IF(補助ﾘｽﾄ!B14="","",補助ﾘｽﾄ!B14)</f>
        <v>液化貯蔵</v>
      </c>
      <c r="C5" s="532">
        <f>IF(補助ﾘｽﾄ!C14="","",補助ﾘｽﾄ!C14)</f>
        <v>362909</v>
      </c>
      <c r="D5" s="529" t="str">
        <f>IF(補助ﾘｽﾄ!D14="","",補助ﾘｽﾄ!D14)</f>
        <v>その他の輸送機械</v>
      </c>
      <c r="E5" s="533" t="str">
        <f>IF(C5="","",IF($A5="IDEAv2",VLOOKUP($C5,IDEAv2原単位!$A$3:$F$4021,5,FALSE),"千円"))</f>
        <v>千円</v>
      </c>
      <c r="F5" s="533">
        <f>IF(C5="", "", IF($A5="IDEAv2",VLOOKUP($C5,IDEAv2原単位!$A$3:$F$4021,6,FALSE),VLOOKUP(IDEAGLIO補助ﾘｽﾄ!$C5,GLIO!$B$5:$E$407,4,FALSE)))</f>
        <v>4.6015703058763222</v>
      </c>
    </row>
    <row r="6" spans="1:6">
      <c r="A6" s="529" t="str">
        <f>IF(補助ﾘｽﾄ!A15="","",補助ﾘｽﾄ!A15)</f>
        <v>GLIO</v>
      </c>
      <c r="B6" s="529" t="str">
        <f>IF(補助ﾘｽﾄ!B15="","",補助ﾘｽﾄ!B15)</f>
        <v>水素圧縮機</v>
      </c>
      <c r="C6" s="532">
        <f>IF(補助ﾘｽﾄ!C15="","",補助ﾘｽﾄ!C15)</f>
        <v>301901</v>
      </c>
      <c r="D6" s="529" t="str">
        <f>IF(補助ﾘｽﾄ!D15="","",補助ﾘｽﾄ!D15)</f>
        <v>ポンプ及び圧縮機</v>
      </c>
      <c r="E6" s="533" t="str">
        <f>IF(C6="","",IF($A6="IDEAv2",VLOOKUP($C6,IDEAv2原単位!$A$3:$F$4021,5,FALSE),"千円"))</f>
        <v>千円</v>
      </c>
      <c r="F6" s="533">
        <f>IF(C6="", "", IF($A6="IDEAv2",VLOOKUP($C6,IDEAv2原単位!$A$3:$F$4021,6,FALSE),VLOOKUP(IDEAGLIO補助ﾘｽﾄ!$C6,GLIO!$B$5:$E$407,4,FALSE)))</f>
        <v>4.3654422510986031</v>
      </c>
    </row>
    <row r="7" spans="1:6">
      <c r="A7" s="529" t="str">
        <f>IF(補助ﾘｽﾄ!A16="","",補助ﾘｽﾄ!A16)</f>
        <v>GLIO</v>
      </c>
      <c r="B7" s="529" t="str">
        <f>IF(補助ﾘｽﾄ!B16="","",補助ﾘｽﾄ!B16)</f>
        <v>蓄圧器</v>
      </c>
      <c r="C7" s="532">
        <f>IF(補助ﾘｽﾄ!C16="","",補助ﾘｽﾄ!C16)</f>
        <v>362909</v>
      </c>
      <c r="D7" s="529" t="str">
        <f>IF(補助ﾘｽﾄ!D16="","",補助ﾘｽﾄ!D16)</f>
        <v>その他の輸送機械</v>
      </c>
      <c r="E7" s="533" t="str">
        <f>IF(C7="","",IF($A7="IDEAv2",VLOOKUP($C7,IDEAv2原単位!$A$3:$F$4021,5,FALSE),"千円"))</f>
        <v>千円</v>
      </c>
      <c r="F7" s="533">
        <f>IF(C7="", "", IF($A7="IDEAv2",VLOOKUP($C7,IDEAv2原単位!$A$3:$F$4021,6,FALSE),VLOOKUP(IDEAGLIO補助ﾘｽﾄ!$C7,GLIO!$B$5:$E$407,4,FALSE)))</f>
        <v>4.6015703058763222</v>
      </c>
    </row>
    <row r="8" spans="1:6">
      <c r="A8" s="529" t="str">
        <f>IF(補助ﾘｽﾄ!A17="","",補助ﾘｽﾄ!A17)</f>
        <v>GLIO</v>
      </c>
      <c r="B8" s="529" t="str">
        <f>IF(補助ﾘｽﾄ!B17="","",補助ﾘｽﾄ!B17)</f>
        <v>プレクーラー</v>
      </c>
      <c r="C8" s="532">
        <f>IF(補助ﾘｽﾄ!C17="","",補助ﾘｽﾄ!C17)</f>
        <v>301301</v>
      </c>
      <c r="D8" s="529" t="str">
        <f>IF(補助ﾘｽﾄ!D17="","",補助ﾘｽﾄ!D17)</f>
        <v>冷凍機・温湿調整装置</v>
      </c>
      <c r="E8" s="533" t="str">
        <f>IF(C8="","",IF($A8="IDEAv2",VLOOKUP($C8,IDEAv2原単位!$A$3:$F$4021,5,FALSE),"千円"))</f>
        <v>千円</v>
      </c>
      <c r="F8" s="533">
        <f>IF(C8="", "", IF($A8="IDEAv2",VLOOKUP($C8,IDEAv2原単位!$A$3:$F$4021,6,FALSE),VLOOKUP(IDEAGLIO補助ﾘｽﾄ!$C8,GLIO!$B$5:$E$407,4,FALSE)))</f>
        <v>6.502939486585583</v>
      </c>
    </row>
    <row r="9" spans="1:6">
      <c r="A9" s="529" t="str">
        <f>IF(補助ﾘｽﾄ!A18="","",補助ﾘｽﾄ!A18)</f>
        <v>GLIO</v>
      </c>
      <c r="B9" s="529" t="str">
        <f>IF(補助ﾘｽﾄ!B18="","",補助ﾘｽﾄ!B18)</f>
        <v>ディスペンサ</v>
      </c>
      <c r="C9" s="532">
        <f>IF(補助ﾘｽﾄ!C18="","",補助ﾘｽﾄ!C18)</f>
        <v>362909</v>
      </c>
      <c r="D9" s="529" t="str">
        <f>IF(補助ﾘｽﾄ!D18="","",補助ﾘｽﾄ!D18)</f>
        <v>その他の輸送機械</v>
      </c>
      <c r="E9" s="533" t="str">
        <f>IF(C9="","",IF($A9="IDEAv2",VLOOKUP($C9,IDEAv2原単位!$A$3:$F$4021,5,FALSE),"千円"))</f>
        <v>千円</v>
      </c>
      <c r="F9" s="533">
        <f>IF(C9="", "", IF($A9="IDEAv2",VLOOKUP($C9,IDEAv2原単位!$A$3:$F$4021,6,FALSE),VLOOKUP(IDEAGLIO補助ﾘｽﾄ!$C9,GLIO!$B$5:$E$407,4,FALSE)))</f>
        <v>4.6015703058763222</v>
      </c>
    </row>
    <row r="10" spans="1:6">
      <c r="A10" s="529" t="str">
        <f>IF(補助ﾘｽﾄ!A19="","",補助ﾘｽﾄ!A19)</f>
        <v>GLIO</v>
      </c>
      <c r="B10" s="529" t="str">
        <f>IF(補助ﾘｽﾄ!B19="","",補助ﾘｽﾄ!B19)</f>
        <v>保安設備</v>
      </c>
      <c r="C10" s="532">
        <f>IF(補助ﾘｽﾄ!C19="","",補助ﾘｽﾄ!C19)</f>
        <v>321103</v>
      </c>
      <c r="D10" s="529" t="str">
        <f>IF(補助ﾘｽﾄ!D19="","",補助ﾘｽﾄ!D19)</f>
        <v>開閉制御装置及び配電盤</v>
      </c>
      <c r="E10" s="533" t="str">
        <f>IF(C10="","",IF($A10="IDEAv2",VLOOKUP($C10,IDEAv2原単位!$A$3:$F$4021,5,FALSE),"千円"))</f>
        <v>千円</v>
      </c>
      <c r="F10" s="533">
        <f>IF(C10="", "", IF($A10="IDEAv2",VLOOKUP($C10,IDEAv2原単位!$A$3:$F$4021,6,FALSE),VLOOKUP(IDEAGLIO補助ﾘｽﾄ!$C10,GLIO!$B$5:$E$407,4,FALSE)))</f>
        <v>4.1077634069612667</v>
      </c>
    </row>
    <row r="11" spans="1:6">
      <c r="A11" s="529" t="str">
        <f>IF(補助ﾘｽﾄ!A20="","",補助ﾘｽﾄ!A20)</f>
        <v>GLIO</v>
      </c>
      <c r="B11" s="529" t="str">
        <f>IF(補助ﾘｽﾄ!B20="","",補助ﾘｽﾄ!B20)</f>
        <v>受変電・電気設備</v>
      </c>
      <c r="C11" s="532">
        <f>IF(補助ﾘｽﾄ!C20="","",補助ﾘｽﾄ!C20)</f>
        <v>321102</v>
      </c>
      <c r="D11" s="529" t="str">
        <f>IF(補助ﾘｽﾄ!D20="","",補助ﾘｽﾄ!D20)</f>
        <v>変圧器・変成器</v>
      </c>
      <c r="E11" s="533" t="str">
        <f>IF(C11="","",IF($A11="IDEAv2",VLOOKUP($C11,IDEAv2原単位!$A$3:$F$4021,5,FALSE),"千円"))</f>
        <v>千円</v>
      </c>
      <c r="F11" s="533">
        <f>IF(C11="", "", IF($A11="IDEAv2",VLOOKUP($C11,IDEAv2原単位!$A$3:$F$4021,6,FALSE),VLOOKUP(IDEAGLIO補助ﾘｽﾄ!$C11,GLIO!$B$5:$E$407,4,FALSE)))</f>
        <v>4.7600267559453417</v>
      </c>
    </row>
    <row r="12" spans="1:6">
      <c r="A12" s="529" t="str">
        <f>IF(補助ﾘｽﾄ!A21="","",補助ﾘｽﾄ!A21)</f>
        <v>GLIO</v>
      </c>
      <c r="B12" s="529" t="str">
        <f>IF(補助ﾘｽﾄ!B21="","",補助ﾘｽﾄ!B21)</f>
        <v>蓄電システム</v>
      </c>
      <c r="C12" s="532">
        <f>IF(補助ﾘｽﾄ!C21="","",補助ﾘｽﾄ!C21)</f>
        <v>321109</v>
      </c>
      <c r="D12" s="529" t="str">
        <f>IF(補助ﾘｽﾄ!D21="","",補助ﾘｽﾄ!D21)</f>
        <v>その他の産業用電気機器</v>
      </c>
      <c r="E12" s="533" t="str">
        <f>IF(C12="","",IF($A12="IDEAv2",VLOOKUP($C12,IDEAv2原単位!$A$3:$F$4021,5,FALSE),"千円"))</f>
        <v>千円</v>
      </c>
      <c r="F12" s="533">
        <f>IF(C12="", "", IF($A12="IDEAv2",VLOOKUP($C12,IDEAv2原単位!$A$3:$F$4021,6,FALSE),VLOOKUP(IDEAGLIO補助ﾘｽﾄ!$C12,GLIO!$B$5:$E$407,4,FALSE)))</f>
        <v>3.6686212407996615</v>
      </c>
    </row>
    <row r="13" spans="1:6">
      <c r="A13" s="529" t="str">
        <f>IF(補助ﾘｽﾄ!A22="","",補助ﾘｽﾄ!A22)</f>
        <v>GLIO</v>
      </c>
      <c r="B13" s="529" t="str">
        <f>IF(補助ﾘｽﾄ!B22="","",補助ﾘｽﾄ!B22)</f>
        <v>水電解装置</v>
      </c>
      <c r="C13" s="532">
        <f>IF(補助ﾘｽﾄ!C22="","",補助ﾘｽﾄ!C22)</f>
        <v>321109</v>
      </c>
      <c r="D13" s="529" t="str">
        <f>IF(補助ﾘｽﾄ!D22="","",補助ﾘｽﾄ!D22)</f>
        <v>その他の産業用電気機器</v>
      </c>
      <c r="E13" s="533" t="str">
        <f>IF(C13="","",IF($A13="IDEAv2",VLOOKUP($C13,IDEAv2原単位!$A$3:$F$4021,5,FALSE),"千円"))</f>
        <v>千円</v>
      </c>
      <c r="F13" s="533">
        <f>IF(C13="", "", IF($A13="IDEAv2",VLOOKUP($C13,IDEAv2原単位!$A$3:$F$4021,6,FALSE),VLOOKUP(IDEAGLIO補助ﾘｽﾄ!$C13,GLIO!$B$5:$E$407,4,FALSE)))</f>
        <v>3.6686212407996615</v>
      </c>
    </row>
    <row r="14" spans="1:6">
      <c r="A14" s="529" t="str">
        <f>IF(補助ﾘｽﾄ!A23="","",補助ﾘｽﾄ!A23)</f>
        <v>GLIO</v>
      </c>
      <c r="B14" s="529" t="str">
        <f>IF(補助ﾘｽﾄ!B23="","",補助ﾘｽﾄ!B23)</f>
        <v>水素貯蔵タンク</v>
      </c>
      <c r="C14" s="532">
        <f>IF(補助ﾘｽﾄ!C23="","",補助ﾘｽﾄ!C23)</f>
        <v>362909</v>
      </c>
      <c r="D14" s="529" t="str">
        <f>IF(補助ﾘｽﾄ!D23="","",補助ﾘｽﾄ!D23)</f>
        <v>その他の輸送機械</v>
      </c>
      <c r="E14" s="533" t="str">
        <f>IF(C14="","",IF($A14="IDEAv2",VLOOKUP($C14,IDEAv2原単位!$A$3:$F$4021,5,FALSE),"千円"))</f>
        <v>千円</v>
      </c>
      <c r="F14" s="533">
        <f>IF(C14="", "", IF($A14="IDEAv2",VLOOKUP($C14,IDEAv2原単位!$A$3:$F$4021,6,FALSE),VLOOKUP(IDEAGLIO補助ﾘｽﾄ!$C14,GLIO!$B$5:$E$407,4,FALSE)))</f>
        <v>4.6015703058763222</v>
      </c>
    </row>
    <row r="15" spans="1:6">
      <c r="A15" s="529" t="str">
        <f>IF(補助ﾘｽﾄ!A24="","",補助ﾘｽﾄ!A24)</f>
        <v>GLIO</v>
      </c>
      <c r="B15" s="529" t="str">
        <f>IF(補助ﾘｽﾄ!B24="","",補助ﾘｽﾄ!B24)</f>
        <v>バイオガス精製装置</v>
      </c>
      <c r="C15" s="532">
        <f>IF(補助ﾘｽﾄ!C24="","",補助ﾘｽﾄ!C24)</f>
        <v>301909</v>
      </c>
      <c r="D15" s="529" t="str">
        <f>IF(補助ﾘｽﾄ!D24="","",補助ﾘｽﾄ!D24)</f>
        <v>その他の一般産業機械及び装置</v>
      </c>
      <c r="E15" s="533" t="str">
        <f>IF(C15="","",IF($A15="IDEAv2",VLOOKUP($C15,IDEAv2原単位!$A$3:$F$4021,5,FALSE),"千円"))</f>
        <v>千円</v>
      </c>
      <c r="F15" s="533">
        <f>IF(C15="", "", IF($A15="IDEAv2",VLOOKUP($C15,IDEAv2原単位!$A$3:$F$4021,6,FALSE),VLOOKUP(IDEAGLIO補助ﾘｽﾄ!$C15,GLIO!$B$5:$E$407,4,FALSE)))</f>
        <v>4.371263249062336</v>
      </c>
    </row>
    <row r="16" spans="1:6">
      <c r="A16" s="529" t="str">
        <f>IF(補助ﾘｽﾄ!A25="","",補助ﾘｽﾄ!A25)</f>
        <v>GLIO</v>
      </c>
      <c r="B16" s="529" t="str">
        <f>IF(補助ﾘｽﾄ!B25="","",補助ﾘｽﾄ!B25)</f>
        <v>改質器</v>
      </c>
      <c r="C16" s="532">
        <f>IF(補助ﾘｽﾄ!C25="","",補助ﾘｽﾄ!C25)</f>
        <v>301909</v>
      </c>
      <c r="D16" s="529" t="str">
        <f>IF(補助ﾘｽﾄ!D25="","",補助ﾘｽﾄ!D25)</f>
        <v>その他の一般産業機械及び装置</v>
      </c>
      <c r="E16" s="533" t="str">
        <f>IF(C16="","",IF($A16="IDEAv2",VLOOKUP($C16,IDEAv2原単位!$A$3:$F$4021,5,FALSE),"千円"))</f>
        <v>千円</v>
      </c>
      <c r="F16" s="533">
        <f>IF(C16="", "", IF($A16="IDEAv2",VLOOKUP($C16,IDEAv2原単位!$A$3:$F$4021,6,FALSE),VLOOKUP(IDEAGLIO補助ﾘｽﾄ!$C16,GLIO!$B$5:$E$407,4,FALSE)))</f>
        <v>4.371263249062336</v>
      </c>
    </row>
    <row r="17" spans="1:6">
      <c r="A17" s="529" t="str">
        <f>IF(補助ﾘｽﾄ!A26="","",補助ﾘｽﾄ!A26)</f>
        <v>GLIO</v>
      </c>
      <c r="B17" s="529" t="str">
        <f>IF(補助ﾘｽﾄ!B26="","",補助ﾘｽﾄ!B26)</f>
        <v>圧縮水素トレーラ</v>
      </c>
      <c r="C17" s="532">
        <f>IF(補助ﾘｽﾄ!C26="","",補助ﾘｽﾄ!C26)</f>
        <v>352101</v>
      </c>
      <c r="D17" s="529" t="str">
        <f>IF(補助ﾘｽﾄ!D26="","",補助ﾘｽﾄ!D26)</f>
        <v>トラック・バス・その他の自動車</v>
      </c>
      <c r="E17" s="533" t="str">
        <f>IF(C17="","",IF($A17="IDEAv2",VLOOKUP($C17,IDEAv2原単位!$A$3:$F$4021,5,FALSE),"千円"))</f>
        <v>千円</v>
      </c>
      <c r="F17" s="533">
        <f>IF(C17="", "", IF($A17="IDEAv2",VLOOKUP($C17,IDEAv2原単位!$A$3:$F$4021,6,FALSE),VLOOKUP(IDEAGLIO補助ﾘｽﾄ!$C17,GLIO!$B$5:$E$407,4,FALSE)))</f>
        <v>3.7100758492617234</v>
      </c>
    </row>
    <row r="18" spans="1:6">
      <c r="A18" s="529" t="str">
        <f>IF(補助ﾘｽﾄ!A4="","",補助ﾘｽﾄ!A4)</f>
        <v>IDEAv2</v>
      </c>
      <c r="B18" s="529" t="str">
        <f>IF(補助ﾘｽﾄ!B4="","",補助ﾘｽﾄ!B4)</f>
        <v>窒素</v>
      </c>
      <c r="C18" s="532">
        <f>IF(補助ﾘｽﾄ!C4="","",補助ﾘｽﾄ!C4)</f>
        <v>172315000</v>
      </c>
      <c r="D18" s="529" t="str">
        <f>IF(補助ﾘｽﾄ!D4="","",補助ﾘｽﾄ!D4)</f>
        <v>窒素</v>
      </c>
      <c r="E18" s="533" t="str">
        <f>IF(C18="","",IF($A18="IDEAv2",VLOOKUP($C18,IDEAv2原単位!$A$3:$F$4021,5,FALSE),"千円"))</f>
        <v>m3</v>
      </c>
      <c r="F18" s="533">
        <f>IF(C18="", "", IF($A18="IDEAv2",VLOOKUP($C18,IDEAv2原単位!$A$3:$F$4021,6,FALSE),VLOOKUP(IDEAGLIO補助ﾘｽﾄ!$C18,GLIO!$B$5:$E$407,4,FALSE)))</f>
        <v>0.23078472043774431</v>
      </c>
    </row>
    <row r="19" spans="1:6">
      <c r="A19" s="529" t="str">
        <f>IF(補助ﾘｽﾄ!A5="","",補助ﾘｽﾄ!A5)</f>
        <v>IDEAv2</v>
      </c>
      <c r="B19" s="529" t="str">
        <f>IF(補助ﾘｽﾄ!B5="","",補助ﾘｽﾄ!B5)</f>
        <v>酸素</v>
      </c>
      <c r="C19" s="532">
        <f>IF(補助ﾘｽﾄ!C5="","",補助ﾘｽﾄ!C5)</f>
        <v>172311000</v>
      </c>
      <c r="D19" s="529" t="str">
        <f>IF(補助ﾘｽﾄ!D5="","",補助ﾘｽﾄ!D5)</f>
        <v>酸素ガス(液化酸素を含む)</v>
      </c>
      <c r="E19" s="533" t="str">
        <f>IF(C19="","",IF($A19="IDEAv2",VLOOKUP($C19,IDEAv2原単位!$A$3:$F$4021,5,FALSE),"千円"))</f>
        <v>m3</v>
      </c>
      <c r="F19" s="533">
        <f>IF(C19="", "", IF($A19="IDEAv2",VLOOKUP($C19,IDEAv2原単位!$A$3:$F$4021,6,FALSE),VLOOKUP(IDEAGLIO補助ﾘｽﾄ!$C19,GLIO!$B$5:$E$407,4,FALSE)))</f>
        <v>0.24417026018180779</v>
      </c>
    </row>
    <row r="20" spans="1:6">
      <c r="A20" s="529" t="str">
        <f>IF(補助ﾘｽﾄ!A6="","",補助ﾘｽﾄ!A6)</f>
        <v>IDEAv2</v>
      </c>
      <c r="B20" s="529" t="str">
        <f>IF(補助ﾘｽﾄ!B6="","",補助ﾘｽﾄ!B6)</f>
        <v>原料塩</v>
      </c>
      <c r="C20" s="532">
        <f>IF(補助ﾘｽﾄ!C6="","",補助ﾘｽﾄ!C6)</f>
        <v>172411000</v>
      </c>
      <c r="D20" s="529" t="str">
        <f>IF(補助ﾘｽﾄ!D6="","",補助ﾘｽﾄ!D6)</f>
        <v>工業塩</v>
      </c>
      <c r="E20" s="533" t="str">
        <f>IF(C20="","",IF($A20="IDEAv2",VLOOKUP($C20,IDEAv2原単位!$A$3:$F$4021,5,FALSE),"千円"))</f>
        <v>kg</v>
      </c>
      <c r="F20" s="533">
        <f>IF(C20="", "", IF($A20="IDEAv2",VLOOKUP($C20,IDEAv2原単位!$A$3:$F$4021,6,FALSE),VLOOKUP(IDEAGLIO補助ﾘｽﾄ!$C20,GLIO!$B$5:$E$407,4,FALSE)))</f>
        <v>1.2378879008784885E-2</v>
      </c>
    </row>
    <row r="21" spans="1:6">
      <c r="A21" s="529" t="str">
        <f>IF(補助ﾘｽﾄ!A7="","",補助ﾘｽﾄ!A7)</f>
        <v>IDEAv2</v>
      </c>
      <c r="B21" s="529" t="str">
        <f>IF(補助ﾘｽﾄ!B7="","",補助ﾘｽﾄ!B7)</f>
        <v>食塩精製設備からの産廃</v>
      </c>
      <c r="C21" s="532">
        <f>IF(補助ﾘｽﾄ!C7="","",補助ﾘｽﾄ!C7)</f>
        <v>852212235</v>
      </c>
      <c r="D21" s="529" t="str">
        <f>IF(補助ﾘｽﾄ!D7="","",補助ﾘｽﾄ!D7)</f>
        <v>焼却処理, 産業廃棄物, 汚泥</v>
      </c>
      <c r="E21" s="533" t="str">
        <f>IF(C21="","",IF($A21="IDEAv2",VLOOKUP($C21,IDEAv2原単位!$A$3:$F$4021,5,FALSE),"千円"))</f>
        <v>kg</v>
      </c>
      <c r="F21" s="533">
        <f>IF(C21="", "", IF($A21="IDEAv2",VLOOKUP($C21,IDEAv2原単位!$A$3:$F$4021,6,FALSE),VLOOKUP(IDEAGLIO補助ﾘｽﾄ!$C21,GLIO!$B$5:$E$407,4,FALSE)))</f>
        <v>0.35862862123290157</v>
      </c>
    </row>
    <row r="22" spans="1:6">
      <c r="A22" s="529" t="str">
        <f>IF(補助ﾘｽﾄ!A8="","",補助ﾘｽﾄ!A8)</f>
        <v>IDEAv2</v>
      </c>
      <c r="B22" s="529" t="str">
        <f>IF(補助ﾘｽﾄ!B8="","",補助ﾘｽﾄ!B8)</f>
        <v>食塩電解設備の純水</v>
      </c>
      <c r="C22" s="532">
        <f>IF(補助ﾘｽﾄ!C8="","",補助ﾘｽﾄ!C8)</f>
        <v>179919200</v>
      </c>
      <c r="D22" s="529" t="str">
        <f>IF(補助ﾘｽﾄ!D8="","",補助ﾘｽﾄ!D8)</f>
        <v>純水, イオン交換膜法</v>
      </c>
      <c r="E22" s="533" t="str">
        <f>IF(C22="","",IF($A22="IDEAv2",VLOOKUP($C22,IDEAv2原単位!$A$3:$F$4021,5,FALSE),"千円"))</f>
        <v>m3</v>
      </c>
      <c r="F22" s="533">
        <f>IF(C22="", "", IF($A22="IDEAv2",VLOOKUP($C22,IDEAv2原単位!$A$3:$F$4021,6,FALSE),VLOOKUP(IDEAGLIO補助ﾘｽﾄ!$C22,GLIO!$B$5:$E$407,4,FALSE)))</f>
        <v>3.282488359659367</v>
      </c>
    </row>
    <row r="23" spans="1:6">
      <c r="A23" s="529" t="str">
        <f>IF(補助ﾘｽﾄ!A9="","",補助ﾘｽﾄ!A9)</f>
        <v>IDEAv2</v>
      </c>
      <c r="B23" s="529" t="str">
        <f>IF(補助ﾘｽﾄ!B9="","",補助ﾘｽﾄ!B9)</f>
        <v>工業排水処理</v>
      </c>
      <c r="C23" s="532">
        <f>IF(補助ﾘｽﾄ!C9="","",補助ﾘｽﾄ!C9)</f>
        <v>852511000</v>
      </c>
      <c r="D23" s="529" t="str">
        <f>IF(補助ﾘｽﾄ!D9="","",補助ﾘｽﾄ!D9)</f>
        <v>工業排水処理</v>
      </c>
      <c r="E23" s="533" t="str">
        <f>IF(C23="","",IF($A23="IDEAv2",VLOOKUP($C23,IDEAv2原単位!$A$3:$F$4021,5,FALSE),"千円"))</f>
        <v>m3</v>
      </c>
      <c r="F23" s="533">
        <f>IF(C23="", "", IF($A23="IDEAv2",VLOOKUP($C23,IDEAv2原単位!$A$3:$F$4021,6,FALSE),VLOOKUP(IDEAGLIO補助ﾘｽﾄ!$C23,GLIO!$B$5:$E$407,4,FALSE)))</f>
        <v>1.8330643817765866</v>
      </c>
    </row>
    <row r="24" spans="1:6">
      <c r="A24" s="529" t="str">
        <f>IF(補助ﾘｽﾄ!A10="","",補助ﾘｽﾄ!A10)</f>
        <v>IDEAv2</v>
      </c>
      <c r="B24" s="529" t="str">
        <f>IF(補助ﾘｽﾄ!B10="","",補助ﾘｽﾄ!B10)</f>
        <v>水道水</v>
      </c>
      <c r="C24" s="532">
        <f>IF(補助ﾘｽﾄ!C10="","",補助ﾘｽﾄ!C10)</f>
        <v>361111000</v>
      </c>
      <c r="D24" s="529" t="str">
        <f>IF(補助ﾘｽﾄ!D10="","",補助ﾘｽﾄ!D10)</f>
        <v>上水道</v>
      </c>
      <c r="E24" s="533" t="str">
        <f>IF(C24="","",IF($A24="IDEAv2",VLOOKUP($C24,IDEAv2原単位!$A$3:$F$4021,5,FALSE),"千円"))</f>
        <v>m3</v>
      </c>
      <c r="F24" s="533">
        <f>IF(C24="", "", IF($A24="IDEAv2",VLOOKUP($C24,IDEAv2原単位!$A$3:$F$4021,6,FALSE),VLOOKUP(IDEAGLIO補助ﾘｽﾄ!$C24,GLIO!$B$5:$E$407,4,FALSE)))</f>
        <v>0.36754823035748857</v>
      </c>
    </row>
    <row r="25" spans="1:6">
      <c r="A25" s="529" t="str">
        <f>IF(補助ﾘｽﾄ!A27="","",補助ﾘｽﾄ!A27)</f>
        <v>その他</v>
      </c>
      <c r="B25" s="529" t="str">
        <f>IF(補助ﾘｽﾄ!B27="","",補助ﾘｽﾄ!B27)</f>
        <v>自社購入電力</v>
      </c>
      <c r="C25" s="532">
        <f>IF(補助ﾘｽﾄ!C27="","",補助ﾘｽﾄ!C27)</f>
        <v>1</v>
      </c>
      <c r="D25" s="529" t="str">
        <f>IF(補助ﾘｽﾄ!D27="","",補助ﾘｽﾄ!D27)</f>
        <v>自社購入電力</v>
      </c>
      <c r="E25" s="533" t="str">
        <f>IF(C25="","",IF($A25="IDEAv2",VLOOKUP($C25,IDEAv2原単位!$A$3:$F$4021,5,FALSE),IF($A25="その他",VLOOKUP($C25,その他原単位!$A$4:$D$13,4,FALSE),"千円")))</f>
        <v>kWh</v>
      </c>
      <c r="F25" s="533">
        <f>IF(C25="","",IF($A25="IDEAv2",VLOOKUP($C25,IDEAv2原単位!$A$3:$F$4021,6,FALSE),IF(A25="その他",VLOOKUP($C25,その他原単位!$A$4:$D$13,3,FALSE),VLOOKUP(IDEAGLIO補助ﾘｽﾄ!$C25,GLIO!$B$5:$E$407,4,FALSE))))</f>
        <v>0.217</v>
      </c>
    </row>
    <row r="26" spans="1:6">
      <c r="A26" s="529" t="str">
        <f>IF(補助ﾘｽﾄ!A28="","",補助ﾘｽﾄ!A28)</f>
        <v/>
      </c>
      <c r="B26" s="529" t="str">
        <f>IF(補助ﾘｽﾄ!B28="","",補助ﾘｽﾄ!B28)</f>
        <v/>
      </c>
      <c r="C26" s="532" t="str">
        <f>IF(補助ﾘｽﾄ!C28="","",補助ﾘｽﾄ!C28)</f>
        <v/>
      </c>
      <c r="D26" s="529" t="str">
        <f>IF(補助ﾘｽﾄ!D28="","",補助ﾘｽﾄ!D28)</f>
        <v/>
      </c>
      <c r="E26" s="533" t="str">
        <f>IF(C26="","",IF($A26="IDEAv2",VLOOKUP($C26,IDEAv2原単位!$A$3:$F$4021,5,FALSE),IF($A26="その他",VLOOKUP($C26,その他原単位!$A$4:$D$13,4,FALSE),"千円")))</f>
        <v/>
      </c>
      <c r="F26" s="533" t="str">
        <f>IF(C26="","",IF($A26="IDEAv2",VLOOKUP($C26,IDEAv2原単位!$A$3:$F$4021,6,FALSE),IF(A26="その他",VLOOKUP($C26,その他原単位!$A$4:$D$13,3,FALSE),VLOOKUP(IDEAGLIO補助ﾘｽﾄ!$C26,GLIO!$B$5:$E$407,4,FALSE))))</f>
        <v/>
      </c>
    </row>
    <row r="27" spans="1:6">
      <c r="A27" s="529" t="str">
        <f>IF(補助ﾘｽﾄ!A29="","",補助ﾘｽﾄ!A29)</f>
        <v/>
      </c>
      <c r="B27" s="529" t="str">
        <f>IF(補助ﾘｽﾄ!B29="","",補助ﾘｽﾄ!B29)</f>
        <v>―</v>
      </c>
      <c r="C27" s="532" t="str">
        <f>IF(補助ﾘｽﾄ!C29="","",補助ﾘｽﾄ!C29)</f>
        <v/>
      </c>
      <c r="D27" s="529" t="str">
        <f>IF(補助ﾘｽﾄ!D29="","",補助ﾘｽﾄ!D29)</f>
        <v/>
      </c>
      <c r="E27" s="533" t="str">
        <f>IF(C27="","",IF($A27="IDEAv2",VLOOKUP($C27,IDEAv2原単位!$A$3:$F$4021,5,FALSE),IF($A27="その他",VLOOKUP($C27,その他原単位!$A$4:$D$13,4,FALSE),"千円")))</f>
        <v/>
      </c>
      <c r="F27" s="533" t="str">
        <f>IF(C27="","",IF($A27="IDEAv2",VLOOKUP($C27,IDEAv2原単位!$A$3:$F$4021,6,FALSE),IF(A27="その他",VLOOKUP($C27,その他原単位!$A$4:$D$13,3,FALSE),VLOOKUP(IDEAGLIO補助ﾘｽﾄ!$C27,GLIO!$B$5:$E$407,4,FALSE))))</f>
        <v/>
      </c>
    </row>
    <row r="28" spans="1:6">
      <c r="A28" s="529" t="str">
        <f>IF(補助ﾘｽﾄ!A30="","",補助ﾘｽﾄ!A30)</f>
        <v/>
      </c>
      <c r="B28" s="529" t="str">
        <f>IF(補助ﾘｽﾄ!B30="","",補助ﾘｽﾄ!B30)</f>
        <v>―</v>
      </c>
      <c r="C28" s="532" t="str">
        <f>IF(補助ﾘｽﾄ!C30="","",補助ﾘｽﾄ!C30)</f>
        <v/>
      </c>
      <c r="D28" s="529" t="str">
        <f>IF(補助ﾘｽﾄ!D30="","",補助ﾘｽﾄ!D30)</f>
        <v/>
      </c>
      <c r="E28" s="533" t="str">
        <f>IF(C28="","",IF($A28="IDEAv2",VLOOKUP($C28,IDEAv2原単位!$A$3:$F$4021,5,FALSE),IF($A28="その他",VLOOKUP($C28,その他原単位!$A$4:$D$13,4,FALSE),"千円")))</f>
        <v/>
      </c>
      <c r="F28" s="533" t="str">
        <f>IF(C28="","",IF($A28="IDEAv2",VLOOKUP($C28,IDEAv2原単位!$A$3:$F$4021,6,FALSE),IF(A28="その他",VLOOKUP($C28,その他原単位!$A$4:$D$13,3,FALSE),VLOOKUP(IDEAGLIO補助ﾘｽﾄ!$C28,GLIO!$B$5:$E$407,4,FALSE))))</f>
        <v/>
      </c>
    </row>
    <row r="29" spans="1:6">
      <c r="A29" s="529" t="str">
        <f>IF(補助ﾘｽﾄ!A31="","",補助ﾘｽﾄ!A31)</f>
        <v/>
      </c>
      <c r="B29" s="529" t="str">
        <f>IF(補助ﾘｽﾄ!B31="","",補助ﾘｽﾄ!B31)</f>
        <v>―</v>
      </c>
      <c r="C29" s="532" t="str">
        <f>IF(補助ﾘｽﾄ!C31="","",補助ﾘｽﾄ!C31)</f>
        <v/>
      </c>
      <c r="D29" s="529" t="str">
        <f>IF(補助ﾘｽﾄ!D31="","",補助ﾘｽﾄ!D31)</f>
        <v/>
      </c>
      <c r="E29" s="533" t="str">
        <f>IF(C29="","",IF($A29="IDEAv2",VLOOKUP($C29,IDEAv2原単位!$A$3:$F$4021,5,FALSE),IF($A29="その他",VLOOKUP($C29,その他原単位!$A$4:$D$13,4,FALSE),"千円")))</f>
        <v/>
      </c>
      <c r="F29" s="533" t="str">
        <f>IF(C29="","",IF($A29="IDEAv2",VLOOKUP($C29,IDEAv2原単位!$A$3:$F$4021,6,FALSE),IF(A29="その他",VLOOKUP($C29,その他原単位!$A$4:$D$13,3,FALSE),VLOOKUP(IDEAGLIO補助ﾘｽﾄ!$C29,GLIO!$B$5:$E$407,4,FALSE))))</f>
        <v/>
      </c>
    </row>
    <row r="30" spans="1:6">
      <c r="A30" s="529" t="str">
        <f>IF(補助ﾘｽﾄ!A32="","",補助ﾘｽﾄ!A32)</f>
        <v/>
      </c>
      <c r="B30" s="529" t="str">
        <f>IF(補助ﾘｽﾄ!B32="","",補助ﾘｽﾄ!B32)</f>
        <v>―</v>
      </c>
      <c r="C30" s="532" t="str">
        <f>IF(補助ﾘｽﾄ!C32="","",補助ﾘｽﾄ!C32)</f>
        <v/>
      </c>
      <c r="D30" s="529" t="str">
        <f>IF(補助ﾘｽﾄ!D32="","",補助ﾘｽﾄ!D32)</f>
        <v/>
      </c>
      <c r="E30" s="533" t="str">
        <f>IF(C30="","",IF($A30="IDEAv2",VLOOKUP($C30,IDEAv2原単位!$A$3:$F$4021,5,FALSE),IF($A30="その他",VLOOKUP($C30,その他原単位!$A$4:$D$13,4,FALSE),"千円")))</f>
        <v/>
      </c>
      <c r="F30" s="533" t="str">
        <f>IF(C30="","",IF($A30="IDEAv2",VLOOKUP($C30,IDEAv2原単位!$A$3:$F$4021,6,FALSE),IF(A30="その他",VLOOKUP($C30,その他原単位!$A$4:$D$13,3,FALSE),VLOOKUP(IDEAGLIO補助ﾘｽﾄ!$C30,GLIO!$B$5:$E$407,4,FALSE))))</f>
        <v/>
      </c>
    </row>
    <row r="31" spans="1:6">
      <c r="A31" s="529" t="str">
        <f>IF(補助ﾘｽﾄ!A33="","",補助ﾘｽﾄ!A33)</f>
        <v/>
      </c>
      <c r="B31" s="529" t="str">
        <f>IF(補助ﾘｽﾄ!B33="","",補助ﾘｽﾄ!B33)</f>
        <v>―</v>
      </c>
      <c r="C31" s="532" t="str">
        <f>IF(補助ﾘｽﾄ!C33="","",補助ﾘｽﾄ!C33)</f>
        <v/>
      </c>
      <c r="D31" s="529" t="str">
        <f>IF(補助ﾘｽﾄ!D33="","",補助ﾘｽﾄ!D33)</f>
        <v/>
      </c>
      <c r="E31" s="533" t="str">
        <f>IF(C31="","",IF($A31="IDEAv2",VLOOKUP($C31,IDEAv2原単位!$A$3:$F$4021,5,FALSE),IF($A31="その他",VLOOKUP($C31,その他原単位!$A$4:$D$13,4,FALSE),"千円")))</f>
        <v/>
      </c>
      <c r="F31" s="533" t="str">
        <f>IF(C31="","",IF($A31="IDEAv2",VLOOKUP($C31,IDEAv2原単位!$A$3:$F$4021,6,FALSE),IF(A31="その他",VLOOKUP($C31,その他原単位!$A$4:$D$13,3,FALSE),VLOOKUP(IDEAGLIO補助ﾘｽﾄ!$C31,GLIO!$B$5:$E$407,4,FALSE))))</f>
        <v/>
      </c>
    </row>
    <row r="32" spans="1:6">
      <c r="A32" s="529" t="str">
        <f>IF(補助ﾘｽﾄ!A34="","",補助ﾘｽﾄ!A34)</f>
        <v/>
      </c>
      <c r="B32" s="529" t="str">
        <f>IF(補助ﾘｽﾄ!B34="","",補助ﾘｽﾄ!B34)</f>
        <v>―</v>
      </c>
      <c r="C32" s="532" t="str">
        <f>IF(補助ﾘｽﾄ!C34="","",補助ﾘｽﾄ!C34)</f>
        <v/>
      </c>
      <c r="D32" s="529" t="str">
        <f>IF(補助ﾘｽﾄ!D34="","",補助ﾘｽﾄ!D34)</f>
        <v/>
      </c>
      <c r="E32" s="533" t="str">
        <f>IF(C32="","",IF($A32="IDEAv2",VLOOKUP($C32,IDEAv2原単位!$A$3:$F$4021,5,FALSE),IF($A32="その他",VLOOKUP($C32,その他原単位!$A$4:$D$13,4,FALSE),"千円")))</f>
        <v/>
      </c>
      <c r="F32" s="533" t="str">
        <f>IF(C32="","",IF($A32="IDEAv2",VLOOKUP($C32,IDEAv2原単位!$A$3:$F$4021,6,FALSE),IF(A32="その他",VLOOKUP($C32,その他原単位!$A$4:$D$13,3,FALSE),VLOOKUP(IDEAGLIO補助ﾘｽﾄ!$C32,GLIO!$B$5:$E$407,4,FALSE))))</f>
        <v/>
      </c>
    </row>
    <row r="33" spans="1:6">
      <c r="A33" s="529" t="str">
        <f>IF(補助ﾘｽﾄ!A35="","",補助ﾘｽﾄ!A35)</f>
        <v/>
      </c>
      <c r="B33" s="529" t="str">
        <f>IF(補助ﾘｽﾄ!B35="","",補助ﾘｽﾄ!B35)</f>
        <v>―</v>
      </c>
      <c r="C33" s="532" t="str">
        <f>IF(補助ﾘｽﾄ!C35="","",補助ﾘｽﾄ!C35)</f>
        <v/>
      </c>
      <c r="D33" s="529" t="str">
        <f>IF(補助ﾘｽﾄ!D35="","",補助ﾘｽﾄ!D35)</f>
        <v/>
      </c>
      <c r="E33" s="533" t="str">
        <f>IF(C33="","",IF($A33="IDEAv2",VLOOKUP($C33,IDEAv2原単位!$A$3:$F$4021,5,FALSE),IF($A33="その他",VLOOKUP($C33,その他原単位!$A$4:$D$13,4,FALSE),"千円")))</f>
        <v/>
      </c>
      <c r="F33" s="533" t="str">
        <f>IF(C33="","",IF($A33="IDEAv2",VLOOKUP($C33,IDEAv2原単位!$A$3:$F$4021,6,FALSE),IF(A33="その他",VLOOKUP($C33,その他原単位!$A$4:$D$13,3,FALSE),VLOOKUP(IDEAGLIO補助ﾘｽﾄ!$C33,GLIO!$B$5:$E$407,4,FALSE))))</f>
        <v/>
      </c>
    </row>
    <row r="34" spans="1:6">
      <c r="A34" s="529" t="str">
        <f>IF(補助ﾘｽﾄ!A36="","",補助ﾘｽﾄ!A36)</f>
        <v/>
      </c>
      <c r="B34" s="529" t="str">
        <f>IF(補助ﾘｽﾄ!B36="","",補助ﾘｽﾄ!B36)</f>
        <v>―</v>
      </c>
      <c r="C34" s="532" t="str">
        <f>IF(補助ﾘｽﾄ!C36="","",補助ﾘｽﾄ!C36)</f>
        <v/>
      </c>
      <c r="D34" s="529" t="str">
        <f>IF(補助ﾘｽﾄ!D36="","",補助ﾘｽﾄ!D36)</f>
        <v/>
      </c>
      <c r="E34" s="533" t="str">
        <f>IF(C34="","",IF($A34="IDEAv2",VLOOKUP($C34,IDEAv2原単位!$A$3:$F$4021,5,FALSE),IF($A34="その他",VLOOKUP($C34,その他原単位!$A$4:$D$13,4,FALSE),"千円")))</f>
        <v/>
      </c>
      <c r="F34" s="533" t="str">
        <f>IF(C34="","",IF($A34="IDEAv2",VLOOKUP($C34,IDEAv2原単位!$A$3:$F$4021,6,FALSE),IF(A34="その他",VLOOKUP($C34,その他原単位!$A$4:$D$13,3,FALSE),VLOOKUP(IDEAGLIO補助ﾘｽﾄ!$C34,GLIO!$B$5:$E$407,4,FALSE))))</f>
        <v/>
      </c>
    </row>
    <row r="35" spans="1:6">
      <c r="A35" s="529" t="str">
        <f>IF(補助ﾘｽﾄ!A37="","",補助ﾘｽﾄ!A37)</f>
        <v/>
      </c>
      <c r="B35" s="529" t="str">
        <f>IF(補助ﾘｽﾄ!B37="","",補助ﾘｽﾄ!B37)</f>
        <v>―</v>
      </c>
      <c r="C35" s="532" t="str">
        <f>IF(補助ﾘｽﾄ!C37="","",補助ﾘｽﾄ!C37)</f>
        <v/>
      </c>
      <c r="D35" s="529" t="str">
        <f>IF(補助ﾘｽﾄ!D37="","",補助ﾘｽﾄ!D37)</f>
        <v/>
      </c>
      <c r="E35" s="533" t="str">
        <f>IF(C35="","",IF($A35="IDEAv2",VLOOKUP($C35,IDEAv2原単位!$A$3:$F$4021,5,FALSE),IF($A35="その他",VLOOKUP($C35,その他原単位!$A$4:$D$13,4,FALSE),"千円")))</f>
        <v/>
      </c>
      <c r="F35" s="533" t="str">
        <f>IF(C35="","",IF($A35="IDEAv2",VLOOKUP($C35,IDEAv2原単位!$A$3:$F$4021,6,FALSE),IF(A35="その他",VLOOKUP($C35,その他原単位!$A$4:$D$13,3,FALSE),VLOOKUP(IDEAGLIO補助ﾘｽﾄ!$C35,GLIO!$B$5:$E$407,4,FALSE))))</f>
        <v/>
      </c>
    </row>
    <row r="36" spans="1:6">
      <c r="A36" s="529" t="str">
        <f>IF(補助ﾘｽﾄ!A38="","",補助ﾘｽﾄ!A38)</f>
        <v/>
      </c>
      <c r="B36" s="529" t="str">
        <f>IF(補助ﾘｽﾄ!B38="","",補助ﾘｽﾄ!B38)</f>
        <v>―</v>
      </c>
      <c r="C36" s="532" t="str">
        <f>IF(補助ﾘｽﾄ!C38="","",補助ﾘｽﾄ!C38)</f>
        <v/>
      </c>
      <c r="D36" s="529" t="str">
        <f>IF(補助ﾘｽﾄ!D38="","",補助ﾘｽﾄ!D38)</f>
        <v/>
      </c>
      <c r="E36" s="533" t="str">
        <f>IF(C36="","",IF($A36="IDEAv2",VLOOKUP($C36,IDEAv2原単位!$A$3:$F$4021,5,FALSE),IF($A36="その他",VLOOKUP($C36,その他原単位!$A$4:$D$13,4,FALSE),"千円")))</f>
        <v/>
      </c>
      <c r="F36" s="533" t="str">
        <f>IF(C36="","",IF($A36="IDEAv2",VLOOKUP($C36,IDEAv2原単位!$A$3:$F$4021,6,FALSE),IF(A36="その他",VLOOKUP($C36,その他原単位!$A$4:$D$13,3,FALSE),VLOOKUP(IDEAGLIO補助ﾘｽﾄ!$C36,GLIO!$B$5:$E$407,4,FALSE))))</f>
        <v/>
      </c>
    </row>
    <row r="37" spans="1:6">
      <c r="A37" s="529" t="str">
        <f>IF(補助ﾘｽﾄ!A39="","",補助ﾘｽﾄ!A39)</f>
        <v/>
      </c>
      <c r="B37" s="529" t="str">
        <f>IF(補助ﾘｽﾄ!B39="","",補助ﾘｽﾄ!B39)</f>
        <v>―</v>
      </c>
      <c r="C37" s="532" t="str">
        <f>IF(補助ﾘｽﾄ!C39="","",補助ﾘｽﾄ!C39)</f>
        <v/>
      </c>
      <c r="D37" s="529" t="str">
        <f>IF(補助ﾘｽﾄ!D39="","",補助ﾘｽﾄ!D39)</f>
        <v/>
      </c>
      <c r="E37" s="533" t="str">
        <f>IF(C37="","",IF($A37="IDEAv2",VLOOKUP($C37,IDEAv2原単位!$A$3:$F$4021,5,FALSE),IF($A37="その他",VLOOKUP($C37,その他原単位!$A$4:$D$13,4,FALSE),"千円")))</f>
        <v/>
      </c>
      <c r="F37" s="533" t="str">
        <f>IF(C37="","",IF($A37="IDEAv2",VLOOKUP($C37,IDEAv2原単位!$A$3:$F$4021,6,FALSE),IF(A37="その他",VLOOKUP($C37,その他原単位!$A$4:$D$13,3,FALSE),VLOOKUP(IDEAGLIO補助ﾘｽﾄ!$C37,GLIO!$B$5:$E$407,4,FALSE))))</f>
        <v/>
      </c>
    </row>
    <row r="38" spans="1:6">
      <c r="A38" s="529" t="str">
        <f>IF(補助ﾘｽﾄ!A40="","",補助ﾘｽﾄ!A40)</f>
        <v/>
      </c>
      <c r="B38" s="529" t="str">
        <f>IF(補助ﾘｽﾄ!B40="","",補助ﾘｽﾄ!B40)</f>
        <v>―</v>
      </c>
      <c r="C38" s="532" t="str">
        <f>IF(補助ﾘｽﾄ!C40="","",補助ﾘｽﾄ!C40)</f>
        <v/>
      </c>
      <c r="D38" s="529" t="str">
        <f>IF(補助ﾘｽﾄ!D40="","",補助ﾘｽﾄ!D40)</f>
        <v/>
      </c>
      <c r="E38" s="533" t="str">
        <f>IF(C38="","",IF($A38="IDEAv2",VLOOKUP($C38,IDEAv2原単位!$A$3:$F$4021,5,FALSE),IF($A38="その他",VLOOKUP($C38,その他原単位!$A$4:$D$13,4,FALSE),"千円")))</f>
        <v/>
      </c>
      <c r="F38" s="533" t="str">
        <f>IF(C38="","",IF($A38="IDEAv2",VLOOKUP($C38,IDEAv2原単位!$A$3:$F$4021,6,FALSE),IF(A38="その他",VLOOKUP($C38,その他原単位!$A$4:$D$13,3,FALSE),VLOOKUP(IDEAGLIO補助ﾘｽﾄ!$C38,GLIO!$B$5:$E$407,4,FALSE))))</f>
        <v/>
      </c>
    </row>
    <row r="39" spans="1:6">
      <c r="A39" s="529" t="str">
        <f>IF(補助ﾘｽﾄ!A41="","",補助ﾘｽﾄ!A41)</f>
        <v/>
      </c>
      <c r="B39" s="529" t="str">
        <f>IF(補助ﾘｽﾄ!B41="","",補助ﾘｽﾄ!B41)</f>
        <v>―</v>
      </c>
      <c r="C39" s="532" t="str">
        <f>IF(補助ﾘｽﾄ!C41="","",補助ﾘｽﾄ!C41)</f>
        <v/>
      </c>
      <c r="D39" s="529" t="str">
        <f>IF(補助ﾘｽﾄ!D41="","",補助ﾘｽﾄ!D41)</f>
        <v/>
      </c>
      <c r="E39" s="533" t="str">
        <f>IF(C39="","",IF($A39="IDEAv2",VLOOKUP($C39,IDEAv2原単位!$A$3:$F$4021,5,FALSE),IF($A39="その他",VLOOKUP($C39,その他原単位!$A$4:$D$13,4,FALSE),"千円")))</f>
        <v/>
      </c>
      <c r="F39" s="533" t="str">
        <f>IF(C39="","",IF($A39="IDEAv2",VLOOKUP($C39,IDEAv2原単位!$A$3:$F$4021,6,FALSE),IF(A39="その他",VLOOKUP($C39,その他原単位!$A$4:$D$13,3,FALSE),VLOOKUP(IDEAGLIO補助ﾘｽﾄ!$C39,GLIO!$B$5:$E$407,4,FALSE))))</f>
        <v/>
      </c>
    </row>
    <row r="40" spans="1:6">
      <c r="A40" s="529" t="str">
        <f>IF(補助ﾘｽﾄ!A42="","",補助ﾘｽﾄ!A42)</f>
        <v/>
      </c>
      <c r="B40" s="529" t="str">
        <f>IF(補助ﾘｽﾄ!B42="","",補助ﾘｽﾄ!B42)</f>
        <v>―</v>
      </c>
      <c r="C40" s="532" t="str">
        <f>IF(補助ﾘｽﾄ!C42="","",補助ﾘｽﾄ!C42)</f>
        <v/>
      </c>
      <c r="D40" s="529" t="str">
        <f>IF(補助ﾘｽﾄ!D42="","",補助ﾘｽﾄ!D42)</f>
        <v/>
      </c>
      <c r="E40" s="533" t="str">
        <f>IF(C40="","",IF($A40="IDEAv2",VLOOKUP($C40,IDEAv2原単位!$A$3:$F$4021,5,FALSE),IF($A40="その他",VLOOKUP($C40,その他原単位!$A$4:$D$13,4,FALSE),"千円")))</f>
        <v/>
      </c>
      <c r="F40" s="533" t="str">
        <f>IF(C40="","",IF($A40="IDEAv2",VLOOKUP($C40,IDEAv2原単位!$A$3:$F$4021,6,FALSE),IF(A40="その他",VLOOKUP($C40,その他原単位!$A$4:$D$13,3,FALSE),VLOOKUP(IDEAGLIO補助ﾘｽﾄ!$C40,GLIO!$B$5:$E$407,4,FALSE))))</f>
        <v/>
      </c>
    </row>
    <row r="41" spans="1:6">
      <c r="A41" s="529" t="str">
        <f>IF(補助ﾘｽﾄ!A43="","",補助ﾘｽﾄ!A43)</f>
        <v/>
      </c>
      <c r="B41" s="529" t="str">
        <f>IF(補助ﾘｽﾄ!B43="","",補助ﾘｽﾄ!B43)</f>
        <v>―</v>
      </c>
      <c r="C41" s="532" t="str">
        <f>IF(補助ﾘｽﾄ!C43="","",補助ﾘｽﾄ!C43)</f>
        <v/>
      </c>
      <c r="D41" s="529" t="str">
        <f>IF(補助ﾘｽﾄ!D43="","",補助ﾘｽﾄ!D43)</f>
        <v/>
      </c>
      <c r="E41" s="533" t="str">
        <f>IF(C41="","",IF($A41="IDEAv2",VLOOKUP($C41,IDEAv2原単位!$A$3:$F$4021,5,FALSE),IF($A41="その他",VLOOKUP($C41,その他原単位!$A$4:$D$13,4,FALSE),"千円")))</f>
        <v/>
      </c>
      <c r="F41" s="533" t="str">
        <f>IF(C41="","",IF($A41="IDEAv2",VLOOKUP($C41,IDEAv2原単位!$A$3:$F$4021,6,FALSE),IF(A41="その他",VLOOKUP($C41,その他原単位!$A$4:$D$13,3,FALSE),VLOOKUP(IDEAGLIO補助ﾘｽﾄ!$C41,GLIO!$B$5:$E$407,4,FALSE))))</f>
        <v/>
      </c>
    </row>
    <row r="42" spans="1:6">
      <c r="A42" s="529" t="str">
        <f>IF(補助ﾘｽﾄ!A44="","",補助ﾘｽﾄ!A44)</f>
        <v/>
      </c>
      <c r="B42" s="529" t="str">
        <f>IF(補助ﾘｽﾄ!B44="","",補助ﾘｽﾄ!B44)</f>
        <v>―</v>
      </c>
      <c r="C42" s="532" t="str">
        <f>IF(補助ﾘｽﾄ!C44="","",補助ﾘｽﾄ!C44)</f>
        <v/>
      </c>
      <c r="D42" s="529" t="str">
        <f>IF(補助ﾘｽﾄ!D44="","",補助ﾘｽﾄ!D44)</f>
        <v/>
      </c>
      <c r="E42" s="533" t="str">
        <f>IF(C42="","",IF($A42="IDEAv2",VLOOKUP($C42,IDEAv2原単位!$A$3:$F$4021,5,FALSE),IF($A42="その他",VLOOKUP($C42,その他原単位!$A$4:$D$13,4,FALSE),"千円")))</f>
        <v/>
      </c>
      <c r="F42" s="533" t="str">
        <f>IF(C42="","",IF($A42="IDEAv2",VLOOKUP($C42,IDEAv2原単位!$A$3:$F$4021,6,FALSE),IF(A42="その他",VLOOKUP($C42,その他原単位!$A$4:$D$13,3,FALSE),VLOOKUP(IDEAGLIO補助ﾘｽﾄ!$C42,GLIO!$B$5:$E$407,4,FALSE))))</f>
        <v/>
      </c>
    </row>
    <row r="43" spans="1:6">
      <c r="A43" s="529" t="str">
        <f>IF(補助ﾘｽﾄ!A45="","",補助ﾘｽﾄ!A45)</f>
        <v/>
      </c>
      <c r="B43" s="529" t="str">
        <f>IF(補助ﾘｽﾄ!B45="","",補助ﾘｽﾄ!B45)</f>
        <v>―</v>
      </c>
      <c r="C43" s="532" t="str">
        <f>IF(補助ﾘｽﾄ!C45="","",補助ﾘｽﾄ!C45)</f>
        <v/>
      </c>
      <c r="D43" s="529" t="str">
        <f>IF(補助ﾘｽﾄ!D45="","",補助ﾘｽﾄ!D45)</f>
        <v/>
      </c>
      <c r="E43" s="533" t="str">
        <f>IF(C43="","",IF($A43="IDEAv2",VLOOKUP($C43,IDEAv2原単位!$A$3:$F$4021,5,FALSE),IF($A43="その他",VLOOKUP($C43,その他原単位!$A$4:$D$13,4,FALSE),"千円")))</f>
        <v/>
      </c>
      <c r="F43" s="533" t="str">
        <f>IF(C43="","",IF($A43="IDEAv2",VLOOKUP($C43,IDEAv2原単位!$A$3:$F$4021,6,FALSE),IF(A43="その他",VLOOKUP($C43,その他原単位!$A$4:$D$13,3,FALSE),VLOOKUP(IDEAGLIO補助ﾘｽﾄ!$C43,GLIO!$B$5:$E$407,4,FALSE))))</f>
        <v/>
      </c>
    </row>
    <row r="44" spans="1:6">
      <c r="A44" s="529" t="str">
        <f>IF(補助ﾘｽﾄ!A46="","",補助ﾘｽﾄ!A46)</f>
        <v/>
      </c>
      <c r="B44" s="529" t="str">
        <f>IF(補助ﾘｽﾄ!B46="","",補助ﾘｽﾄ!B46)</f>
        <v>―</v>
      </c>
      <c r="C44" s="532" t="str">
        <f>IF(補助ﾘｽﾄ!C46="","",補助ﾘｽﾄ!C46)</f>
        <v/>
      </c>
      <c r="D44" s="529" t="str">
        <f>IF(補助ﾘｽﾄ!D46="","",補助ﾘｽﾄ!D46)</f>
        <v/>
      </c>
      <c r="E44" s="533" t="str">
        <f>IF(C44="","",IF($A44="IDEAv2",VLOOKUP($C44,IDEAv2原単位!$A$3:$F$4021,5,FALSE),IF($A44="その他",VLOOKUP($C44,その他原単位!$A$4:$D$13,4,FALSE),"千円")))</f>
        <v/>
      </c>
      <c r="F44" s="533" t="str">
        <f>IF(C44="","",IF($A44="IDEAv2",VLOOKUP($C44,IDEAv2原単位!$A$3:$F$4021,6,FALSE),IF(A44="その他",VLOOKUP($C44,その他原単位!$A$4:$D$13,3,FALSE),VLOOKUP(IDEAGLIO補助ﾘｽﾄ!$C44,GLIO!$B$5:$E$407,4,FALSE))))</f>
        <v/>
      </c>
    </row>
    <row r="45" spans="1:6">
      <c r="A45" s="529" t="str">
        <f>IF(補助ﾘｽﾄ!A47="","",補助ﾘｽﾄ!A47)</f>
        <v/>
      </c>
      <c r="B45" s="529" t="str">
        <f>IF(補助ﾘｽﾄ!B47="","",補助ﾘｽﾄ!B47)</f>
        <v>―</v>
      </c>
      <c r="C45" s="532" t="str">
        <f>IF(補助ﾘｽﾄ!C47="","",補助ﾘｽﾄ!C47)</f>
        <v/>
      </c>
      <c r="D45" s="529" t="str">
        <f>IF(補助ﾘｽﾄ!D47="","",補助ﾘｽﾄ!D47)</f>
        <v/>
      </c>
      <c r="E45" s="533" t="str">
        <f>IF(C45="","",IF($A45="IDEAv2",VLOOKUP($C45,IDEAv2原単位!$A$3:$F$4021,5,FALSE),IF($A45="その他",VLOOKUP($C45,その他原単位!$A$4:$D$13,4,FALSE),"千円")))</f>
        <v/>
      </c>
      <c r="F45" s="533" t="str">
        <f>IF(C45="","",IF($A45="IDEAv2",VLOOKUP($C45,IDEAv2原単位!$A$3:$F$4021,6,FALSE),IF(A45="その他",VLOOKUP($C45,その他原単位!$A$4:$D$13,3,FALSE),VLOOKUP(IDEAGLIO補助ﾘｽﾄ!$C45,GLIO!$B$5:$E$407,4,FALSE))))</f>
        <v/>
      </c>
    </row>
    <row r="46" spans="1:6">
      <c r="A46" s="529" t="str">
        <f>IF(補助ﾘｽﾄ!A48="","",補助ﾘｽﾄ!A48)</f>
        <v/>
      </c>
      <c r="B46" s="529" t="str">
        <f>IF(補助ﾘｽﾄ!B48="","",補助ﾘｽﾄ!B48)</f>
        <v>―</v>
      </c>
      <c r="C46" s="532" t="str">
        <f>IF(補助ﾘｽﾄ!C48="","",補助ﾘｽﾄ!C48)</f>
        <v/>
      </c>
      <c r="D46" s="529" t="str">
        <f>IF(補助ﾘｽﾄ!D48="","",補助ﾘｽﾄ!D48)</f>
        <v/>
      </c>
      <c r="E46" s="533" t="str">
        <f>IF(C46="","",IF($A46="IDEAv2",VLOOKUP($C46,IDEAv2原単位!$A$3:$F$4021,5,FALSE),IF($A46="その他",VLOOKUP($C46,その他原単位!$A$4:$D$13,4,FALSE),"千円")))</f>
        <v/>
      </c>
      <c r="F46" s="533" t="str">
        <f>IF(C46="","",IF($A46="IDEAv2",VLOOKUP($C46,IDEAv2原単位!$A$3:$F$4021,6,FALSE),IF(A46="その他",VLOOKUP($C46,その他原単位!$A$4:$D$13,3,FALSE),VLOOKUP(IDEAGLIO補助ﾘｽﾄ!$C46,GLIO!$B$5:$E$407,4,FALSE))))</f>
        <v/>
      </c>
    </row>
    <row r="47" spans="1:6">
      <c r="A47" s="529" t="str">
        <f>IF(補助ﾘｽﾄ!A49="","",補助ﾘｽﾄ!A49)</f>
        <v/>
      </c>
      <c r="B47" s="529" t="str">
        <f>IF(補助ﾘｽﾄ!B49="","",補助ﾘｽﾄ!B49)</f>
        <v>―</v>
      </c>
      <c r="C47" s="532" t="str">
        <f>IF(補助ﾘｽﾄ!C49="","",補助ﾘｽﾄ!C49)</f>
        <v/>
      </c>
      <c r="D47" s="529" t="str">
        <f>IF(補助ﾘｽﾄ!D49="","",補助ﾘｽﾄ!D49)</f>
        <v/>
      </c>
      <c r="E47" s="533" t="str">
        <f>IF(C47="","",IF($A47="IDEAv2",VLOOKUP($C47,IDEAv2原単位!$A$3:$F$4021,5,FALSE),IF($A47="その他",VLOOKUP($C47,その他原単位!$A$4:$D$13,4,FALSE),"千円")))</f>
        <v/>
      </c>
      <c r="F47" s="533" t="str">
        <f>IF(C47="","",IF($A47="IDEAv2",VLOOKUP($C47,IDEAv2原単位!$A$3:$F$4021,6,FALSE),IF(A47="その他",VLOOKUP($C47,その他原単位!$A$4:$D$13,3,FALSE),VLOOKUP(IDEAGLIO補助ﾘｽﾄ!$C47,GLIO!$B$5:$E$407,4,FALSE))))</f>
        <v/>
      </c>
    </row>
    <row r="48" spans="1:6">
      <c r="A48" s="529" t="str">
        <f>IF(補助ﾘｽﾄ!A50="","",補助ﾘｽﾄ!A50)</f>
        <v/>
      </c>
      <c r="B48" s="529" t="str">
        <f>IF(補助ﾘｽﾄ!B50="","",補助ﾘｽﾄ!B50)</f>
        <v>―</v>
      </c>
      <c r="C48" s="532" t="str">
        <f>IF(補助ﾘｽﾄ!C50="","",補助ﾘｽﾄ!C50)</f>
        <v/>
      </c>
      <c r="D48" s="529" t="str">
        <f>IF(補助ﾘｽﾄ!D50="","",補助ﾘｽﾄ!D50)</f>
        <v/>
      </c>
      <c r="E48" s="533" t="str">
        <f>IF(C48="","",IF($A48="IDEAv2",VLOOKUP($C48,IDEAv2原単位!$A$3:$F$4021,5,FALSE),IF($A48="その他",VLOOKUP($C48,その他原単位!$A$4:$D$13,4,FALSE),"千円")))</f>
        <v/>
      </c>
      <c r="F48" s="533" t="str">
        <f>IF(C48="","",IF($A48="IDEAv2",VLOOKUP($C48,IDEAv2原単位!$A$3:$F$4021,6,FALSE),IF(A48="その他",VLOOKUP($C48,その他原単位!$A$4:$D$13,3,FALSE),VLOOKUP(IDEAGLIO補助ﾘｽﾄ!$C48,GLIO!$B$5:$E$407,4,FALSE))))</f>
        <v/>
      </c>
    </row>
    <row r="49" spans="1:6">
      <c r="A49" s="529" t="str">
        <f>IF(補助ﾘｽﾄ!A51="","",補助ﾘｽﾄ!A51)</f>
        <v/>
      </c>
      <c r="B49" s="529" t="str">
        <f>IF(補助ﾘｽﾄ!B51="","",補助ﾘｽﾄ!B51)</f>
        <v>―</v>
      </c>
      <c r="C49" s="532" t="str">
        <f>IF(補助ﾘｽﾄ!C51="","",補助ﾘｽﾄ!C51)</f>
        <v/>
      </c>
      <c r="D49" s="529" t="str">
        <f>IF(補助ﾘｽﾄ!D51="","",補助ﾘｽﾄ!D51)</f>
        <v/>
      </c>
      <c r="E49" s="533" t="str">
        <f>IF(C49="","",IF($A49="IDEAv2",VLOOKUP($C49,IDEAv2原単位!$A$3:$F$4021,5,FALSE),IF($A49="その他",VLOOKUP($C49,その他原単位!$A$4:$D$13,4,FALSE),"千円")))</f>
        <v/>
      </c>
      <c r="F49" s="533" t="str">
        <f>IF(C49="","",IF($A49="IDEAv2",VLOOKUP($C49,IDEAv2原単位!$A$3:$F$4021,6,FALSE),IF(A49="その他",VLOOKUP($C49,その他原単位!$A$4:$D$13,3,FALSE),VLOOKUP(IDEAGLIO補助ﾘｽﾄ!$C49,GLIO!$B$5:$E$407,4,FALSE))))</f>
        <v/>
      </c>
    </row>
    <row r="50" spans="1:6">
      <c r="A50" s="529" t="str">
        <f>IF(補助ﾘｽﾄ!A52="","",補助ﾘｽﾄ!A52)</f>
        <v/>
      </c>
      <c r="B50" s="529" t="str">
        <f>IF(補助ﾘｽﾄ!B52="","",補助ﾘｽﾄ!B52)</f>
        <v>―</v>
      </c>
      <c r="C50" s="532" t="str">
        <f>IF(補助ﾘｽﾄ!C52="","",補助ﾘｽﾄ!C52)</f>
        <v/>
      </c>
      <c r="D50" s="529" t="str">
        <f>IF(補助ﾘｽﾄ!D52="","",補助ﾘｽﾄ!D52)</f>
        <v/>
      </c>
      <c r="E50" s="533" t="str">
        <f>IF(C50="","",IF($A50="IDEAv2",VLOOKUP($C50,IDEAv2原単位!$A$3:$F$4021,5,FALSE),IF($A50="その他",VLOOKUP($C50,その他原単位!$A$4:$D$13,4,FALSE),"千円")))</f>
        <v/>
      </c>
      <c r="F50" s="533" t="str">
        <f>IF(C50="","",IF($A50="IDEAv2",VLOOKUP($C50,IDEAv2原単位!$A$3:$F$4021,6,FALSE),IF(A50="その他",VLOOKUP($C50,その他原単位!$A$4:$D$13,3,FALSE),VLOOKUP(IDEAGLIO補助ﾘｽﾄ!$C50,GLIO!$B$5:$E$407,4,FALSE))))</f>
        <v/>
      </c>
    </row>
  </sheetData>
  <sortState ref="A2:F23">
    <sortCondition ref="B2:B23"/>
  </sortState>
  <phoneticPr fontId="33"/>
  <conditionalFormatting sqref="F2:F50">
    <cfRule type="cellIs" dxfId="3" priority="2" operator="equal">
      <formula>0</formula>
    </cfRule>
  </conditionalFormatting>
  <conditionalFormatting sqref="F2:F50">
    <cfRule type="cellIs" dxfId="2" priority="1" operator="equal">
      <formula>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N2505"/>
  <sheetViews>
    <sheetView topLeftCell="A1174" workbookViewId="0">
      <selection activeCell="E1180" sqref="E1180"/>
    </sheetView>
  </sheetViews>
  <sheetFormatPr defaultRowHeight="13.8"/>
  <cols>
    <col min="1" max="1" width="46.3984375" style="175" bestFit="1" customWidth="1"/>
    <col min="2" max="2" width="20" style="217" bestFit="1" customWidth="1"/>
    <col min="3" max="3" width="10.5" style="215" bestFit="1" customWidth="1"/>
    <col min="4" max="7" width="9" style="175"/>
  </cols>
  <sheetData>
    <row r="1" spans="1:7">
      <c r="A1" s="175" t="s">
        <v>2288</v>
      </c>
      <c r="B1" s="217" t="s">
        <v>6944</v>
      </c>
      <c r="C1" s="215" t="s">
        <v>2291</v>
      </c>
      <c r="D1" s="175" t="s">
        <v>2289</v>
      </c>
      <c r="E1" s="175" t="s">
        <v>2012</v>
      </c>
      <c r="F1" s="175" t="s">
        <v>2290</v>
      </c>
      <c r="G1" s="175" t="s">
        <v>2011</v>
      </c>
    </row>
    <row r="2" spans="1:7">
      <c r="A2" s="175" t="s">
        <v>2292</v>
      </c>
      <c r="B2" s="217" t="str">
        <f t="shared" ref="B2:B65" si="0">C2&amp;"["&amp;F2&amp;"]"</f>
        <v>11100000[m2]</v>
      </c>
      <c r="C2" s="216">
        <v>11100000</v>
      </c>
      <c r="D2" s="175" t="s">
        <v>235</v>
      </c>
      <c r="E2" s="175">
        <v>2.1245523027785</v>
      </c>
      <c r="F2" s="175" t="s">
        <v>425</v>
      </c>
      <c r="G2" s="175" t="s">
        <v>2293</v>
      </c>
    </row>
    <row r="3" spans="1:7">
      <c r="A3" s="175" t="s">
        <v>2292</v>
      </c>
      <c r="B3" s="217" t="str">
        <f t="shared" si="0"/>
        <v>11100000[円]</v>
      </c>
      <c r="C3" s="216">
        <v>11100000</v>
      </c>
      <c r="D3" s="175" t="s">
        <v>235</v>
      </c>
      <c r="E3" s="175">
        <v>238.33382811003301</v>
      </c>
      <c r="F3" s="175" t="s">
        <v>265</v>
      </c>
      <c r="G3" s="175" t="s">
        <v>2293</v>
      </c>
    </row>
    <row r="4" spans="1:7">
      <c r="A4" s="175" t="s">
        <v>2294</v>
      </c>
      <c r="B4" s="217" t="str">
        <f t="shared" si="0"/>
        <v>11111000[m2]</v>
      </c>
      <c r="C4" s="216">
        <v>11111000</v>
      </c>
      <c r="D4" s="175" t="s">
        <v>235</v>
      </c>
      <c r="E4" s="175">
        <v>2.1245523027785</v>
      </c>
      <c r="F4" s="175" t="s">
        <v>425</v>
      </c>
      <c r="G4" s="175" t="s">
        <v>236</v>
      </c>
    </row>
    <row r="5" spans="1:7">
      <c r="A5" s="175" t="s">
        <v>2294</v>
      </c>
      <c r="B5" s="217" t="str">
        <f t="shared" si="0"/>
        <v>11111000[円]</v>
      </c>
      <c r="C5" s="216">
        <v>11111000</v>
      </c>
      <c r="D5" s="175" t="s">
        <v>235</v>
      </c>
      <c r="E5" s="175">
        <v>238.33382811003301</v>
      </c>
      <c r="F5" s="175" t="s">
        <v>265</v>
      </c>
      <c r="G5" s="175" t="s">
        <v>236</v>
      </c>
    </row>
    <row r="6" spans="1:7">
      <c r="A6" s="175" t="s">
        <v>2295</v>
      </c>
      <c r="B6" s="217" t="str">
        <f t="shared" si="0"/>
        <v>11200000[m2]</v>
      </c>
      <c r="C6" s="216">
        <v>11200000</v>
      </c>
      <c r="D6" s="175" t="s">
        <v>235</v>
      </c>
      <c r="E6" s="175">
        <v>2.6204986149584499</v>
      </c>
      <c r="F6" s="175" t="s">
        <v>425</v>
      </c>
      <c r="G6" s="175" t="s">
        <v>2296</v>
      </c>
    </row>
    <row r="7" spans="1:7">
      <c r="A7" s="175" t="s">
        <v>2295</v>
      </c>
      <c r="B7" s="217" t="str">
        <f t="shared" si="0"/>
        <v>11200000[円]</v>
      </c>
      <c r="C7" s="216">
        <v>11200000</v>
      </c>
      <c r="D7" s="175" t="s">
        <v>235</v>
      </c>
      <c r="E7" s="175">
        <v>81.820175128636293</v>
      </c>
      <c r="F7" s="175" t="s">
        <v>265</v>
      </c>
      <c r="G7" s="175" t="s">
        <v>2296</v>
      </c>
    </row>
    <row r="8" spans="1:7">
      <c r="A8" s="175" t="s">
        <v>2297</v>
      </c>
      <c r="B8" s="217" t="str">
        <f t="shared" si="0"/>
        <v>11211000[円]</v>
      </c>
      <c r="C8" s="216">
        <v>11211000</v>
      </c>
      <c r="D8" s="175" t="s">
        <v>235</v>
      </c>
      <c r="E8" s="175">
        <v>72.650000000000006</v>
      </c>
      <c r="F8" s="175" t="s">
        <v>265</v>
      </c>
      <c r="G8" s="175" t="s">
        <v>237</v>
      </c>
    </row>
    <row r="9" spans="1:7">
      <c r="A9" s="175" t="s">
        <v>2297</v>
      </c>
      <c r="B9" s="217" t="str">
        <f t="shared" si="0"/>
        <v>11211000[m2]</v>
      </c>
      <c r="C9" s="216">
        <v>11211000</v>
      </c>
      <c r="D9" s="175" t="s">
        <v>235</v>
      </c>
      <c r="E9" s="175">
        <v>2.6591107236268501</v>
      </c>
      <c r="F9" s="175" t="s">
        <v>425</v>
      </c>
      <c r="G9" s="175" t="s">
        <v>237</v>
      </c>
    </row>
    <row r="10" spans="1:7">
      <c r="A10" s="175" t="s">
        <v>2298</v>
      </c>
      <c r="B10" s="217" t="str">
        <f t="shared" si="0"/>
        <v>11212000[m2]</v>
      </c>
      <c r="C10" s="216">
        <v>11212000</v>
      </c>
      <c r="D10" s="175" t="s">
        <v>235</v>
      </c>
      <c r="E10" s="175">
        <v>2.44343891402715</v>
      </c>
      <c r="F10" s="175" t="s">
        <v>425</v>
      </c>
      <c r="G10" s="175" t="s">
        <v>238</v>
      </c>
    </row>
    <row r="11" spans="1:7">
      <c r="A11" s="175" t="s">
        <v>2298</v>
      </c>
      <c r="B11" s="217" t="str">
        <f t="shared" si="0"/>
        <v>11212000[円]</v>
      </c>
      <c r="C11" s="216">
        <v>11212000</v>
      </c>
      <c r="D11" s="175" t="s">
        <v>235</v>
      </c>
      <c r="E11" s="175">
        <v>84.95</v>
      </c>
      <c r="F11" s="175" t="s">
        <v>265</v>
      </c>
      <c r="G11" s="175" t="s">
        <v>238</v>
      </c>
    </row>
    <row r="12" spans="1:7">
      <c r="A12" s="175" t="s">
        <v>2299</v>
      </c>
      <c r="B12" s="217" t="str">
        <f t="shared" si="0"/>
        <v>11213000[円]</v>
      </c>
      <c r="C12" s="216">
        <v>11213000</v>
      </c>
      <c r="D12" s="175" t="s">
        <v>235</v>
      </c>
      <c r="E12" s="175">
        <v>62.5</v>
      </c>
      <c r="F12" s="175" t="s">
        <v>265</v>
      </c>
      <c r="G12" s="175" t="s">
        <v>239</v>
      </c>
    </row>
    <row r="13" spans="1:7">
      <c r="A13" s="175" t="s">
        <v>2299</v>
      </c>
      <c r="B13" s="217" t="str">
        <f t="shared" si="0"/>
        <v>11213000[m2]</v>
      </c>
      <c r="C13" s="216">
        <v>11213000</v>
      </c>
      <c r="D13" s="175" t="s">
        <v>235</v>
      </c>
      <c r="E13" s="175">
        <v>2.9765013054830298</v>
      </c>
      <c r="F13" s="175" t="s">
        <v>425</v>
      </c>
      <c r="G13" s="175" t="s">
        <v>239</v>
      </c>
    </row>
    <row r="14" spans="1:7">
      <c r="A14" s="175" t="s">
        <v>2300</v>
      </c>
      <c r="B14" s="217" t="str">
        <f t="shared" si="0"/>
        <v>11214000[m2]</v>
      </c>
      <c r="C14" s="216">
        <v>11214000</v>
      </c>
      <c r="D14" s="175" t="s">
        <v>235</v>
      </c>
      <c r="E14" s="175">
        <v>2.3846653671215101</v>
      </c>
      <c r="F14" s="175" t="s">
        <v>425</v>
      </c>
      <c r="G14" s="175" t="s">
        <v>240</v>
      </c>
    </row>
    <row r="15" spans="1:7">
      <c r="A15" s="175" t="s">
        <v>2300</v>
      </c>
      <c r="B15" s="217" t="str">
        <f t="shared" si="0"/>
        <v>11214000[円]</v>
      </c>
      <c r="C15" s="216">
        <v>11214000</v>
      </c>
      <c r="D15" s="175" t="s">
        <v>235</v>
      </c>
      <c r="E15" s="175">
        <v>139.84</v>
      </c>
      <c r="F15" s="175" t="s">
        <v>265</v>
      </c>
      <c r="G15" s="175" t="s">
        <v>240</v>
      </c>
    </row>
    <row r="16" spans="1:7">
      <c r="A16" s="175" t="s">
        <v>2301</v>
      </c>
      <c r="B16" s="217" t="str">
        <f t="shared" si="0"/>
        <v>11219000[円]</v>
      </c>
      <c r="C16" s="216">
        <v>11219000</v>
      </c>
      <c r="D16" s="175" t="s">
        <v>235</v>
      </c>
      <c r="E16" s="175">
        <v>320</v>
      </c>
      <c r="F16" s="175" t="s">
        <v>265</v>
      </c>
      <c r="G16" s="175" t="s">
        <v>2302</v>
      </c>
    </row>
    <row r="17" spans="1:7">
      <c r="A17" s="175" t="s">
        <v>2303</v>
      </c>
      <c r="B17" s="217" t="str">
        <f t="shared" si="0"/>
        <v>11300000[m2]</v>
      </c>
      <c r="C17" s="216">
        <v>11300000</v>
      </c>
      <c r="D17" s="175" t="s">
        <v>235</v>
      </c>
      <c r="E17" s="175">
        <v>5.1971522453450198</v>
      </c>
      <c r="F17" s="175" t="s">
        <v>425</v>
      </c>
      <c r="G17" s="175" t="s">
        <v>2304</v>
      </c>
    </row>
    <row r="18" spans="1:7">
      <c r="A18" s="175" t="s">
        <v>2303</v>
      </c>
      <c r="B18" s="217" t="str">
        <f t="shared" si="0"/>
        <v>11300000[円]</v>
      </c>
      <c r="C18" s="216">
        <v>11300000</v>
      </c>
      <c r="D18" s="175" t="s">
        <v>235</v>
      </c>
      <c r="E18" s="175">
        <v>332.12521341160902</v>
      </c>
      <c r="F18" s="175" t="s">
        <v>265</v>
      </c>
      <c r="G18" s="175" t="s">
        <v>2304</v>
      </c>
    </row>
    <row r="19" spans="1:7">
      <c r="A19" s="175" t="s">
        <v>2305</v>
      </c>
      <c r="B19" s="217" t="str">
        <f t="shared" si="0"/>
        <v>11311000[円]</v>
      </c>
      <c r="C19" s="216">
        <v>11311000</v>
      </c>
      <c r="D19" s="175" t="s">
        <v>235</v>
      </c>
      <c r="E19" s="175">
        <v>130.80000000000001</v>
      </c>
      <c r="F19" s="175" t="s">
        <v>265</v>
      </c>
      <c r="G19" s="175" t="s">
        <v>241</v>
      </c>
    </row>
    <row r="20" spans="1:7">
      <c r="A20" s="175" t="s">
        <v>2305</v>
      </c>
      <c r="B20" s="217" t="str">
        <f t="shared" si="0"/>
        <v>11311000[m2]</v>
      </c>
      <c r="C20" s="216">
        <v>11311000</v>
      </c>
      <c r="D20" s="175" t="s">
        <v>235</v>
      </c>
      <c r="E20" s="175">
        <v>5.2127659574468099</v>
      </c>
      <c r="F20" s="175" t="s">
        <v>425</v>
      </c>
      <c r="G20" s="175" t="s">
        <v>241</v>
      </c>
    </row>
    <row r="21" spans="1:7">
      <c r="A21" s="175" t="s">
        <v>2306</v>
      </c>
      <c r="B21" s="217" t="str">
        <f t="shared" si="0"/>
        <v>11312000[m2]</v>
      </c>
      <c r="C21" s="216">
        <v>11312000</v>
      </c>
      <c r="D21" s="175" t="s">
        <v>235</v>
      </c>
      <c r="E21" s="175">
        <v>4.9433106575963697</v>
      </c>
      <c r="F21" s="175" t="s">
        <v>425</v>
      </c>
      <c r="G21" s="175" t="s">
        <v>242</v>
      </c>
    </row>
    <row r="22" spans="1:7">
      <c r="A22" s="175" t="s">
        <v>2306</v>
      </c>
      <c r="B22" s="217" t="str">
        <f t="shared" si="0"/>
        <v>11312000[円]</v>
      </c>
      <c r="C22" s="216">
        <v>11312000</v>
      </c>
      <c r="D22" s="175" t="s">
        <v>235</v>
      </c>
      <c r="E22" s="175">
        <v>355.83333329999999</v>
      </c>
      <c r="F22" s="175" t="s">
        <v>265</v>
      </c>
      <c r="G22" s="175" t="s">
        <v>242</v>
      </c>
    </row>
    <row r="23" spans="1:7">
      <c r="A23" s="175" t="s">
        <v>2307</v>
      </c>
      <c r="B23" s="217" t="str">
        <f t="shared" si="0"/>
        <v>11313000[円]</v>
      </c>
      <c r="C23" s="216">
        <v>11313000</v>
      </c>
      <c r="D23" s="175" t="s">
        <v>235</v>
      </c>
      <c r="E23" s="175">
        <v>491.66666670000001</v>
      </c>
      <c r="F23" s="175" t="s">
        <v>265</v>
      </c>
      <c r="G23" s="175" t="s">
        <v>243</v>
      </c>
    </row>
    <row r="24" spans="1:7">
      <c r="A24" s="175" t="s">
        <v>2307</v>
      </c>
      <c r="B24" s="217" t="str">
        <f t="shared" si="0"/>
        <v>11313000[m2]</v>
      </c>
      <c r="C24" s="216">
        <v>11313000</v>
      </c>
      <c r="D24" s="175" t="s">
        <v>235</v>
      </c>
      <c r="E24" s="175">
        <v>4.0449438202247201</v>
      </c>
      <c r="F24" s="175" t="s">
        <v>425</v>
      </c>
      <c r="G24" s="175" t="s">
        <v>243</v>
      </c>
    </row>
    <row r="25" spans="1:7">
      <c r="A25" s="175" t="s">
        <v>2308</v>
      </c>
      <c r="B25" s="217" t="str">
        <f t="shared" si="0"/>
        <v>11314000[円]</v>
      </c>
      <c r="C25" s="216">
        <v>11314000</v>
      </c>
      <c r="D25" s="175" t="s">
        <v>235</v>
      </c>
      <c r="E25" s="175">
        <v>269</v>
      </c>
      <c r="F25" s="175" t="s">
        <v>265</v>
      </c>
      <c r="G25" s="175" t="s">
        <v>244</v>
      </c>
    </row>
    <row r="26" spans="1:7">
      <c r="A26" s="175" t="s">
        <v>2308</v>
      </c>
      <c r="B26" s="217" t="str">
        <f t="shared" si="0"/>
        <v>11314000[m2]</v>
      </c>
      <c r="C26" s="216">
        <v>11314000</v>
      </c>
      <c r="D26" s="175" t="s">
        <v>235</v>
      </c>
      <c r="E26" s="175">
        <v>8.4313725490196099</v>
      </c>
      <c r="F26" s="175" t="s">
        <v>425</v>
      </c>
      <c r="G26" s="175" t="s">
        <v>244</v>
      </c>
    </row>
    <row r="27" spans="1:7">
      <c r="A27" s="175" t="s">
        <v>2309</v>
      </c>
      <c r="B27" s="217" t="str">
        <f t="shared" si="0"/>
        <v>11319000[円]</v>
      </c>
      <c r="C27" s="216">
        <v>11319000</v>
      </c>
      <c r="D27" s="175" t="s">
        <v>235</v>
      </c>
      <c r="E27" s="175">
        <v>713.87130866426003</v>
      </c>
      <c r="F27" s="175" t="s">
        <v>265</v>
      </c>
      <c r="G27" s="175" t="s">
        <v>2310</v>
      </c>
    </row>
    <row r="28" spans="1:7">
      <c r="A28" s="175" t="s">
        <v>2311</v>
      </c>
      <c r="B28" s="217" t="str">
        <f t="shared" si="0"/>
        <v>11400000[円]</v>
      </c>
      <c r="C28" s="216">
        <v>11400000</v>
      </c>
      <c r="D28" s="175" t="s">
        <v>235</v>
      </c>
      <c r="E28" s="175">
        <v>201.94537096803299</v>
      </c>
      <c r="F28" s="175" t="s">
        <v>265</v>
      </c>
      <c r="G28" s="175" t="s">
        <v>2312</v>
      </c>
    </row>
    <row r="29" spans="1:7">
      <c r="A29" s="175" t="s">
        <v>2313</v>
      </c>
      <c r="B29" s="217" t="str">
        <f t="shared" si="0"/>
        <v>11411000[円]</v>
      </c>
      <c r="C29" s="216">
        <v>11411000</v>
      </c>
      <c r="D29" s="175" t="s">
        <v>235</v>
      </c>
      <c r="E29" s="175">
        <v>175.1</v>
      </c>
      <c r="F29" s="175" t="s">
        <v>265</v>
      </c>
      <c r="G29" s="175" t="s">
        <v>245</v>
      </c>
    </row>
    <row r="30" spans="1:7">
      <c r="A30" s="175" t="s">
        <v>2313</v>
      </c>
      <c r="B30" s="217" t="str">
        <f t="shared" si="0"/>
        <v>11411000[m2]</v>
      </c>
      <c r="C30" s="216">
        <v>11411000</v>
      </c>
      <c r="D30" s="175" t="s">
        <v>235</v>
      </c>
      <c r="E30" s="175">
        <v>0.18138831095138999</v>
      </c>
      <c r="F30" s="175" t="s">
        <v>425</v>
      </c>
      <c r="G30" s="175" t="s">
        <v>245</v>
      </c>
    </row>
    <row r="31" spans="1:7">
      <c r="A31" s="175" t="s">
        <v>2314</v>
      </c>
      <c r="B31" s="217" t="str">
        <f t="shared" si="0"/>
        <v>11419000[円]</v>
      </c>
      <c r="C31" s="216">
        <v>11419000</v>
      </c>
      <c r="D31" s="175" t="s">
        <v>235</v>
      </c>
      <c r="E31" s="175">
        <v>365.82553378238498</v>
      </c>
      <c r="F31" s="175" t="s">
        <v>265</v>
      </c>
      <c r="G31" s="175" t="s">
        <v>2315</v>
      </c>
    </row>
    <row r="32" spans="1:7">
      <c r="A32" s="175" t="s">
        <v>2316</v>
      </c>
      <c r="B32" s="217" t="str">
        <f t="shared" si="0"/>
        <v>11500000[m2]</v>
      </c>
      <c r="C32" s="216">
        <v>11500000</v>
      </c>
      <c r="D32" s="175" t="s">
        <v>235</v>
      </c>
      <c r="E32" s="175">
        <v>0.34113796576032202</v>
      </c>
      <c r="F32" s="175" t="s">
        <v>425</v>
      </c>
      <c r="G32" s="175" t="s">
        <v>2317</v>
      </c>
    </row>
    <row r="33" spans="1:7">
      <c r="A33" s="175" t="s">
        <v>2316</v>
      </c>
      <c r="B33" s="217" t="str">
        <f t="shared" si="0"/>
        <v>11500000[円]</v>
      </c>
      <c r="C33" s="216">
        <v>11500000</v>
      </c>
      <c r="D33" s="175" t="s">
        <v>235</v>
      </c>
      <c r="E33" s="175">
        <v>87.584316340736905</v>
      </c>
      <c r="F33" s="175" t="s">
        <v>265</v>
      </c>
      <c r="G33" s="175" t="s">
        <v>2317</v>
      </c>
    </row>
    <row r="34" spans="1:7">
      <c r="A34" s="175" t="s">
        <v>2318</v>
      </c>
      <c r="B34" s="217" t="str">
        <f t="shared" si="0"/>
        <v>11511000[m2]</v>
      </c>
      <c r="C34" s="216">
        <v>11511000</v>
      </c>
      <c r="D34" s="175" t="s">
        <v>235</v>
      </c>
      <c r="E34" s="175">
        <v>0.40447343895619797</v>
      </c>
      <c r="F34" s="175" t="s">
        <v>425</v>
      </c>
      <c r="G34" s="175" t="s">
        <v>246</v>
      </c>
    </row>
    <row r="35" spans="1:7">
      <c r="A35" s="175" t="s">
        <v>2318</v>
      </c>
      <c r="B35" s="217" t="str">
        <f t="shared" si="0"/>
        <v>11511000[円]</v>
      </c>
      <c r="C35" s="216">
        <v>11511000</v>
      </c>
      <c r="D35" s="175" t="s">
        <v>235</v>
      </c>
      <c r="E35" s="175">
        <v>130.10157480000001</v>
      </c>
      <c r="F35" s="175" t="s">
        <v>265</v>
      </c>
      <c r="G35" s="175" t="s">
        <v>246</v>
      </c>
    </row>
    <row r="36" spans="1:7">
      <c r="A36" s="175" t="s">
        <v>2319</v>
      </c>
      <c r="B36" s="217" t="str">
        <f t="shared" si="0"/>
        <v>11512000[円]</v>
      </c>
      <c r="C36" s="216">
        <v>11512000</v>
      </c>
      <c r="D36" s="175" t="s">
        <v>235</v>
      </c>
      <c r="E36" s="175">
        <v>67.886371969999999</v>
      </c>
      <c r="F36" s="175" t="s">
        <v>265</v>
      </c>
      <c r="G36" s="175" t="s">
        <v>247</v>
      </c>
    </row>
    <row r="37" spans="1:7">
      <c r="A37" s="175" t="s">
        <v>2319</v>
      </c>
      <c r="B37" s="217" t="str">
        <f t="shared" si="0"/>
        <v>11512000[m2]</v>
      </c>
      <c r="C37" s="216">
        <v>11512000</v>
      </c>
      <c r="D37" s="175" t="s">
        <v>235</v>
      </c>
      <c r="E37" s="175">
        <v>0.31769575715764098</v>
      </c>
      <c r="F37" s="175" t="s">
        <v>425</v>
      </c>
      <c r="G37" s="175" t="s">
        <v>247</v>
      </c>
    </row>
    <row r="38" spans="1:7">
      <c r="A38" s="175" t="s">
        <v>2320</v>
      </c>
      <c r="B38" s="217" t="str">
        <f t="shared" si="0"/>
        <v>11519000[円]</v>
      </c>
      <c r="C38" s="216">
        <v>11519000</v>
      </c>
      <c r="D38" s="175" t="s">
        <v>235</v>
      </c>
      <c r="E38" s="175">
        <v>84.929471286778707</v>
      </c>
      <c r="F38" s="175" t="s">
        <v>265</v>
      </c>
      <c r="G38" s="175" t="s">
        <v>2321</v>
      </c>
    </row>
    <row r="39" spans="1:7">
      <c r="A39" s="175" t="s">
        <v>2322</v>
      </c>
      <c r="B39" s="217" t="str">
        <f t="shared" si="0"/>
        <v>12100000[円]</v>
      </c>
      <c r="C39" s="216">
        <v>12100000</v>
      </c>
      <c r="D39" s="175" t="s">
        <v>235</v>
      </c>
      <c r="E39" s="175">
        <v>400.64402112065397</v>
      </c>
      <c r="F39" s="175" t="s">
        <v>265</v>
      </c>
      <c r="G39" s="175" t="s">
        <v>2323</v>
      </c>
    </row>
    <row r="40" spans="1:7">
      <c r="A40" s="175" t="s">
        <v>2322</v>
      </c>
      <c r="B40" s="217" t="str">
        <f t="shared" si="0"/>
        <v>12100000[m2]</v>
      </c>
      <c r="C40" s="216">
        <v>12100000</v>
      </c>
      <c r="D40" s="175" t="s">
        <v>235</v>
      </c>
      <c r="E40" s="175">
        <v>0.29882923264163302</v>
      </c>
      <c r="F40" s="175" t="s">
        <v>425</v>
      </c>
      <c r="G40" s="175" t="s">
        <v>2323</v>
      </c>
    </row>
    <row r="41" spans="1:7">
      <c r="A41" s="175" t="s">
        <v>2324</v>
      </c>
      <c r="B41" s="217" t="str">
        <f t="shared" si="0"/>
        <v>12111000[円]</v>
      </c>
      <c r="C41" s="216">
        <v>12111000</v>
      </c>
      <c r="D41" s="175" t="s">
        <v>235</v>
      </c>
      <c r="E41" s="175">
        <v>296.66546850708698</v>
      </c>
      <c r="F41" s="175" t="s">
        <v>265</v>
      </c>
      <c r="G41" s="175" t="s">
        <v>2325</v>
      </c>
    </row>
    <row r="42" spans="1:7">
      <c r="A42" s="175" t="s">
        <v>2324</v>
      </c>
      <c r="B42" s="217" t="str">
        <f t="shared" si="0"/>
        <v>12111000[m2]</v>
      </c>
      <c r="C42" s="216">
        <v>12111000</v>
      </c>
      <c r="D42" s="175" t="s">
        <v>235</v>
      </c>
      <c r="E42" s="175">
        <v>0.23673596028544799</v>
      </c>
      <c r="F42" s="175" t="s">
        <v>425</v>
      </c>
      <c r="G42" s="175" t="s">
        <v>2325</v>
      </c>
    </row>
    <row r="43" spans="1:7">
      <c r="A43" s="175" t="s">
        <v>2326</v>
      </c>
      <c r="B43" s="217" t="str">
        <f t="shared" si="0"/>
        <v>12111201[m2]</v>
      </c>
      <c r="C43" s="216">
        <v>12111201</v>
      </c>
      <c r="D43" s="175" t="s">
        <v>235</v>
      </c>
      <c r="E43" s="175">
        <v>0.404398722951401</v>
      </c>
      <c r="F43" s="175" t="s">
        <v>425</v>
      </c>
      <c r="G43" s="175" t="s">
        <v>2327</v>
      </c>
    </row>
    <row r="44" spans="1:7">
      <c r="A44" s="175" t="s">
        <v>2326</v>
      </c>
      <c r="B44" s="217" t="str">
        <f t="shared" si="0"/>
        <v>12111201[円]</v>
      </c>
      <c r="C44" s="216">
        <v>12111201</v>
      </c>
      <c r="D44" s="175" t="s">
        <v>235</v>
      </c>
      <c r="E44" s="175">
        <v>190.39819180000001</v>
      </c>
      <c r="F44" s="175" t="s">
        <v>265</v>
      </c>
      <c r="G44" s="175" t="s">
        <v>2327</v>
      </c>
    </row>
    <row r="45" spans="1:7">
      <c r="A45" s="175" t="s">
        <v>2328</v>
      </c>
      <c r="B45" s="217" t="str">
        <f t="shared" si="0"/>
        <v>12111202[m2]</v>
      </c>
      <c r="C45" s="216">
        <v>12111202</v>
      </c>
      <c r="D45" s="175" t="s">
        <v>235</v>
      </c>
      <c r="E45" s="175">
        <v>0.10642404190791301</v>
      </c>
      <c r="F45" s="175" t="s">
        <v>425</v>
      </c>
      <c r="G45" s="175" t="s">
        <v>2329</v>
      </c>
    </row>
    <row r="46" spans="1:7">
      <c r="A46" s="175" t="s">
        <v>2328</v>
      </c>
      <c r="B46" s="217" t="str">
        <f t="shared" si="0"/>
        <v>12111202[円]</v>
      </c>
      <c r="C46" s="216">
        <v>12111202</v>
      </c>
      <c r="D46" s="175" t="s">
        <v>235</v>
      </c>
      <c r="E46" s="175">
        <v>376.84587920000001</v>
      </c>
      <c r="F46" s="175" t="s">
        <v>265</v>
      </c>
      <c r="G46" s="175" t="s">
        <v>2329</v>
      </c>
    </row>
    <row r="47" spans="1:7">
      <c r="A47" s="175" t="s">
        <v>2330</v>
      </c>
      <c r="B47" s="217" t="str">
        <f t="shared" si="0"/>
        <v>12112000[円]</v>
      </c>
      <c r="C47" s="216">
        <v>12112000</v>
      </c>
      <c r="D47" s="175" t="s">
        <v>235</v>
      </c>
      <c r="E47" s="175">
        <v>192.133708023541</v>
      </c>
      <c r="F47" s="175" t="s">
        <v>265</v>
      </c>
      <c r="G47" s="175" t="s">
        <v>2331</v>
      </c>
    </row>
    <row r="48" spans="1:7">
      <c r="A48" s="175" t="s">
        <v>2330</v>
      </c>
      <c r="B48" s="217" t="str">
        <f t="shared" si="0"/>
        <v>12112000[m2]</v>
      </c>
      <c r="C48" s="216">
        <v>12112000</v>
      </c>
      <c r="D48" s="175" t="s">
        <v>235</v>
      </c>
      <c r="E48" s="175">
        <v>0.33942558746736301</v>
      </c>
      <c r="F48" s="175" t="s">
        <v>425</v>
      </c>
      <c r="G48" s="175" t="s">
        <v>2331</v>
      </c>
    </row>
    <row r="49" spans="1:7">
      <c r="A49" s="175" t="s">
        <v>2332</v>
      </c>
      <c r="B49" s="217" t="str">
        <f t="shared" si="0"/>
        <v>12112201[m2]</v>
      </c>
      <c r="C49" s="216">
        <v>12112201</v>
      </c>
      <c r="D49" s="175" t="s">
        <v>235</v>
      </c>
      <c r="E49" s="175">
        <v>0.33885417846410298</v>
      </c>
      <c r="F49" s="175" t="s">
        <v>425</v>
      </c>
      <c r="G49" s="175" t="s">
        <v>2333</v>
      </c>
    </row>
    <row r="50" spans="1:7">
      <c r="A50" s="175" t="s">
        <v>2332</v>
      </c>
      <c r="B50" s="217" t="str">
        <f t="shared" si="0"/>
        <v>12112201[円]</v>
      </c>
      <c r="C50" s="216">
        <v>12112201</v>
      </c>
      <c r="D50" s="175" t="s">
        <v>235</v>
      </c>
      <c r="E50" s="175">
        <v>172.63748200000001</v>
      </c>
      <c r="F50" s="175" t="s">
        <v>265</v>
      </c>
      <c r="G50" s="175" t="s">
        <v>2333</v>
      </c>
    </row>
    <row r="51" spans="1:7">
      <c r="A51" s="175" t="s">
        <v>2334</v>
      </c>
      <c r="B51" s="217" t="str">
        <f t="shared" si="0"/>
        <v>12112202[円]</v>
      </c>
      <c r="C51" s="216">
        <v>12112202</v>
      </c>
      <c r="D51" s="175" t="s">
        <v>235</v>
      </c>
      <c r="E51" s="175">
        <v>254.0687442</v>
      </c>
      <c r="F51" s="175" t="s">
        <v>265</v>
      </c>
      <c r="G51" s="175" t="s">
        <v>2335</v>
      </c>
    </row>
    <row r="52" spans="1:7">
      <c r="A52" s="175" t="s">
        <v>2334</v>
      </c>
      <c r="B52" s="217" t="str">
        <f t="shared" si="0"/>
        <v>12112202[m2]</v>
      </c>
      <c r="C52" s="216">
        <v>12112202</v>
      </c>
      <c r="D52" s="175" t="s">
        <v>235</v>
      </c>
      <c r="E52" s="175">
        <v>0.37429817964685802</v>
      </c>
      <c r="F52" s="175" t="s">
        <v>425</v>
      </c>
      <c r="G52" s="175" t="s">
        <v>2335</v>
      </c>
    </row>
    <row r="53" spans="1:7">
      <c r="A53" s="175" t="s">
        <v>2336</v>
      </c>
      <c r="B53" s="217" t="str">
        <f t="shared" si="0"/>
        <v>12113000[円]</v>
      </c>
      <c r="C53" s="216">
        <v>12113000</v>
      </c>
      <c r="D53" s="175" t="s">
        <v>235</v>
      </c>
      <c r="E53" s="175">
        <v>454</v>
      </c>
      <c r="F53" s="175" t="s">
        <v>265</v>
      </c>
      <c r="G53" s="175" t="s">
        <v>2337</v>
      </c>
    </row>
    <row r="54" spans="1:7">
      <c r="A54" s="175" t="s">
        <v>2338</v>
      </c>
      <c r="B54" s="217" t="str">
        <f t="shared" si="0"/>
        <v>12113201[円]</v>
      </c>
      <c r="C54" s="216">
        <v>12113201</v>
      </c>
      <c r="D54" s="175" t="s">
        <v>235</v>
      </c>
      <c r="E54" s="175">
        <v>291</v>
      </c>
      <c r="F54" s="175" t="s">
        <v>265</v>
      </c>
      <c r="G54" s="175" t="s">
        <v>2339</v>
      </c>
    </row>
    <row r="55" spans="1:7">
      <c r="A55" s="175" t="s">
        <v>2340</v>
      </c>
      <c r="B55" s="217" t="str">
        <f t="shared" si="0"/>
        <v>12113202[円]</v>
      </c>
      <c r="C55" s="216">
        <v>12113202</v>
      </c>
      <c r="D55" s="175" t="s">
        <v>235</v>
      </c>
      <c r="E55" s="175">
        <v>506</v>
      </c>
      <c r="F55" s="175" t="s">
        <v>265</v>
      </c>
      <c r="G55" s="175" t="s">
        <v>2341</v>
      </c>
    </row>
    <row r="56" spans="1:7">
      <c r="A56" s="175" t="s">
        <v>2342</v>
      </c>
      <c r="B56" s="217" t="str">
        <f t="shared" si="0"/>
        <v>12113203[円]</v>
      </c>
      <c r="C56" s="216">
        <v>12113203</v>
      </c>
      <c r="D56" s="175" t="s">
        <v>235</v>
      </c>
      <c r="E56" s="175">
        <v>465</v>
      </c>
      <c r="F56" s="175" t="s">
        <v>265</v>
      </c>
      <c r="G56" s="175" t="s">
        <v>2343</v>
      </c>
    </row>
    <row r="57" spans="1:7">
      <c r="A57" s="175" t="s">
        <v>2344</v>
      </c>
      <c r="B57" s="217" t="str">
        <f t="shared" si="0"/>
        <v>12113204[円]</v>
      </c>
      <c r="C57" s="216">
        <v>12113204</v>
      </c>
      <c r="D57" s="175" t="s">
        <v>235</v>
      </c>
      <c r="E57" s="175">
        <v>929</v>
      </c>
      <c r="F57" s="175" t="s">
        <v>265</v>
      </c>
      <c r="G57" s="175" t="s">
        <v>2345</v>
      </c>
    </row>
    <row r="58" spans="1:7">
      <c r="A58" s="175" t="s">
        <v>2346</v>
      </c>
      <c r="B58" s="217" t="str">
        <f t="shared" si="0"/>
        <v>12113205[円]</v>
      </c>
      <c r="C58" s="216">
        <v>12113205</v>
      </c>
      <c r="D58" s="175" t="s">
        <v>235</v>
      </c>
      <c r="E58" s="175">
        <v>406</v>
      </c>
      <c r="F58" s="175" t="s">
        <v>265</v>
      </c>
      <c r="G58" s="175" t="s">
        <v>2347</v>
      </c>
    </row>
    <row r="59" spans="1:7">
      <c r="A59" s="175" t="s">
        <v>2348</v>
      </c>
      <c r="B59" s="217" t="str">
        <f t="shared" si="0"/>
        <v>12113206[円]</v>
      </c>
      <c r="C59" s="216">
        <v>12113206</v>
      </c>
      <c r="D59" s="175" t="s">
        <v>235</v>
      </c>
      <c r="E59" s="175">
        <v>764</v>
      </c>
      <c r="F59" s="175" t="s">
        <v>265</v>
      </c>
      <c r="G59" s="175" t="s">
        <v>2349</v>
      </c>
    </row>
    <row r="60" spans="1:7">
      <c r="A60" s="175" t="s">
        <v>2350</v>
      </c>
      <c r="B60" s="217" t="str">
        <f t="shared" si="0"/>
        <v>12113207[円]</v>
      </c>
      <c r="C60" s="216">
        <v>12113207</v>
      </c>
      <c r="D60" s="175" t="s">
        <v>235</v>
      </c>
      <c r="E60" s="175">
        <v>309</v>
      </c>
      <c r="F60" s="175" t="s">
        <v>265</v>
      </c>
      <c r="G60" s="175" t="s">
        <v>2351</v>
      </c>
    </row>
    <row r="61" spans="1:7">
      <c r="A61" s="175" t="s">
        <v>2352</v>
      </c>
      <c r="B61" s="217" t="str">
        <f t="shared" si="0"/>
        <v>12113208[円]</v>
      </c>
      <c r="C61" s="216">
        <v>12113208</v>
      </c>
      <c r="D61" s="175" t="s">
        <v>235</v>
      </c>
      <c r="E61" s="175">
        <v>572</v>
      </c>
      <c r="F61" s="175" t="s">
        <v>265</v>
      </c>
      <c r="G61" s="175" t="s">
        <v>2353</v>
      </c>
    </row>
    <row r="62" spans="1:7">
      <c r="A62" s="175" t="s">
        <v>2354</v>
      </c>
      <c r="B62" s="217" t="str">
        <f t="shared" si="0"/>
        <v>12114000[円]</v>
      </c>
      <c r="C62" s="216">
        <v>12114000</v>
      </c>
      <c r="D62" s="175" t="s">
        <v>235</v>
      </c>
      <c r="E62" s="175">
        <v>558</v>
      </c>
      <c r="F62" s="175" t="s">
        <v>265</v>
      </c>
      <c r="G62" s="175" t="s">
        <v>2355</v>
      </c>
    </row>
    <row r="63" spans="1:7">
      <c r="A63" s="175" t="s">
        <v>2356</v>
      </c>
      <c r="B63" s="217" t="str">
        <f t="shared" si="0"/>
        <v>12114201[円]</v>
      </c>
      <c r="C63" s="216">
        <v>12114201</v>
      </c>
      <c r="D63" s="175" t="s">
        <v>235</v>
      </c>
      <c r="E63" s="175">
        <v>323</v>
      </c>
      <c r="F63" s="175" t="s">
        <v>265</v>
      </c>
      <c r="G63" s="175" t="s">
        <v>2357</v>
      </c>
    </row>
    <row r="64" spans="1:7">
      <c r="A64" s="175" t="s">
        <v>2358</v>
      </c>
      <c r="B64" s="217" t="str">
        <f t="shared" si="0"/>
        <v>12114202[円]</v>
      </c>
      <c r="C64" s="216">
        <v>12114202</v>
      </c>
      <c r="D64" s="175" t="s">
        <v>235</v>
      </c>
      <c r="E64" s="175">
        <v>735</v>
      </c>
      <c r="F64" s="175" t="s">
        <v>265</v>
      </c>
      <c r="G64" s="175" t="s">
        <v>2359</v>
      </c>
    </row>
    <row r="65" spans="1:7">
      <c r="A65" s="175" t="s">
        <v>2360</v>
      </c>
      <c r="B65" s="217" t="str">
        <f t="shared" si="0"/>
        <v>12115000[円]</v>
      </c>
      <c r="C65" s="216">
        <v>12115000</v>
      </c>
      <c r="D65" s="175" t="s">
        <v>235</v>
      </c>
      <c r="E65" s="175">
        <v>1230</v>
      </c>
      <c r="F65" s="175" t="s">
        <v>265</v>
      </c>
      <c r="G65" s="175" t="s">
        <v>2361</v>
      </c>
    </row>
    <row r="66" spans="1:7">
      <c r="A66" s="175" t="s">
        <v>2362</v>
      </c>
      <c r="B66" s="217" t="str">
        <f t="shared" ref="B66:B129" si="1">C66&amp;"["&amp;F66&amp;"]"</f>
        <v>12115201[円]</v>
      </c>
      <c r="C66" s="216">
        <v>12115201</v>
      </c>
      <c r="D66" s="175" t="s">
        <v>235</v>
      </c>
      <c r="E66" s="175">
        <v>831</v>
      </c>
      <c r="F66" s="175" t="s">
        <v>265</v>
      </c>
      <c r="G66" s="175" t="s">
        <v>2363</v>
      </c>
    </row>
    <row r="67" spans="1:7">
      <c r="A67" s="175" t="s">
        <v>2364</v>
      </c>
      <c r="B67" s="217" t="str">
        <f t="shared" si="1"/>
        <v>12115202[円]</v>
      </c>
      <c r="C67" s="216">
        <v>12115202</v>
      </c>
      <c r="D67" s="175" t="s">
        <v>235</v>
      </c>
      <c r="E67" s="175">
        <v>1734</v>
      </c>
      <c r="F67" s="175" t="s">
        <v>265</v>
      </c>
      <c r="G67" s="175" t="s">
        <v>2365</v>
      </c>
    </row>
    <row r="68" spans="1:7">
      <c r="A68" s="175" t="s">
        <v>2366</v>
      </c>
      <c r="B68" s="217" t="str">
        <f t="shared" si="1"/>
        <v>12116000[円]</v>
      </c>
      <c r="C68" s="216">
        <v>12116000</v>
      </c>
      <c r="D68" s="175" t="s">
        <v>235</v>
      </c>
      <c r="E68" s="175">
        <v>369</v>
      </c>
      <c r="F68" s="175" t="s">
        <v>265</v>
      </c>
      <c r="G68" s="175" t="s">
        <v>2367</v>
      </c>
    </row>
    <row r="69" spans="1:7">
      <c r="A69" s="175" t="s">
        <v>2368</v>
      </c>
      <c r="B69" s="217" t="str">
        <f t="shared" si="1"/>
        <v>12116201[円]</v>
      </c>
      <c r="C69" s="216">
        <v>12116201</v>
      </c>
      <c r="D69" s="175" t="s">
        <v>235</v>
      </c>
      <c r="E69" s="175">
        <v>298</v>
      </c>
      <c r="F69" s="175" t="s">
        <v>265</v>
      </c>
      <c r="G69" s="175" t="s">
        <v>2369</v>
      </c>
    </row>
    <row r="70" spans="1:7">
      <c r="A70" s="175" t="s">
        <v>2370</v>
      </c>
      <c r="B70" s="217" t="str">
        <f t="shared" si="1"/>
        <v>12116202[円]</v>
      </c>
      <c r="C70" s="216">
        <v>12116202</v>
      </c>
      <c r="D70" s="175" t="s">
        <v>235</v>
      </c>
      <c r="E70" s="175">
        <v>446</v>
      </c>
      <c r="F70" s="175" t="s">
        <v>265</v>
      </c>
      <c r="G70" s="175" t="s">
        <v>2371</v>
      </c>
    </row>
    <row r="71" spans="1:7">
      <c r="A71" s="175" t="s">
        <v>2372</v>
      </c>
      <c r="B71" s="217" t="str">
        <f t="shared" si="1"/>
        <v>12117000[円]</v>
      </c>
      <c r="C71" s="216">
        <v>12117000</v>
      </c>
      <c r="D71" s="175" t="s">
        <v>235</v>
      </c>
      <c r="E71" s="175">
        <v>818</v>
      </c>
      <c r="F71" s="175" t="s">
        <v>265</v>
      </c>
      <c r="G71" s="175" t="s">
        <v>2373</v>
      </c>
    </row>
    <row r="72" spans="1:7">
      <c r="A72" s="175" t="s">
        <v>2372</v>
      </c>
      <c r="B72" s="217" t="str">
        <f t="shared" si="1"/>
        <v>12117000[m2]</v>
      </c>
      <c r="C72" s="216">
        <v>12117000</v>
      </c>
      <c r="D72" s="175" t="s">
        <v>235</v>
      </c>
      <c r="E72" s="175">
        <v>0.397389933153043</v>
      </c>
      <c r="F72" s="175" t="s">
        <v>425</v>
      </c>
      <c r="G72" s="175" t="s">
        <v>2373</v>
      </c>
    </row>
    <row r="73" spans="1:7">
      <c r="A73" s="175" t="s">
        <v>2374</v>
      </c>
      <c r="B73" s="217" t="str">
        <f t="shared" si="1"/>
        <v>12118000[円]</v>
      </c>
      <c r="C73" s="216">
        <v>12118000</v>
      </c>
      <c r="D73" s="175" t="s">
        <v>235</v>
      </c>
      <c r="E73" s="175">
        <v>606.6</v>
      </c>
      <c r="F73" s="175" t="s">
        <v>265</v>
      </c>
      <c r="G73" s="175" t="s">
        <v>2375</v>
      </c>
    </row>
    <row r="74" spans="1:7">
      <c r="A74" s="175" t="s">
        <v>2374</v>
      </c>
      <c r="B74" s="217" t="str">
        <f t="shared" si="1"/>
        <v>12118000[m2]</v>
      </c>
      <c r="C74" s="216">
        <v>12118000</v>
      </c>
      <c r="D74" s="175" t="s">
        <v>235</v>
      </c>
      <c r="E74" s="175">
        <v>0.33926740864952798</v>
      </c>
      <c r="F74" s="175" t="s">
        <v>425</v>
      </c>
      <c r="G74" s="175" t="s">
        <v>2375</v>
      </c>
    </row>
    <row r="75" spans="1:7">
      <c r="A75" s="175" t="s">
        <v>2376</v>
      </c>
      <c r="B75" s="217" t="str">
        <f t="shared" si="1"/>
        <v>12119000[円]</v>
      </c>
      <c r="C75" s="216">
        <v>12119000</v>
      </c>
      <c r="D75" s="175" t="s">
        <v>235</v>
      </c>
      <c r="E75" s="175">
        <v>150.04499999999999</v>
      </c>
      <c r="F75" s="175" t="s">
        <v>265</v>
      </c>
      <c r="G75" s="175" t="s">
        <v>2377</v>
      </c>
    </row>
    <row r="76" spans="1:7">
      <c r="A76" s="175" t="s">
        <v>2378</v>
      </c>
      <c r="B76" s="217" t="str">
        <f t="shared" si="1"/>
        <v>12200000[m2]</v>
      </c>
      <c r="C76" s="216">
        <v>12200000</v>
      </c>
      <c r="D76" s="175" t="s">
        <v>235</v>
      </c>
      <c r="E76" s="175">
        <v>2.58413145539906</v>
      </c>
      <c r="F76" s="175" t="s">
        <v>425</v>
      </c>
      <c r="G76" s="175" t="s">
        <v>2379</v>
      </c>
    </row>
    <row r="77" spans="1:7">
      <c r="A77" s="175" t="s">
        <v>2378</v>
      </c>
      <c r="B77" s="217" t="str">
        <f t="shared" si="1"/>
        <v>12200000[円]</v>
      </c>
      <c r="C77" s="216">
        <v>12200000</v>
      </c>
      <c r="D77" s="175" t="s">
        <v>235</v>
      </c>
      <c r="E77" s="175">
        <v>157.24657896838099</v>
      </c>
      <c r="F77" s="175" t="s">
        <v>265</v>
      </c>
      <c r="G77" s="175" t="s">
        <v>2379</v>
      </c>
    </row>
    <row r="78" spans="1:7">
      <c r="A78" s="175" t="s">
        <v>2380</v>
      </c>
      <c r="B78" s="217" t="str">
        <f t="shared" si="1"/>
        <v>12211000[m2]</v>
      </c>
      <c r="C78" s="216">
        <v>12211000</v>
      </c>
      <c r="D78" s="175" t="s">
        <v>235</v>
      </c>
      <c r="E78" s="175">
        <v>3.3197831978319798</v>
      </c>
      <c r="F78" s="175" t="s">
        <v>425</v>
      </c>
      <c r="G78" s="175" t="s">
        <v>2381</v>
      </c>
    </row>
    <row r="79" spans="1:7">
      <c r="A79" s="175" t="s">
        <v>2380</v>
      </c>
      <c r="B79" s="217" t="str">
        <f t="shared" si="1"/>
        <v>12211000[円]</v>
      </c>
      <c r="C79" s="216">
        <v>12211000</v>
      </c>
      <c r="D79" s="175" t="s">
        <v>235</v>
      </c>
      <c r="E79" s="175">
        <v>73.7</v>
      </c>
      <c r="F79" s="175" t="s">
        <v>265</v>
      </c>
      <c r="G79" s="175" t="s">
        <v>2381</v>
      </c>
    </row>
    <row r="80" spans="1:7">
      <c r="A80" s="175" t="s">
        <v>2382</v>
      </c>
      <c r="B80" s="217" t="str">
        <f t="shared" si="1"/>
        <v>12212000[円]</v>
      </c>
      <c r="C80" s="216">
        <v>12212000</v>
      </c>
      <c r="D80" s="175" t="s">
        <v>235</v>
      </c>
      <c r="E80" s="175">
        <v>396.5</v>
      </c>
      <c r="F80" s="175" t="s">
        <v>265</v>
      </c>
      <c r="G80" s="175" t="s">
        <v>2383</v>
      </c>
    </row>
    <row r="81" spans="1:7">
      <c r="A81" s="175" t="s">
        <v>2382</v>
      </c>
      <c r="B81" s="217" t="str">
        <f t="shared" si="1"/>
        <v>12212000[m2]</v>
      </c>
      <c r="C81" s="216">
        <v>12212000</v>
      </c>
      <c r="D81" s="175" t="s">
        <v>235</v>
      </c>
      <c r="E81" s="175">
        <v>0.99246031746031704</v>
      </c>
      <c r="F81" s="175" t="s">
        <v>425</v>
      </c>
      <c r="G81" s="175" t="s">
        <v>2383</v>
      </c>
    </row>
    <row r="82" spans="1:7">
      <c r="A82" s="175" t="s">
        <v>2384</v>
      </c>
      <c r="B82" s="217" t="str">
        <f t="shared" si="1"/>
        <v>12213000[m2]</v>
      </c>
      <c r="C82" s="216">
        <v>12213000</v>
      </c>
      <c r="D82" s="175" t="s">
        <v>235</v>
      </c>
      <c r="E82" s="175">
        <v>2.2907834101382498</v>
      </c>
      <c r="F82" s="175" t="s">
        <v>425</v>
      </c>
      <c r="G82" s="175" t="s">
        <v>2385</v>
      </c>
    </row>
    <row r="83" spans="1:7">
      <c r="A83" s="175" t="s">
        <v>2384</v>
      </c>
      <c r="B83" s="217" t="str">
        <f t="shared" si="1"/>
        <v>12213000[円]</v>
      </c>
      <c r="C83" s="216">
        <v>12213000</v>
      </c>
      <c r="D83" s="175" t="s">
        <v>235</v>
      </c>
      <c r="E83" s="175">
        <v>141.80000000000001</v>
      </c>
      <c r="F83" s="175" t="s">
        <v>265</v>
      </c>
      <c r="G83" s="175" t="s">
        <v>2385</v>
      </c>
    </row>
    <row r="84" spans="1:7">
      <c r="A84" s="175" t="s">
        <v>2386</v>
      </c>
      <c r="B84" s="217" t="str">
        <f t="shared" si="1"/>
        <v>12214000[円]</v>
      </c>
      <c r="C84" s="216">
        <v>12214000</v>
      </c>
      <c r="D84" s="175" t="s">
        <v>235</v>
      </c>
      <c r="E84" s="175">
        <v>47.1</v>
      </c>
      <c r="F84" s="175" t="s">
        <v>265</v>
      </c>
      <c r="G84" s="175" t="s">
        <v>2387</v>
      </c>
    </row>
    <row r="85" spans="1:7">
      <c r="A85" s="175" t="s">
        <v>2386</v>
      </c>
      <c r="B85" s="217" t="str">
        <f t="shared" si="1"/>
        <v>12214000[m2]</v>
      </c>
      <c r="C85" s="216">
        <v>12214000</v>
      </c>
      <c r="D85" s="175" t="s">
        <v>235</v>
      </c>
      <c r="E85" s="175">
        <v>3.4356828193832598</v>
      </c>
      <c r="F85" s="175" t="s">
        <v>425</v>
      </c>
      <c r="G85" s="175" t="s">
        <v>2387</v>
      </c>
    </row>
    <row r="86" spans="1:7">
      <c r="A86" s="175" t="s">
        <v>2388</v>
      </c>
      <c r="B86" s="217" t="str">
        <f t="shared" si="1"/>
        <v>12215000[円]</v>
      </c>
      <c r="C86" s="216">
        <v>12215000</v>
      </c>
      <c r="D86" s="175" t="s">
        <v>235</v>
      </c>
      <c r="E86" s="175">
        <v>114</v>
      </c>
      <c r="F86" s="175" t="s">
        <v>265</v>
      </c>
      <c r="G86" s="175" t="s">
        <v>2389</v>
      </c>
    </row>
    <row r="87" spans="1:7">
      <c r="A87" s="175" t="s">
        <v>2390</v>
      </c>
      <c r="B87" s="217" t="str">
        <f t="shared" si="1"/>
        <v>12219000[円]</v>
      </c>
      <c r="C87" s="216">
        <v>12219000</v>
      </c>
      <c r="D87" s="175" t="s">
        <v>235</v>
      </c>
      <c r="E87" s="175">
        <v>358.37041446673697</v>
      </c>
      <c r="F87" s="175" t="s">
        <v>265</v>
      </c>
      <c r="G87" s="175" t="s">
        <v>2391</v>
      </c>
    </row>
    <row r="88" spans="1:7">
      <c r="A88" s="175" t="s">
        <v>2392</v>
      </c>
      <c r="B88" s="217" t="str">
        <f t="shared" si="1"/>
        <v>12300000[m2]</v>
      </c>
      <c r="C88" s="216">
        <v>12300000</v>
      </c>
      <c r="D88" s="175" t="s">
        <v>235</v>
      </c>
      <c r="E88" s="175">
        <v>2.47730414746544</v>
      </c>
      <c r="F88" s="175" t="s">
        <v>425</v>
      </c>
      <c r="G88" s="175" t="s">
        <v>2393</v>
      </c>
    </row>
    <row r="89" spans="1:7">
      <c r="A89" s="175" t="s">
        <v>2392</v>
      </c>
      <c r="B89" s="217" t="str">
        <f t="shared" si="1"/>
        <v>12300000[円]</v>
      </c>
      <c r="C89" s="216">
        <v>12300000</v>
      </c>
      <c r="D89" s="175" t="s">
        <v>235</v>
      </c>
      <c r="E89" s="175">
        <v>121.181448439769</v>
      </c>
      <c r="F89" s="175" t="s">
        <v>265</v>
      </c>
      <c r="G89" s="175" t="s">
        <v>2393</v>
      </c>
    </row>
    <row r="90" spans="1:7">
      <c r="A90" s="175" t="s">
        <v>2394</v>
      </c>
      <c r="B90" s="217" t="str">
        <f t="shared" si="1"/>
        <v>12311000[円]</v>
      </c>
      <c r="C90" s="216">
        <v>12311000</v>
      </c>
      <c r="D90" s="175" t="s">
        <v>235</v>
      </c>
      <c r="E90" s="175">
        <v>72.8</v>
      </c>
      <c r="F90" s="175" t="s">
        <v>265</v>
      </c>
      <c r="G90" s="175" t="s">
        <v>2395</v>
      </c>
    </row>
    <row r="91" spans="1:7">
      <c r="A91" s="175" t="s">
        <v>2394</v>
      </c>
      <c r="B91" s="217" t="str">
        <f t="shared" si="1"/>
        <v>12311000[m2]</v>
      </c>
      <c r="C91" s="216">
        <v>12311000</v>
      </c>
      <c r="D91" s="175" t="s">
        <v>235</v>
      </c>
      <c r="E91" s="175">
        <v>3.10503282275711</v>
      </c>
      <c r="F91" s="175" t="s">
        <v>425</v>
      </c>
      <c r="G91" s="175" t="s">
        <v>2395</v>
      </c>
    </row>
    <row r="92" spans="1:7">
      <c r="A92" s="175" t="s">
        <v>2396</v>
      </c>
      <c r="B92" s="217" t="str">
        <f t="shared" si="1"/>
        <v>12312000[円]</v>
      </c>
      <c r="C92" s="216">
        <v>12312000</v>
      </c>
      <c r="D92" s="175" t="s">
        <v>235</v>
      </c>
      <c r="E92" s="175">
        <v>101.5</v>
      </c>
      <c r="F92" s="175" t="s">
        <v>265</v>
      </c>
      <c r="G92" s="175" t="s">
        <v>2397</v>
      </c>
    </row>
    <row r="93" spans="1:7">
      <c r="A93" s="175" t="s">
        <v>2396</v>
      </c>
      <c r="B93" s="217" t="str">
        <f t="shared" si="1"/>
        <v>12312000[m2]</v>
      </c>
      <c r="C93" s="216">
        <v>12312000</v>
      </c>
      <c r="D93" s="175" t="s">
        <v>235</v>
      </c>
      <c r="E93" s="175">
        <v>2.6591928251121102</v>
      </c>
      <c r="F93" s="175" t="s">
        <v>425</v>
      </c>
      <c r="G93" s="175" t="s">
        <v>2397</v>
      </c>
    </row>
    <row r="94" spans="1:7">
      <c r="A94" s="175" t="s">
        <v>2398</v>
      </c>
      <c r="B94" s="217" t="str">
        <f t="shared" si="1"/>
        <v>12313000[m2]</v>
      </c>
      <c r="C94" s="216">
        <v>12313000</v>
      </c>
      <c r="D94" s="175" t="s">
        <v>235</v>
      </c>
      <c r="E94" s="175">
        <v>0.73563829787234003</v>
      </c>
      <c r="F94" s="175" t="s">
        <v>425</v>
      </c>
      <c r="G94" s="175" t="s">
        <v>2399</v>
      </c>
    </row>
    <row r="95" spans="1:7">
      <c r="A95" s="175" t="s">
        <v>2398</v>
      </c>
      <c r="B95" s="217" t="str">
        <f t="shared" si="1"/>
        <v>12313000[円]</v>
      </c>
      <c r="C95" s="216">
        <v>12313000</v>
      </c>
      <c r="D95" s="175" t="s">
        <v>235</v>
      </c>
      <c r="E95" s="175">
        <v>218.4</v>
      </c>
      <c r="F95" s="175" t="s">
        <v>265</v>
      </c>
      <c r="G95" s="175" t="s">
        <v>2399</v>
      </c>
    </row>
    <row r="96" spans="1:7">
      <c r="A96" s="175" t="s">
        <v>2400</v>
      </c>
      <c r="B96" s="217" t="str">
        <f t="shared" si="1"/>
        <v>12319000[円]</v>
      </c>
      <c r="C96" s="216">
        <v>12319000</v>
      </c>
      <c r="D96" s="175" t="s">
        <v>235</v>
      </c>
      <c r="E96" s="175">
        <v>243.569813624679</v>
      </c>
      <c r="F96" s="175" t="s">
        <v>265</v>
      </c>
      <c r="G96" s="175" t="s">
        <v>2401</v>
      </c>
    </row>
    <row r="97" spans="1:7">
      <c r="A97" s="175" t="s">
        <v>2402</v>
      </c>
      <c r="B97" s="217" t="str">
        <f t="shared" si="1"/>
        <v>13100000[円]</v>
      </c>
      <c r="C97" s="216">
        <v>13100000</v>
      </c>
      <c r="D97" s="175" t="s">
        <v>235</v>
      </c>
      <c r="E97" s="175">
        <v>1082.07021004947</v>
      </c>
      <c r="F97" s="175" t="s">
        <v>265</v>
      </c>
      <c r="G97" s="175" t="s">
        <v>2403</v>
      </c>
    </row>
    <row r="98" spans="1:7">
      <c r="A98" s="175" t="s">
        <v>2404</v>
      </c>
      <c r="B98" s="217" t="str">
        <f t="shared" si="1"/>
        <v>13111000[円]</v>
      </c>
      <c r="C98" s="216">
        <v>13111000</v>
      </c>
      <c r="D98" s="175" t="s">
        <v>235</v>
      </c>
      <c r="E98" s="175">
        <v>936</v>
      </c>
      <c r="F98" s="175" t="s">
        <v>265</v>
      </c>
      <c r="G98" s="175" t="s">
        <v>2405</v>
      </c>
    </row>
    <row r="99" spans="1:7">
      <c r="A99" s="175" t="s">
        <v>2406</v>
      </c>
      <c r="B99" s="217" t="str">
        <f t="shared" si="1"/>
        <v>13112000[円]</v>
      </c>
      <c r="C99" s="216">
        <v>13112000</v>
      </c>
      <c r="D99" s="175" t="s">
        <v>235</v>
      </c>
      <c r="E99" s="175">
        <v>936</v>
      </c>
      <c r="F99" s="175" t="s">
        <v>265</v>
      </c>
      <c r="G99" s="175" t="s">
        <v>2407</v>
      </c>
    </row>
    <row r="100" spans="1:7">
      <c r="A100" s="175" t="s">
        <v>2408</v>
      </c>
      <c r="B100" s="217" t="str">
        <f t="shared" si="1"/>
        <v>13113000[円]</v>
      </c>
      <c r="C100" s="216">
        <v>13113000</v>
      </c>
      <c r="D100" s="175" t="s">
        <v>235</v>
      </c>
      <c r="E100" s="175">
        <v>4284</v>
      </c>
      <c r="F100" s="175" t="s">
        <v>265</v>
      </c>
      <c r="G100" s="175" t="s">
        <v>2409</v>
      </c>
    </row>
    <row r="101" spans="1:7">
      <c r="A101" s="175" t="s">
        <v>2410</v>
      </c>
      <c r="B101" s="217" t="str">
        <f t="shared" si="1"/>
        <v>13200000[円]</v>
      </c>
      <c r="C101" s="216">
        <v>13200000</v>
      </c>
      <c r="D101" s="175" t="s">
        <v>235</v>
      </c>
      <c r="E101" s="175">
        <v>424.41671137058302</v>
      </c>
      <c r="F101" s="175" t="s">
        <v>265</v>
      </c>
      <c r="G101" s="175" t="s">
        <v>2411</v>
      </c>
    </row>
    <row r="102" spans="1:7">
      <c r="A102" s="175" t="s">
        <v>2412</v>
      </c>
      <c r="B102" s="217" t="str">
        <f t="shared" si="1"/>
        <v>13211000[円]</v>
      </c>
      <c r="C102" s="216">
        <v>13211000</v>
      </c>
      <c r="D102" s="175" t="s">
        <v>235</v>
      </c>
      <c r="E102" s="175">
        <v>233</v>
      </c>
      <c r="F102" s="175" t="s">
        <v>265</v>
      </c>
      <c r="G102" s="175" t="s">
        <v>2413</v>
      </c>
    </row>
    <row r="103" spans="1:7">
      <c r="A103" s="175" t="s">
        <v>2414</v>
      </c>
      <c r="B103" s="217" t="str">
        <f t="shared" si="1"/>
        <v>13212000[円]</v>
      </c>
      <c r="C103" s="216">
        <v>13212000</v>
      </c>
      <c r="D103" s="175" t="s">
        <v>235</v>
      </c>
      <c r="E103" s="175">
        <v>490</v>
      </c>
      <c r="F103" s="175" t="s">
        <v>265</v>
      </c>
      <c r="G103" s="175" t="s">
        <v>2415</v>
      </c>
    </row>
    <row r="104" spans="1:7">
      <c r="A104" s="175" t="s">
        <v>2416</v>
      </c>
      <c r="B104" s="217" t="str">
        <f t="shared" si="1"/>
        <v>13213000[円]</v>
      </c>
      <c r="C104" s="216">
        <v>13213000</v>
      </c>
      <c r="D104" s="175" t="s">
        <v>235</v>
      </c>
      <c r="E104" s="175">
        <v>751</v>
      </c>
      <c r="F104" s="175" t="s">
        <v>265</v>
      </c>
      <c r="G104" s="175" t="s">
        <v>2417</v>
      </c>
    </row>
    <row r="105" spans="1:7">
      <c r="A105" s="175" t="s">
        <v>2418</v>
      </c>
      <c r="B105" s="217" t="str">
        <f t="shared" si="1"/>
        <v>13214000[円]</v>
      </c>
      <c r="C105" s="216">
        <v>13214000</v>
      </c>
      <c r="D105" s="175" t="s">
        <v>235</v>
      </c>
      <c r="E105" s="175">
        <v>372</v>
      </c>
      <c r="F105" s="175" t="s">
        <v>265</v>
      </c>
      <c r="G105" s="175" t="s">
        <v>2419</v>
      </c>
    </row>
    <row r="106" spans="1:7">
      <c r="A106" s="175" t="s">
        <v>2420</v>
      </c>
      <c r="B106" s="217" t="str">
        <f t="shared" si="1"/>
        <v>13219000[円]</v>
      </c>
      <c r="C106" s="216">
        <v>13219000</v>
      </c>
      <c r="D106" s="175" t="s">
        <v>235</v>
      </c>
      <c r="E106" s="175">
        <v>599.27238009013604</v>
      </c>
      <c r="F106" s="175" t="s">
        <v>265</v>
      </c>
      <c r="G106" s="175" t="s">
        <v>2421</v>
      </c>
    </row>
    <row r="107" spans="1:7">
      <c r="A107" s="175" t="s">
        <v>2422</v>
      </c>
      <c r="B107" s="217" t="str">
        <f t="shared" si="1"/>
        <v>14100000[m2]</v>
      </c>
      <c r="C107" s="216">
        <v>14100000</v>
      </c>
      <c r="D107" s="175" t="s">
        <v>235</v>
      </c>
      <c r="E107" s="175">
        <v>0.55609691094287494</v>
      </c>
      <c r="F107" s="175" t="s">
        <v>425</v>
      </c>
      <c r="G107" s="175" t="s">
        <v>2423</v>
      </c>
    </row>
    <row r="108" spans="1:7">
      <c r="A108" s="175" t="s">
        <v>2422</v>
      </c>
      <c r="B108" s="217" t="str">
        <f t="shared" si="1"/>
        <v>14100000[円]</v>
      </c>
      <c r="C108" s="216">
        <v>14100000</v>
      </c>
      <c r="D108" s="175" t="s">
        <v>235</v>
      </c>
      <c r="E108" s="175">
        <v>251.32489313084801</v>
      </c>
      <c r="F108" s="175" t="s">
        <v>265</v>
      </c>
      <c r="G108" s="175" t="s">
        <v>2423</v>
      </c>
    </row>
    <row r="109" spans="1:7">
      <c r="A109" s="175" t="s">
        <v>2424</v>
      </c>
      <c r="B109" s="217" t="str">
        <f t="shared" si="1"/>
        <v>14111000[m2]</v>
      </c>
      <c r="C109" s="216">
        <v>14111000</v>
      </c>
      <c r="D109" s="175" t="s">
        <v>235</v>
      </c>
      <c r="E109" s="175">
        <v>0.58529264632316202</v>
      </c>
      <c r="F109" s="175" t="s">
        <v>425</v>
      </c>
      <c r="G109" s="175" t="s">
        <v>248</v>
      </c>
    </row>
    <row r="110" spans="1:7">
      <c r="A110" s="175" t="s">
        <v>2424</v>
      </c>
      <c r="B110" s="217" t="str">
        <f t="shared" si="1"/>
        <v>14111000[円]</v>
      </c>
      <c r="C110" s="216">
        <v>14111000</v>
      </c>
      <c r="D110" s="175" t="s">
        <v>235</v>
      </c>
      <c r="E110" s="175">
        <v>228.2</v>
      </c>
      <c r="F110" s="175" t="s">
        <v>265</v>
      </c>
      <c r="G110" s="175" t="s">
        <v>248</v>
      </c>
    </row>
    <row r="111" spans="1:7">
      <c r="A111" s="175" t="s">
        <v>2425</v>
      </c>
      <c r="B111" s="217" t="str">
        <f t="shared" si="1"/>
        <v>14112000[m2]</v>
      </c>
      <c r="C111" s="216">
        <v>14112000</v>
      </c>
      <c r="D111" s="175" t="s">
        <v>235</v>
      </c>
      <c r="E111" s="175">
        <v>0.45049630949350999</v>
      </c>
      <c r="F111" s="175" t="s">
        <v>425</v>
      </c>
      <c r="G111" s="175" t="s">
        <v>249</v>
      </c>
    </row>
    <row r="112" spans="1:7">
      <c r="A112" s="175" t="s">
        <v>2425</v>
      </c>
      <c r="B112" s="217" t="str">
        <f t="shared" si="1"/>
        <v>14112000[円]</v>
      </c>
      <c r="C112" s="216">
        <v>14112000</v>
      </c>
      <c r="D112" s="175" t="s">
        <v>235</v>
      </c>
      <c r="E112" s="175">
        <v>297.7</v>
      </c>
      <c r="F112" s="175" t="s">
        <v>265</v>
      </c>
      <c r="G112" s="175" t="s">
        <v>249</v>
      </c>
    </row>
    <row r="113" spans="1:7">
      <c r="A113" s="175" t="s">
        <v>2426</v>
      </c>
      <c r="B113" s="217" t="str">
        <f t="shared" si="1"/>
        <v>14113000[円]</v>
      </c>
      <c r="C113" s="216">
        <v>14113000</v>
      </c>
      <c r="D113" s="175" t="s">
        <v>235</v>
      </c>
      <c r="E113" s="175">
        <v>1246.3574630000001</v>
      </c>
      <c r="F113" s="175" t="s">
        <v>265</v>
      </c>
      <c r="G113" s="175" t="s">
        <v>250</v>
      </c>
    </row>
    <row r="114" spans="1:7">
      <c r="A114" s="175" t="s">
        <v>2426</v>
      </c>
      <c r="B114" s="217" t="str">
        <f t="shared" si="1"/>
        <v>14113000[m2]</v>
      </c>
      <c r="C114" s="216">
        <v>14113000</v>
      </c>
      <c r="D114" s="175" t="s">
        <v>235</v>
      </c>
      <c r="E114" s="175">
        <v>2.7716727716727698</v>
      </c>
      <c r="F114" s="175" t="s">
        <v>425</v>
      </c>
      <c r="G114" s="175" t="s">
        <v>250</v>
      </c>
    </row>
    <row r="115" spans="1:7">
      <c r="A115" s="175" t="s">
        <v>2427</v>
      </c>
      <c r="B115" s="217" t="str">
        <f t="shared" si="1"/>
        <v>14119000[円]</v>
      </c>
      <c r="C115" s="216">
        <v>14119000</v>
      </c>
      <c r="D115" s="175" t="s">
        <v>235</v>
      </c>
      <c r="E115" s="175">
        <v>268.8</v>
      </c>
      <c r="F115" s="175" t="s">
        <v>265</v>
      </c>
      <c r="G115" s="175" t="s">
        <v>2428</v>
      </c>
    </row>
    <row r="116" spans="1:7">
      <c r="A116" s="175" t="s">
        <v>2429</v>
      </c>
      <c r="B116" s="217" t="str">
        <f t="shared" si="1"/>
        <v>14200000[m2]</v>
      </c>
      <c r="C116" s="216">
        <v>14200000</v>
      </c>
      <c r="D116" s="175" t="s">
        <v>235</v>
      </c>
      <c r="E116" s="175">
        <v>0.53212597376656201</v>
      </c>
      <c r="F116" s="175" t="s">
        <v>425</v>
      </c>
      <c r="G116" s="175" t="s">
        <v>2430</v>
      </c>
    </row>
    <row r="117" spans="1:7">
      <c r="A117" s="175" t="s">
        <v>2429</v>
      </c>
      <c r="B117" s="217" t="str">
        <f t="shared" si="1"/>
        <v>14200000[円]</v>
      </c>
      <c r="C117" s="216">
        <v>14200000</v>
      </c>
      <c r="D117" s="175" t="s">
        <v>235</v>
      </c>
      <c r="E117" s="175">
        <v>145.589389939146</v>
      </c>
      <c r="F117" s="175" t="s">
        <v>265</v>
      </c>
      <c r="G117" s="175" t="s">
        <v>2430</v>
      </c>
    </row>
    <row r="118" spans="1:7">
      <c r="A118" s="175" t="s">
        <v>2431</v>
      </c>
      <c r="B118" s="217" t="str">
        <f t="shared" si="1"/>
        <v>14211000[m2]</v>
      </c>
      <c r="C118" s="216">
        <v>14211000</v>
      </c>
      <c r="D118" s="175" t="s">
        <v>235</v>
      </c>
      <c r="E118" s="175">
        <v>0.53980752405949295</v>
      </c>
      <c r="F118" s="175" t="s">
        <v>425</v>
      </c>
      <c r="G118" s="175" t="s">
        <v>251</v>
      </c>
    </row>
    <row r="119" spans="1:7">
      <c r="A119" s="175" t="s">
        <v>2431</v>
      </c>
      <c r="B119" s="217" t="str">
        <f t="shared" si="1"/>
        <v>14211000[円]</v>
      </c>
      <c r="C119" s="216">
        <v>14211000</v>
      </c>
      <c r="D119" s="175" t="s">
        <v>235</v>
      </c>
      <c r="E119" s="175">
        <v>157.19999999999999</v>
      </c>
      <c r="F119" s="175" t="s">
        <v>265</v>
      </c>
      <c r="G119" s="175" t="s">
        <v>251</v>
      </c>
    </row>
    <row r="120" spans="1:7">
      <c r="A120" s="175" t="s">
        <v>2432</v>
      </c>
      <c r="B120" s="217" t="str">
        <f t="shared" si="1"/>
        <v>14212000[m2]</v>
      </c>
      <c r="C120" s="216">
        <v>14212000</v>
      </c>
      <c r="D120" s="175" t="s">
        <v>235</v>
      </c>
      <c r="E120" s="175">
        <v>0.48036093418259002</v>
      </c>
      <c r="F120" s="175" t="s">
        <v>425</v>
      </c>
      <c r="G120" s="175" t="s">
        <v>252</v>
      </c>
    </row>
    <row r="121" spans="1:7">
      <c r="A121" s="175" t="s">
        <v>2432</v>
      </c>
      <c r="B121" s="217" t="str">
        <f t="shared" si="1"/>
        <v>14212000[円]</v>
      </c>
      <c r="C121" s="216">
        <v>14212000</v>
      </c>
      <c r="D121" s="175" t="s">
        <v>235</v>
      </c>
      <c r="E121" s="175">
        <v>96.7</v>
      </c>
      <c r="F121" s="175" t="s">
        <v>265</v>
      </c>
      <c r="G121" s="175" t="s">
        <v>252</v>
      </c>
    </row>
    <row r="122" spans="1:7">
      <c r="A122" s="175" t="s">
        <v>2433</v>
      </c>
      <c r="B122" s="217" t="str">
        <f t="shared" si="1"/>
        <v>14213000[m2]</v>
      </c>
      <c r="C122" s="216">
        <v>14213000</v>
      </c>
      <c r="D122" s="175" t="s">
        <v>235</v>
      </c>
      <c r="E122" s="175">
        <v>0.51479289940828399</v>
      </c>
      <c r="F122" s="175" t="s">
        <v>425</v>
      </c>
      <c r="G122" s="175" t="s">
        <v>253</v>
      </c>
    </row>
    <row r="123" spans="1:7">
      <c r="A123" s="175" t="s">
        <v>2433</v>
      </c>
      <c r="B123" s="217" t="str">
        <f t="shared" si="1"/>
        <v>14213000[円]</v>
      </c>
      <c r="C123" s="216">
        <v>14213000</v>
      </c>
      <c r="D123" s="175" t="s">
        <v>235</v>
      </c>
      <c r="E123" s="175">
        <v>98</v>
      </c>
      <c r="F123" s="175" t="s">
        <v>265</v>
      </c>
      <c r="G123" s="175" t="s">
        <v>253</v>
      </c>
    </row>
    <row r="124" spans="1:7">
      <c r="A124" s="175" t="s">
        <v>2434</v>
      </c>
      <c r="B124" s="217" t="str">
        <f t="shared" si="1"/>
        <v>14214000[m2]</v>
      </c>
      <c r="C124" s="216">
        <v>14214000</v>
      </c>
      <c r="D124" s="175" t="s">
        <v>235</v>
      </c>
      <c r="E124" s="175">
        <v>0.50223546944858399</v>
      </c>
      <c r="F124" s="175" t="s">
        <v>425</v>
      </c>
      <c r="G124" s="175" t="s">
        <v>254</v>
      </c>
    </row>
    <row r="125" spans="1:7">
      <c r="A125" s="175" t="s">
        <v>2434</v>
      </c>
      <c r="B125" s="217" t="str">
        <f t="shared" si="1"/>
        <v>14214000[円]</v>
      </c>
      <c r="C125" s="216">
        <v>14214000</v>
      </c>
      <c r="D125" s="175" t="s">
        <v>235</v>
      </c>
      <c r="E125" s="175">
        <v>125.8166149</v>
      </c>
      <c r="F125" s="175" t="s">
        <v>265</v>
      </c>
      <c r="G125" s="175" t="s">
        <v>254</v>
      </c>
    </row>
    <row r="126" spans="1:7">
      <c r="A126" s="175" t="s">
        <v>2435</v>
      </c>
      <c r="B126" s="217" t="str">
        <f t="shared" si="1"/>
        <v>14215000[m2]</v>
      </c>
      <c r="C126" s="216">
        <v>14215000</v>
      </c>
      <c r="D126" s="175" t="s">
        <v>235</v>
      </c>
      <c r="E126" s="175">
        <v>0.76719576719576699</v>
      </c>
      <c r="F126" s="175" t="s">
        <v>425</v>
      </c>
      <c r="G126" s="175" t="s">
        <v>255</v>
      </c>
    </row>
    <row r="127" spans="1:7">
      <c r="A127" s="175" t="s">
        <v>2435</v>
      </c>
      <c r="B127" s="217" t="str">
        <f t="shared" si="1"/>
        <v>14215000[円]</v>
      </c>
      <c r="C127" s="216">
        <v>14215000</v>
      </c>
      <c r="D127" s="175" t="s">
        <v>235</v>
      </c>
      <c r="E127" s="175">
        <v>153.25539269999999</v>
      </c>
      <c r="F127" s="175" t="s">
        <v>265</v>
      </c>
      <c r="G127" s="175" t="s">
        <v>255</v>
      </c>
    </row>
    <row r="128" spans="1:7">
      <c r="A128" s="175" t="s">
        <v>2436</v>
      </c>
      <c r="B128" s="217" t="str">
        <f t="shared" si="1"/>
        <v>14219000[円]</v>
      </c>
      <c r="C128" s="216">
        <v>14219000</v>
      </c>
      <c r="D128" s="175" t="s">
        <v>235</v>
      </c>
      <c r="E128" s="175">
        <v>236.25</v>
      </c>
      <c r="F128" s="175" t="s">
        <v>265</v>
      </c>
      <c r="G128" s="175" t="s">
        <v>2437</v>
      </c>
    </row>
    <row r="129" spans="1:7">
      <c r="A129" s="175" t="s">
        <v>2438</v>
      </c>
      <c r="B129" s="217" t="str">
        <f t="shared" si="1"/>
        <v>14300000[m2]</v>
      </c>
      <c r="C129" s="216">
        <v>14300000</v>
      </c>
      <c r="D129" s="175" t="s">
        <v>235</v>
      </c>
      <c r="E129" s="175">
        <v>1.1343151693667199</v>
      </c>
      <c r="F129" s="175" t="s">
        <v>425</v>
      </c>
      <c r="G129" s="175" t="s">
        <v>2439</v>
      </c>
    </row>
    <row r="130" spans="1:7">
      <c r="A130" s="175" t="s">
        <v>2438</v>
      </c>
      <c r="B130" s="217" t="str">
        <f t="shared" ref="B130:B193" si="2">C130&amp;"["&amp;F130&amp;"]"</f>
        <v>14300000[円]</v>
      </c>
      <c r="C130" s="216">
        <v>14300000</v>
      </c>
      <c r="D130" s="175" t="s">
        <v>235</v>
      </c>
      <c r="E130" s="175">
        <v>444.56737322359902</v>
      </c>
      <c r="F130" s="175" t="s">
        <v>265</v>
      </c>
      <c r="G130" s="175" t="s">
        <v>2439</v>
      </c>
    </row>
    <row r="131" spans="1:7">
      <c r="A131" s="175" t="s">
        <v>2440</v>
      </c>
      <c r="B131" s="217" t="str">
        <f t="shared" si="2"/>
        <v>14311000[m2]</v>
      </c>
      <c r="C131" s="216">
        <v>14311000</v>
      </c>
      <c r="D131" s="175" t="s">
        <v>235</v>
      </c>
      <c r="E131" s="175">
        <v>0.66437571592210798</v>
      </c>
      <c r="F131" s="175" t="s">
        <v>425</v>
      </c>
      <c r="G131" s="175" t="s">
        <v>256</v>
      </c>
    </row>
    <row r="132" spans="1:7">
      <c r="A132" s="175" t="s">
        <v>2440</v>
      </c>
      <c r="B132" s="217" t="str">
        <f t="shared" si="2"/>
        <v>14311000[円]</v>
      </c>
      <c r="C132" s="216">
        <v>14311000</v>
      </c>
      <c r="D132" s="175" t="s">
        <v>235</v>
      </c>
      <c r="E132" s="175">
        <v>367.8</v>
      </c>
      <c r="F132" s="175" t="s">
        <v>265</v>
      </c>
      <c r="G132" s="175" t="s">
        <v>256</v>
      </c>
    </row>
    <row r="133" spans="1:7">
      <c r="A133" s="175" t="s">
        <v>2441</v>
      </c>
      <c r="B133" s="217" t="str">
        <f t="shared" si="2"/>
        <v>14312000[円]</v>
      </c>
      <c r="C133" s="216">
        <v>14312000</v>
      </c>
      <c r="D133" s="175" t="s">
        <v>235</v>
      </c>
      <c r="E133" s="175">
        <v>463.57142859999999</v>
      </c>
      <c r="F133" s="175" t="s">
        <v>265</v>
      </c>
      <c r="G133" s="175" t="s">
        <v>257</v>
      </c>
    </row>
    <row r="134" spans="1:7">
      <c r="A134" s="175" t="s">
        <v>2441</v>
      </c>
      <c r="B134" s="217" t="str">
        <f t="shared" si="2"/>
        <v>14312000[m2]</v>
      </c>
      <c r="C134" s="216">
        <v>14312000</v>
      </c>
      <c r="D134" s="175" t="s">
        <v>235</v>
      </c>
      <c r="E134" s="175">
        <v>1.3345864661654101</v>
      </c>
      <c r="F134" s="175" t="s">
        <v>425</v>
      </c>
      <c r="G134" s="175" t="s">
        <v>257</v>
      </c>
    </row>
    <row r="135" spans="1:7">
      <c r="A135" s="175" t="s">
        <v>2442</v>
      </c>
      <c r="B135" s="217" t="str">
        <f t="shared" si="2"/>
        <v>14313000[m2]</v>
      </c>
      <c r="C135" s="216">
        <v>14313000</v>
      </c>
      <c r="D135" s="175" t="s">
        <v>235</v>
      </c>
      <c r="E135" s="175">
        <v>1.5676567656765701</v>
      </c>
      <c r="F135" s="175" t="s">
        <v>425</v>
      </c>
      <c r="G135" s="175" t="s">
        <v>258</v>
      </c>
    </row>
    <row r="136" spans="1:7">
      <c r="A136" s="175" t="s">
        <v>2442</v>
      </c>
      <c r="B136" s="217" t="str">
        <f t="shared" si="2"/>
        <v>14313000[円]</v>
      </c>
      <c r="C136" s="216">
        <v>14313000</v>
      </c>
      <c r="D136" s="175" t="s">
        <v>235</v>
      </c>
      <c r="E136" s="175">
        <v>302</v>
      </c>
      <c r="F136" s="175" t="s">
        <v>265</v>
      </c>
      <c r="G136" s="175" t="s">
        <v>258</v>
      </c>
    </row>
    <row r="137" spans="1:7">
      <c r="A137" s="175" t="s">
        <v>2443</v>
      </c>
      <c r="B137" s="217" t="str">
        <f t="shared" si="2"/>
        <v>14314000[m2]</v>
      </c>
      <c r="C137" s="216">
        <v>14314000</v>
      </c>
      <c r="D137" s="175" t="s">
        <v>235</v>
      </c>
      <c r="E137" s="175">
        <v>2.54970760233918</v>
      </c>
      <c r="F137" s="175" t="s">
        <v>425</v>
      </c>
      <c r="G137" s="175" t="s">
        <v>259</v>
      </c>
    </row>
    <row r="138" spans="1:7">
      <c r="A138" s="175" t="s">
        <v>2443</v>
      </c>
      <c r="B138" s="217" t="str">
        <f t="shared" si="2"/>
        <v>14314000[円]</v>
      </c>
      <c r="C138" s="216">
        <v>14314000</v>
      </c>
      <c r="D138" s="175" t="s">
        <v>235</v>
      </c>
      <c r="E138" s="175">
        <v>1623.5</v>
      </c>
      <c r="F138" s="175" t="s">
        <v>265</v>
      </c>
      <c r="G138" s="175" t="s">
        <v>259</v>
      </c>
    </row>
    <row r="139" spans="1:7">
      <c r="A139" s="175" t="s">
        <v>2444</v>
      </c>
      <c r="B139" s="217" t="str">
        <f t="shared" si="2"/>
        <v>14319000[円]</v>
      </c>
      <c r="C139" s="216">
        <v>14319000</v>
      </c>
      <c r="D139" s="175" t="s">
        <v>235</v>
      </c>
      <c r="E139" s="175">
        <v>450.03152173913003</v>
      </c>
      <c r="F139" s="175" t="s">
        <v>265</v>
      </c>
      <c r="G139" s="175" t="s">
        <v>2445</v>
      </c>
    </row>
    <row r="140" spans="1:7">
      <c r="A140" s="175" t="s">
        <v>2446</v>
      </c>
      <c r="B140" s="217" t="str">
        <f t="shared" si="2"/>
        <v>14400000[m2]</v>
      </c>
      <c r="C140" s="216">
        <v>14400000</v>
      </c>
      <c r="D140" s="175" t="s">
        <v>235</v>
      </c>
      <c r="E140" s="175">
        <v>0.65791366906474802</v>
      </c>
      <c r="F140" s="175" t="s">
        <v>425</v>
      </c>
      <c r="G140" s="175" t="s">
        <v>2447</v>
      </c>
    </row>
    <row r="141" spans="1:7">
      <c r="A141" s="175" t="s">
        <v>2446</v>
      </c>
      <c r="B141" s="217" t="str">
        <f t="shared" si="2"/>
        <v>14400000[円]</v>
      </c>
      <c r="C141" s="216">
        <v>14400000</v>
      </c>
      <c r="D141" s="175" t="s">
        <v>235</v>
      </c>
      <c r="E141" s="175">
        <v>486.954167986588</v>
      </c>
      <c r="F141" s="175" t="s">
        <v>265</v>
      </c>
      <c r="G141" s="175" t="s">
        <v>2447</v>
      </c>
    </row>
    <row r="142" spans="1:7">
      <c r="A142" s="175" t="s">
        <v>2448</v>
      </c>
      <c r="B142" s="217" t="str">
        <f t="shared" si="2"/>
        <v>14411000[m2]</v>
      </c>
      <c r="C142" s="216">
        <v>14411000</v>
      </c>
      <c r="D142" s="175" t="s">
        <v>235</v>
      </c>
      <c r="E142" s="175">
        <v>0.67567567567567599</v>
      </c>
      <c r="F142" s="175" t="s">
        <v>425</v>
      </c>
      <c r="G142" s="175" t="s">
        <v>260</v>
      </c>
    </row>
    <row r="143" spans="1:7">
      <c r="A143" s="175" t="s">
        <v>2448</v>
      </c>
      <c r="B143" s="217" t="str">
        <f t="shared" si="2"/>
        <v>14411000[円]</v>
      </c>
      <c r="C143" s="216">
        <v>14411000</v>
      </c>
      <c r="D143" s="175" t="s">
        <v>235</v>
      </c>
      <c r="E143" s="175">
        <v>258.33333329999999</v>
      </c>
      <c r="F143" s="175" t="s">
        <v>265</v>
      </c>
      <c r="G143" s="175" t="s">
        <v>260</v>
      </c>
    </row>
    <row r="144" spans="1:7">
      <c r="A144" s="175" t="s">
        <v>2449</v>
      </c>
      <c r="B144" s="217" t="str">
        <f t="shared" si="2"/>
        <v>14412000[円]</v>
      </c>
      <c r="C144" s="216">
        <v>14412000</v>
      </c>
      <c r="D144" s="175" t="s">
        <v>235</v>
      </c>
      <c r="E144" s="175">
        <v>82.8</v>
      </c>
      <c r="F144" s="175" t="s">
        <v>265</v>
      </c>
      <c r="G144" s="175" t="s">
        <v>261</v>
      </c>
    </row>
    <row r="145" spans="1:7">
      <c r="A145" s="175" t="s">
        <v>2449</v>
      </c>
      <c r="B145" s="217" t="str">
        <f t="shared" si="2"/>
        <v>14412000[m2]</v>
      </c>
      <c r="C145" s="216">
        <v>14412000</v>
      </c>
      <c r="D145" s="175" t="s">
        <v>235</v>
      </c>
      <c r="E145" s="175">
        <v>0.58750000000000002</v>
      </c>
      <c r="F145" s="175" t="s">
        <v>425</v>
      </c>
      <c r="G145" s="175" t="s">
        <v>261</v>
      </c>
    </row>
    <row r="146" spans="1:7">
      <c r="A146" s="175" t="s">
        <v>2450</v>
      </c>
      <c r="B146" s="217" t="str">
        <f t="shared" si="2"/>
        <v>14419000[円]</v>
      </c>
      <c r="C146" s="216">
        <v>14419000</v>
      </c>
      <c r="D146" s="175" t="s">
        <v>235</v>
      </c>
      <c r="E146" s="175">
        <v>2698.7563722397499</v>
      </c>
      <c r="F146" s="175" t="s">
        <v>265</v>
      </c>
      <c r="G146" s="175" t="s">
        <v>2451</v>
      </c>
    </row>
    <row r="147" spans="1:7">
      <c r="A147" s="175" t="s">
        <v>2452</v>
      </c>
      <c r="B147" s="217" t="str">
        <f t="shared" si="2"/>
        <v>14900000[円]</v>
      </c>
      <c r="C147" s="216">
        <v>14900000</v>
      </c>
      <c r="D147" s="175" t="s">
        <v>235</v>
      </c>
      <c r="E147" s="175">
        <v>460.96609493151902</v>
      </c>
      <c r="F147" s="175" t="s">
        <v>265</v>
      </c>
      <c r="G147" s="175" t="s">
        <v>2453</v>
      </c>
    </row>
    <row r="148" spans="1:7">
      <c r="A148" s="175" t="s">
        <v>2452</v>
      </c>
      <c r="B148" s="217" t="str">
        <f t="shared" si="2"/>
        <v>14900000[m2]</v>
      </c>
      <c r="C148" s="216">
        <v>14900000</v>
      </c>
      <c r="D148" s="175" t="s">
        <v>235</v>
      </c>
      <c r="E148" s="175">
        <v>1.3893495485535301</v>
      </c>
      <c r="F148" s="175" t="s">
        <v>425</v>
      </c>
      <c r="G148" s="175" t="s">
        <v>2453</v>
      </c>
    </row>
    <row r="149" spans="1:7">
      <c r="A149" s="175" t="s">
        <v>2454</v>
      </c>
      <c r="B149" s="217" t="str">
        <f t="shared" si="2"/>
        <v>14911000[円]</v>
      </c>
      <c r="C149" s="216">
        <v>14911000</v>
      </c>
      <c r="D149" s="175" t="s">
        <v>235</v>
      </c>
      <c r="E149" s="175">
        <v>248.1</v>
      </c>
      <c r="F149" s="175" t="s">
        <v>265</v>
      </c>
      <c r="G149" s="175" t="s">
        <v>2455</v>
      </c>
    </row>
    <row r="150" spans="1:7">
      <c r="A150" s="175" t="s">
        <v>2454</v>
      </c>
      <c r="B150" s="217" t="str">
        <f t="shared" si="2"/>
        <v>14911000[m2]</v>
      </c>
      <c r="C150" s="216">
        <v>14911000</v>
      </c>
      <c r="D150" s="175" t="s">
        <v>235</v>
      </c>
      <c r="E150" s="175">
        <v>0.93716337522441695</v>
      </c>
      <c r="F150" s="175" t="s">
        <v>425</v>
      </c>
      <c r="G150" s="175" t="s">
        <v>2455</v>
      </c>
    </row>
    <row r="151" spans="1:7">
      <c r="A151" s="175" t="s">
        <v>2456</v>
      </c>
      <c r="B151" s="217" t="str">
        <f t="shared" si="2"/>
        <v>14912000[円]</v>
      </c>
      <c r="C151" s="216">
        <v>14912000</v>
      </c>
      <c r="D151" s="175" t="s">
        <v>235</v>
      </c>
      <c r="E151" s="175">
        <v>311.10000000000002</v>
      </c>
      <c r="F151" s="175" t="s">
        <v>265</v>
      </c>
      <c r="G151" s="175" t="s">
        <v>262</v>
      </c>
    </row>
    <row r="152" spans="1:7">
      <c r="A152" s="175" t="s">
        <v>2456</v>
      </c>
      <c r="B152" s="217" t="str">
        <f t="shared" si="2"/>
        <v>14912000[m2]</v>
      </c>
      <c r="C152" s="216">
        <v>14912000</v>
      </c>
      <c r="D152" s="175" t="s">
        <v>235</v>
      </c>
      <c r="E152" s="175">
        <v>10.4119850187266</v>
      </c>
      <c r="F152" s="175" t="s">
        <v>425</v>
      </c>
      <c r="G152" s="175" t="s">
        <v>262</v>
      </c>
    </row>
    <row r="153" spans="1:7">
      <c r="A153" s="175" t="s">
        <v>2457</v>
      </c>
      <c r="B153" s="217" t="str">
        <f t="shared" si="2"/>
        <v>14913000[円]</v>
      </c>
      <c r="C153" s="216">
        <v>14913000</v>
      </c>
      <c r="D153" s="175" t="s">
        <v>235</v>
      </c>
      <c r="E153" s="175">
        <v>649</v>
      </c>
      <c r="F153" s="175" t="s">
        <v>265</v>
      </c>
      <c r="G153" s="175" t="s">
        <v>263</v>
      </c>
    </row>
    <row r="154" spans="1:7">
      <c r="A154" s="175" t="s">
        <v>2457</v>
      </c>
      <c r="B154" s="217" t="str">
        <f t="shared" si="2"/>
        <v>14913000[m2]</v>
      </c>
      <c r="C154" s="216">
        <v>14913000</v>
      </c>
      <c r="D154" s="175" t="s">
        <v>235</v>
      </c>
      <c r="E154" s="175">
        <v>0.90526315789473699</v>
      </c>
      <c r="F154" s="175" t="s">
        <v>425</v>
      </c>
      <c r="G154" s="175" t="s">
        <v>263</v>
      </c>
    </row>
    <row r="155" spans="1:7">
      <c r="A155" s="175" t="s">
        <v>2458</v>
      </c>
      <c r="B155" s="217" t="str">
        <f t="shared" si="2"/>
        <v>14919000[円]</v>
      </c>
      <c r="C155" s="216">
        <v>14919000</v>
      </c>
      <c r="D155" s="175" t="s">
        <v>235</v>
      </c>
      <c r="E155" s="175">
        <v>773.85</v>
      </c>
      <c r="F155" s="175" t="s">
        <v>265</v>
      </c>
      <c r="G155" s="175" t="s">
        <v>2459</v>
      </c>
    </row>
    <row r="156" spans="1:7">
      <c r="A156" s="175" t="s">
        <v>2460</v>
      </c>
      <c r="B156" s="217" t="str">
        <f t="shared" si="2"/>
        <v>15100000[m2]</v>
      </c>
      <c r="C156" s="216">
        <v>15100000</v>
      </c>
      <c r="D156" s="175" t="s">
        <v>235</v>
      </c>
      <c r="E156" s="175">
        <v>0.238596383225572</v>
      </c>
      <c r="F156" s="175" t="s">
        <v>425</v>
      </c>
      <c r="G156" s="175" t="s">
        <v>2461</v>
      </c>
    </row>
    <row r="157" spans="1:7">
      <c r="A157" s="175" t="s">
        <v>2460</v>
      </c>
      <c r="B157" s="217" t="str">
        <f t="shared" si="2"/>
        <v>15100000[円]</v>
      </c>
      <c r="C157" s="216">
        <v>15100000</v>
      </c>
      <c r="D157" s="175" t="s">
        <v>235</v>
      </c>
      <c r="E157" s="175">
        <v>4.5516213434272297</v>
      </c>
      <c r="F157" s="175" t="s">
        <v>265</v>
      </c>
      <c r="G157" s="175" t="s">
        <v>2461</v>
      </c>
    </row>
    <row r="158" spans="1:7">
      <c r="A158" s="175" t="s">
        <v>2462</v>
      </c>
      <c r="B158" s="217" t="str">
        <f t="shared" si="2"/>
        <v>15111000[m2]</v>
      </c>
      <c r="C158" s="216">
        <v>15111000</v>
      </c>
      <c r="D158" s="175" t="s">
        <v>235</v>
      </c>
      <c r="E158" s="175">
        <v>0.239442958477597</v>
      </c>
      <c r="F158" s="175" t="s">
        <v>425</v>
      </c>
      <c r="G158" s="175" t="s">
        <v>264</v>
      </c>
    </row>
    <row r="159" spans="1:7">
      <c r="A159" s="175" t="s">
        <v>2462</v>
      </c>
      <c r="B159" s="217" t="str">
        <f t="shared" si="2"/>
        <v>15111000[円]</v>
      </c>
      <c r="C159" s="216">
        <v>15111000</v>
      </c>
      <c r="D159" s="175" t="s">
        <v>235</v>
      </c>
      <c r="E159" s="175">
        <v>4.5516213434272297</v>
      </c>
      <c r="F159" s="175" t="s">
        <v>265</v>
      </c>
      <c r="G159" s="175" t="s">
        <v>264</v>
      </c>
    </row>
    <row r="160" spans="1:7">
      <c r="A160" s="175" t="s">
        <v>2463</v>
      </c>
      <c r="B160" s="217" t="str">
        <f t="shared" si="2"/>
        <v>16100000[m2]</v>
      </c>
      <c r="C160" s="216">
        <v>16100000</v>
      </c>
      <c r="D160" s="175" t="s">
        <v>266</v>
      </c>
      <c r="E160" s="175">
        <v>3.5676591785192099E-2</v>
      </c>
      <c r="F160" s="175" t="s">
        <v>425</v>
      </c>
      <c r="G160" s="175" t="s">
        <v>2464</v>
      </c>
    </row>
    <row r="161" spans="1:7">
      <c r="A161" s="175" t="s">
        <v>2463</v>
      </c>
      <c r="B161" s="217" t="str">
        <f t="shared" si="2"/>
        <v>16100000[kg]</v>
      </c>
      <c r="C161" s="216">
        <v>16100000</v>
      </c>
      <c r="D161" s="175" t="s">
        <v>266</v>
      </c>
      <c r="E161" s="175">
        <v>3.0266666666666699E-2</v>
      </c>
      <c r="F161" s="175" t="s">
        <v>235</v>
      </c>
      <c r="G161" s="175" t="s">
        <v>2464</v>
      </c>
    </row>
    <row r="162" spans="1:7">
      <c r="A162" s="175" t="s">
        <v>2463</v>
      </c>
      <c r="B162" s="217" t="str">
        <f t="shared" si="2"/>
        <v>16100000[円]</v>
      </c>
      <c r="C162" s="216">
        <v>16100000</v>
      </c>
      <c r="D162" s="175" t="s">
        <v>266</v>
      </c>
      <c r="E162" s="175">
        <v>49.597793610664198</v>
      </c>
      <c r="F162" s="175" t="s">
        <v>265</v>
      </c>
      <c r="G162" s="175" t="s">
        <v>2464</v>
      </c>
    </row>
    <row r="163" spans="1:7">
      <c r="A163" s="175" t="s">
        <v>2465</v>
      </c>
      <c r="B163" s="217" t="str">
        <f t="shared" si="2"/>
        <v>16111000[円]</v>
      </c>
      <c r="C163" s="216">
        <v>16111000</v>
      </c>
      <c r="D163" s="175" t="s">
        <v>266</v>
      </c>
      <c r="E163" s="175">
        <v>49.597793610664198</v>
      </c>
      <c r="F163" s="175" t="s">
        <v>265</v>
      </c>
      <c r="G163" s="175" t="s">
        <v>2466</v>
      </c>
    </row>
    <row r="164" spans="1:7">
      <c r="A164" s="175" t="s">
        <v>2467</v>
      </c>
      <c r="B164" s="217" t="str">
        <f t="shared" si="2"/>
        <v>16111201[kg]</v>
      </c>
      <c r="C164" s="216">
        <v>16111201</v>
      </c>
      <c r="D164" s="175" t="s">
        <v>266</v>
      </c>
      <c r="E164" s="175">
        <v>3.0266666666666699E-2</v>
      </c>
      <c r="F164" s="175" t="s">
        <v>235</v>
      </c>
      <c r="G164" s="175" t="s">
        <v>2468</v>
      </c>
    </row>
    <row r="165" spans="1:7">
      <c r="A165" s="175" t="s">
        <v>2467</v>
      </c>
      <c r="B165" s="217" t="str">
        <f t="shared" si="2"/>
        <v>16111201[円]</v>
      </c>
      <c r="C165" s="216">
        <v>16111201</v>
      </c>
      <c r="D165" s="175" t="s">
        <v>266</v>
      </c>
      <c r="E165" s="175">
        <v>49.597793610664198</v>
      </c>
      <c r="F165" s="175" t="s">
        <v>265</v>
      </c>
      <c r="G165" s="175" t="s">
        <v>2468</v>
      </c>
    </row>
    <row r="166" spans="1:7">
      <c r="A166" s="175" t="s">
        <v>2467</v>
      </c>
      <c r="B166" s="217" t="str">
        <f t="shared" si="2"/>
        <v>16111201[m2]</v>
      </c>
      <c r="C166" s="216">
        <v>16111201</v>
      </c>
      <c r="D166" s="175" t="s">
        <v>266</v>
      </c>
      <c r="E166" s="175">
        <v>6.27193174360096E-2</v>
      </c>
      <c r="F166" s="175" t="s">
        <v>425</v>
      </c>
      <c r="G166" s="175" t="s">
        <v>2468</v>
      </c>
    </row>
    <row r="167" spans="1:7">
      <c r="A167" s="175" t="s">
        <v>2469</v>
      </c>
      <c r="B167" s="217" t="str">
        <f t="shared" si="2"/>
        <v>16111202[m2]</v>
      </c>
      <c r="C167" s="216">
        <v>16111202</v>
      </c>
      <c r="D167" s="175" t="s">
        <v>266</v>
      </c>
      <c r="E167" s="175">
        <v>2.38758949880668E-2</v>
      </c>
      <c r="F167" s="175" t="s">
        <v>425</v>
      </c>
      <c r="G167" s="175" t="s">
        <v>2470</v>
      </c>
    </row>
    <row r="168" spans="1:7">
      <c r="A168" s="175" t="s">
        <v>2469</v>
      </c>
      <c r="B168" s="217" t="str">
        <f t="shared" si="2"/>
        <v>16111202[円]</v>
      </c>
      <c r="C168" s="216">
        <v>16111202</v>
      </c>
      <c r="D168" s="175" t="s">
        <v>266</v>
      </c>
      <c r="E168" s="175">
        <v>49.597793610664198</v>
      </c>
      <c r="F168" s="175" t="s">
        <v>265</v>
      </c>
      <c r="G168" s="175" t="s">
        <v>2470</v>
      </c>
    </row>
    <row r="169" spans="1:7">
      <c r="A169" s="175" t="s">
        <v>2469</v>
      </c>
      <c r="B169" s="217" t="str">
        <f t="shared" si="2"/>
        <v>16111202[kg]</v>
      </c>
      <c r="C169" s="216">
        <v>16111202</v>
      </c>
      <c r="D169" s="175" t="s">
        <v>266</v>
      </c>
      <c r="E169" s="175">
        <v>3.0266666666666699E-2</v>
      </c>
      <c r="F169" s="175" t="s">
        <v>235</v>
      </c>
      <c r="G169" s="175" t="s">
        <v>2470</v>
      </c>
    </row>
    <row r="170" spans="1:7">
      <c r="A170" s="175" t="s">
        <v>2471</v>
      </c>
      <c r="B170" s="217" t="str">
        <f t="shared" si="2"/>
        <v>17100000[円]</v>
      </c>
      <c r="C170" s="216">
        <v>17100000</v>
      </c>
      <c r="D170" s="175" t="s">
        <v>235</v>
      </c>
      <c r="E170" s="175">
        <v>38.125432854084401</v>
      </c>
      <c r="F170" s="175" t="s">
        <v>265</v>
      </c>
      <c r="G170" s="175" t="s">
        <v>2472</v>
      </c>
    </row>
    <row r="171" spans="1:7">
      <c r="A171" s="175" t="s">
        <v>2471</v>
      </c>
      <c r="B171" s="217" t="str">
        <f t="shared" si="2"/>
        <v>17100000[m2]</v>
      </c>
      <c r="C171" s="216">
        <v>17100000</v>
      </c>
      <c r="D171" s="175" t="s">
        <v>235</v>
      </c>
      <c r="E171" s="175">
        <v>0.261225875155078</v>
      </c>
      <c r="F171" s="175" t="s">
        <v>425</v>
      </c>
      <c r="G171" s="175" t="s">
        <v>2472</v>
      </c>
    </row>
    <row r="172" spans="1:7">
      <c r="A172" s="175" t="s">
        <v>2473</v>
      </c>
      <c r="B172" s="217" t="str">
        <f t="shared" si="2"/>
        <v>17111000[m2]</v>
      </c>
      <c r="C172" s="216">
        <v>17111000</v>
      </c>
      <c r="D172" s="175" t="s">
        <v>235</v>
      </c>
      <c r="E172" s="175">
        <v>0.18840185134767201</v>
      </c>
      <c r="F172" s="175" t="s">
        <v>425</v>
      </c>
      <c r="G172" s="175" t="s">
        <v>267</v>
      </c>
    </row>
    <row r="173" spans="1:7">
      <c r="A173" s="175" t="s">
        <v>2473</v>
      </c>
      <c r="B173" s="217" t="str">
        <f t="shared" si="2"/>
        <v>17111000[円]</v>
      </c>
      <c r="C173" s="216">
        <v>17111000</v>
      </c>
      <c r="D173" s="175" t="s">
        <v>235</v>
      </c>
      <c r="E173" s="175">
        <v>11.31</v>
      </c>
      <c r="F173" s="175" t="s">
        <v>265</v>
      </c>
      <c r="G173" s="175" t="s">
        <v>267</v>
      </c>
    </row>
    <row r="174" spans="1:7">
      <c r="A174" s="175" t="s">
        <v>2474</v>
      </c>
      <c r="B174" s="217" t="str">
        <f t="shared" si="2"/>
        <v>17112000[円]</v>
      </c>
      <c r="C174" s="216">
        <v>17112000</v>
      </c>
      <c r="D174" s="175" t="s">
        <v>235</v>
      </c>
      <c r="E174" s="175">
        <v>21.56</v>
      </c>
      <c r="F174" s="175" t="s">
        <v>265</v>
      </c>
      <c r="G174" s="175" t="s">
        <v>268</v>
      </c>
    </row>
    <row r="175" spans="1:7">
      <c r="A175" s="175" t="s">
        <v>2474</v>
      </c>
      <c r="B175" s="217" t="str">
        <f t="shared" si="2"/>
        <v>17112000[m2]</v>
      </c>
      <c r="C175" s="216">
        <v>17112000</v>
      </c>
      <c r="D175" s="175" t="s">
        <v>235</v>
      </c>
      <c r="E175" s="175">
        <v>0.165591397849462</v>
      </c>
      <c r="F175" s="175" t="s">
        <v>425</v>
      </c>
      <c r="G175" s="175" t="s">
        <v>268</v>
      </c>
    </row>
    <row r="176" spans="1:7">
      <c r="A176" s="175" t="s">
        <v>2475</v>
      </c>
      <c r="B176" s="217" t="str">
        <f t="shared" si="2"/>
        <v>17113000[m2]</v>
      </c>
      <c r="C176" s="216">
        <v>17113000</v>
      </c>
      <c r="D176" s="175" t="s">
        <v>235</v>
      </c>
      <c r="E176" s="175">
        <v>1.20979356697072</v>
      </c>
      <c r="F176" s="175" t="s">
        <v>425</v>
      </c>
      <c r="G176" s="175" t="s">
        <v>2476</v>
      </c>
    </row>
    <row r="177" spans="1:7">
      <c r="A177" s="175" t="s">
        <v>2475</v>
      </c>
      <c r="B177" s="217" t="str">
        <f t="shared" si="2"/>
        <v>17113000[円]</v>
      </c>
      <c r="C177" s="216">
        <v>17113000</v>
      </c>
      <c r="D177" s="175" t="s">
        <v>235</v>
      </c>
      <c r="E177" s="175">
        <v>298.85787410254699</v>
      </c>
      <c r="F177" s="175" t="s">
        <v>265</v>
      </c>
      <c r="G177" s="175" t="s">
        <v>2476</v>
      </c>
    </row>
    <row r="178" spans="1:7">
      <c r="A178" s="175" t="s">
        <v>2477</v>
      </c>
      <c r="B178" s="217" t="str">
        <f t="shared" si="2"/>
        <v>17114000[円]</v>
      </c>
      <c r="C178" s="216">
        <v>17114000</v>
      </c>
      <c r="D178" s="175" t="s">
        <v>235</v>
      </c>
      <c r="E178" s="175">
        <v>133.33333329999999</v>
      </c>
      <c r="F178" s="175" t="s">
        <v>265</v>
      </c>
      <c r="G178" s="175" t="s">
        <v>269</v>
      </c>
    </row>
    <row r="179" spans="1:7">
      <c r="A179" s="175" t="s">
        <v>2477</v>
      </c>
      <c r="B179" s="217" t="str">
        <f t="shared" si="2"/>
        <v>17114000[m2]</v>
      </c>
      <c r="C179" s="216">
        <v>17114000</v>
      </c>
      <c r="D179" s="175" t="s">
        <v>235</v>
      </c>
      <c r="E179" s="175">
        <v>7.7522349936142998</v>
      </c>
      <c r="F179" s="175" t="s">
        <v>425</v>
      </c>
      <c r="G179" s="175" t="s">
        <v>269</v>
      </c>
    </row>
    <row r="180" spans="1:7">
      <c r="A180" s="175" t="s">
        <v>2478</v>
      </c>
      <c r="B180" s="217" t="str">
        <f t="shared" si="2"/>
        <v>17119000[円]</v>
      </c>
      <c r="C180" s="216">
        <v>17119000</v>
      </c>
      <c r="D180" s="175" t="s">
        <v>235</v>
      </c>
      <c r="E180" s="175">
        <v>142.308510094859</v>
      </c>
      <c r="F180" s="175" t="s">
        <v>265</v>
      </c>
      <c r="G180" s="175" t="s">
        <v>2479</v>
      </c>
    </row>
    <row r="181" spans="1:7">
      <c r="A181" s="175" t="s">
        <v>2480</v>
      </c>
      <c r="B181" s="217" t="str">
        <f t="shared" si="2"/>
        <v>17200000[円]</v>
      </c>
      <c r="C181" s="216">
        <v>17200000</v>
      </c>
      <c r="D181" s="175" t="s">
        <v>235</v>
      </c>
      <c r="E181" s="175">
        <v>1636.7114846112099</v>
      </c>
      <c r="F181" s="175" t="s">
        <v>265</v>
      </c>
      <c r="G181" s="175" t="s">
        <v>2481</v>
      </c>
    </row>
    <row r="182" spans="1:7">
      <c r="A182" s="175" t="s">
        <v>2480</v>
      </c>
      <c r="B182" s="217" t="str">
        <f t="shared" si="2"/>
        <v>17200000[m2]</v>
      </c>
      <c r="C182" s="216">
        <v>17200000</v>
      </c>
      <c r="D182" s="175" t="s">
        <v>235</v>
      </c>
      <c r="E182" s="175">
        <v>2.9634146341463401</v>
      </c>
      <c r="F182" s="175" t="s">
        <v>425</v>
      </c>
      <c r="G182" s="175" t="s">
        <v>2481</v>
      </c>
    </row>
    <row r="183" spans="1:7">
      <c r="A183" s="175" t="s">
        <v>2482</v>
      </c>
      <c r="B183" s="217" t="str">
        <f t="shared" si="2"/>
        <v>17211000[円]</v>
      </c>
      <c r="C183" s="216">
        <v>17211000</v>
      </c>
      <c r="D183" s="175" t="s">
        <v>235</v>
      </c>
      <c r="E183" s="175">
        <v>122.58</v>
      </c>
      <c r="F183" s="175" t="s">
        <v>265</v>
      </c>
      <c r="G183" s="175" t="s">
        <v>270</v>
      </c>
    </row>
    <row r="184" spans="1:7">
      <c r="A184" s="175" t="s">
        <v>2483</v>
      </c>
      <c r="B184" s="217" t="str">
        <f t="shared" si="2"/>
        <v>17212000[円]</v>
      </c>
      <c r="C184" s="216">
        <v>17212000</v>
      </c>
      <c r="D184" s="175" t="s">
        <v>235</v>
      </c>
      <c r="E184" s="175">
        <v>20.43</v>
      </c>
      <c r="F184" s="175" t="s">
        <v>265</v>
      </c>
      <c r="G184" s="175" t="s">
        <v>271</v>
      </c>
    </row>
    <row r="185" spans="1:7">
      <c r="A185" s="175" t="s">
        <v>2484</v>
      </c>
      <c r="B185" s="217" t="str">
        <f t="shared" si="2"/>
        <v>17219000[円]</v>
      </c>
      <c r="C185" s="216">
        <v>17219000</v>
      </c>
      <c r="D185" s="175" t="s">
        <v>235</v>
      </c>
      <c r="E185" s="175">
        <v>1671.7340041683001</v>
      </c>
      <c r="F185" s="175" t="s">
        <v>265</v>
      </c>
      <c r="G185" s="175" t="s">
        <v>2485</v>
      </c>
    </row>
    <row r="186" spans="1:7">
      <c r="A186" s="175" t="s">
        <v>2486</v>
      </c>
      <c r="B186" s="217" t="str">
        <f t="shared" si="2"/>
        <v>17219203[円]</v>
      </c>
      <c r="C186" s="216">
        <v>17219203</v>
      </c>
      <c r="D186" s="175" t="s">
        <v>235</v>
      </c>
      <c r="E186" s="175">
        <v>296.56276734300002</v>
      </c>
      <c r="F186" s="175" t="s">
        <v>265</v>
      </c>
      <c r="G186" s="175" t="s">
        <v>2487</v>
      </c>
    </row>
    <row r="187" spans="1:7">
      <c r="A187" s="175" t="s">
        <v>2488</v>
      </c>
      <c r="B187" s="217" t="str">
        <f t="shared" si="2"/>
        <v>18100000[円]</v>
      </c>
      <c r="C187" s="216">
        <v>18100000</v>
      </c>
      <c r="D187" s="175" t="s">
        <v>235</v>
      </c>
      <c r="E187" s="175">
        <v>91.653352493214499</v>
      </c>
      <c r="F187" s="175" t="s">
        <v>265</v>
      </c>
      <c r="G187" s="175" t="s">
        <v>2489</v>
      </c>
    </row>
    <row r="188" spans="1:7">
      <c r="A188" s="175" t="s">
        <v>2490</v>
      </c>
      <c r="B188" s="217" t="str">
        <f t="shared" si="2"/>
        <v>18111000[円]</v>
      </c>
      <c r="C188" s="216">
        <v>18111000</v>
      </c>
      <c r="D188" s="175" t="s">
        <v>235</v>
      </c>
      <c r="E188" s="175">
        <v>88.2</v>
      </c>
      <c r="F188" s="175" t="s">
        <v>265</v>
      </c>
      <c r="G188" s="175" t="s">
        <v>272</v>
      </c>
    </row>
    <row r="189" spans="1:7">
      <c r="A189" s="175" t="s">
        <v>2490</v>
      </c>
      <c r="B189" s="217" t="str">
        <f t="shared" si="2"/>
        <v>18111000[L]</v>
      </c>
      <c r="C189" s="216">
        <v>18111000</v>
      </c>
      <c r="D189" s="175" t="s">
        <v>235</v>
      </c>
      <c r="E189" s="175">
        <v>0.968992248062015</v>
      </c>
      <c r="F189" s="175" t="s">
        <v>400</v>
      </c>
      <c r="G189" s="175" t="s">
        <v>272</v>
      </c>
    </row>
    <row r="190" spans="1:7">
      <c r="A190" s="175" t="s">
        <v>2491</v>
      </c>
      <c r="B190" s="217" t="str">
        <f t="shared" si="2"/>
        <v>18119000[円]</v>
      </c>
      <c r="C190" s="216">
        <v>18119000</v>
      </c>
      <c r="D190" s="175" t="s">
        <v>235</v>
      </c>
      <c r="E190" s="175">
        <v>224.791546868122</v>
      </c>
      <c r="F190" s="175" t="s">
        <v>265</v>
      </c>
      <c r="G190" s="175" t="s">
        <v>273</v>
      </c>
    </row>
    <row r="191" spans="1:7">
      <c r="A191" s="175" t="s">
        <v>2492</v>
      </c>
      <c r="B191" s="217" t="str">
        <f t="shared" si="2"/>
        <v>18200000[円]</v>
      </c>
      <c r="C191" s="216">
        <v>18200000</v>
      </c>
      <c r="D191" s="175" t="s">
        <v>235</v>
      </c>
      <c r="E191" s="175">
        <v>180.07499999999999</v>
      </c>
      <c r="F191" s="175" t="s">
        <v>265</v>
      </c>
      <c r="G191" s="175" t="s">
        <v>2493</v>
      </c>
    </row>
    <row r="192" spans="1:7">
      <c r="A192" s="175" t="s">
        <v>2494</v>
      </c>
      <c r="B192" s="217" t="str">
        <f t="shared" si="2"/>
        <v>18211000[円]</v>
      </c>
      <c r="C192" s="216">
        <v>18211000</v>
      </c>
      <c r="D192" s="175" t="s">
        <v>235</v>
      </c>
      <c r="E192" s="175">
        <v>180.07499999999999</v>
      </c>
      <c r="F192" s="175" t="s">
        <v>265</v>
      </c>
      <c r="G192" s="175" t="s">
        <v>274</v>
      </c>
    </row>
    <row r="193" spans="1:7">
      <c r="A193" s="175" t="s">
        <v>2495</v>
      </c>
      <c r="B193" s="217" t="str">
        <f t="shared" si="2"/>
        <v>18300000[円]</v>
      </c>
      <c r="C193" s="216">
        <v>18300000</v>
      </c>
      <c r="D193" s="175" t="s">
        <v>235</v>
      </c>
      <c r="E193" s="175">
        <v>337.64342939907601</v>
      </c>
      <c r="F193" s="175" t="s">
        <v>265</v>
      </c>
      <c r="G193" s="175" t="s">
        <v>2496</v>
      </c>
    </row>
    <row r="194" spans="1:7">
      <c r="A194" s="175" t="s">
        <v>2497</v>
      </c>
      <c r="B194" s="217" t="str">
        <f t="shared" ref="B194:B257" si="3">C194&amp;"["&amp;F194&amp;"]"</f>
        <v>18311000[円]</v>
      </c>
      <c r="C194" s="216">
        <v>18311000</v>
      </c>
      <c r="D194" s="175" t="s">
        <v>235</v>
      </c>
      <c r="E194" s="175">
        <v>790.746886036197</v>
      </c>
      <c r="F194" s="175" t="s">
        <v>265</v>
      </c>
      <c r="G194" s="175" t="s">
        <v>277</v>
      </c>
    </row>
    <row r="195" spans="1:7">
      <c r="A195" s="175" t="s">
        <v>2498</v>
      </c>
      <c r="B195" s="217" t="str">
        <f t="shared" si="3"/>
        <v>18312000[円]</v>
      </c>
      <c r="C195" s="216">
        <v>18312000</v>
      </c>
      <c r="D195" s="175" t="s">
        <v>235</v>
      </c>
      <c r="E195" s="175">
        <v>307.7</v>
      </c>
      <c r="F195" s="175" t="s">
        <v>265</v>
      </c>
      <c r="G195" s="175" t="s">
        <v>276</v>
      </c>
    </row>
    <row r="196" spans="1:7">
      <c r="A196" s="175" t="s">
        <v>2499</v>
      </c>
      <c r="B196" s="217" t="str">
        <f t="shared" si="3"/>
        <v>18313000[円]</v>
      </c>
      <c r="C196" s="216">
        <v>18313000</v>
      </c>
      <c r="D196" s="175" t="s">
        <v>235</v>
      </c>
      <c r="E196" s="175">
        <v>202.2</v>
      </c>
      <c r="F196" s="175" t="s">
        <v>265</v>
      </c>
      <c r="G196" s="175" t="s">
        <v>275</v>
      </c>
    </row>
    <row r="197" spans="1:7">
      <c r="A197" s="175" t="s">
        <v>2500</v>
      </c>
      <c r="B197" s="217" t="str">
        <f t="shared" si="3"/>
        <v>21100000[kg]</v>
      </c>
      <c r="C197" s="216">
        <v>21100000</v>
      </c>
      <c r="D197" s="175" t="s">
        <v>278</v>
      </c>
      <c r="E197" s="175">
        <v>500</v>
      </c>
      <c r="F197" s="175" t="s">
        <v>235</v>
      </c>
      <c r="G197" s="175" t="s">
        <v>2501</v>
      </c>
    </row>
    <row r="198" spans="1:7">
      <c r="A198" s="175" t="s">
        <v>2500</v>
      </c>
      <c r="B198" s="217" t="str">
        <f t="shared" si="3"/>
        <v>21100000[円]</v>
      </c>
      <c r="C198" s="216">
        <v>21100000</v>
      </c>
      <c r="D198" s="175" t="s">
        <v>278</v>
      </c>
      <c r="E198" s="175">
        <v>10710.7482558804</v>
      </c>
      <c r="F198" s="175" t="s">
        <v>265</v>
      </c>
      <c r="G198" s="175" t="s">
        <v>2501</v>
      </c>
    </row>
    <row r="199" spans="1:7">
      <c r="A199" s="175" t="s">
        <v>2502</v>
      </c>
      <c r="B199" s="217" t="str">
        <f t="shared" si="3"/>
        <v>21111000[円]</v>
      </c>
      <c r="C199" s="216">
        <v>21111000</v>
      </c>
      <c r="D199" s="175" t="s">
        <v>278</v>
      </c>
      <c r="E199" s="175">
        <v>9369.9408198115398</v>
      </c>
      <c r="F199" s="175" t="s">
        <v>265</v>
      </c>
      <c r="G199" s="175" t="s">
        <v>2503</v>
      </c>
    </row>
    <row r="200" spans="1:7">
      <c r="A200" s="175" t="s">
        <v>2502</v>
      </c>
      <c r="B200" s="217" t="str">
        <f t="shared" si="3"/>
        <v>21111000[kg]</v>
      </c>
      <c r="C200" s="216">
        <v>21111000</v>
      </c>
      <c r="D200" s="175" t="s">
        <v>278</v>
      </c>
      <c r="E200" s="175">
        <v>330.43478260869603</v>
      </c>
      <c r="F200" s="175" t="s">
        <v>235</v>
      </c>
      <c r="G200" s="175" t="s">
        <v>2503</v>
      </c>
    </row>
    <row r="201" spans="1:7">
      <c r="A201" s="175" t="s">
        <v>2504</v>
      </c>
      <c r="B201" s="217" t="str">
        <f t="shared" si="3"/>
        <v>21112000[kg]</v>
      </c>
      <c r="C201" s="216">
        <v>21112000</v>
      </c>
      <c r="D201" s="175" t="s">
        <v>278</v>
      </c>
      <c r="E201" s="175">
        <v>382.60869565217399</v>
      </c>
      <c r="F201" s="175" t="s">
        <v>235</v>
      </c>
      <c r="G201" s="175" t="s">
        <v>2505</v>
      </c>
    </row>
    <row r="202" spans="1:7">
      <c r="A202" s="175" t="s">
        <v>2504</v>
      </c>
      <c r="B202" s="217" t="str">
        <f t="shared" si="3"/>
        <v>21112000[円]</v>
      </c>
      <c r="C202" s="216">
        <v>21112000</v>
      </c>
      <c r="D202" s="175" t="s">
        <v>278</v>
      </c>
      <c r="E202" s="175">
        <v>17079.3857981375</v>
      </c>
      <c r="F202" s="175" t="s">
        <v>265</v>
      </c>
      <c r="G202" s="175" t="s">
        <v>2505</v>
      </c>
    </row>
    <row r="203" spans="1:7">
      <c r="A203" s="175" t="s">
        <v>2506</v>
      </c>
      <c r="B203" s="217" t="str">
        <f t="shared" si="3"/>
        <v>21113000[円]</v>
      </c>
      <c r="C203" s="216">
        <v>21113000</v>
      </c>
      <c r="D203" s="175" t="s">
        <v>278</v>
      </c>
      <c r="E203" s="175">
        <v>10200.1887405543</v>
      </c>
      <c r="F203" s="175" t="s">
        <v>265</v>
      </c>
      <c r="G203" s="175" t="s">
        <v>2507</v>
      </c>
    </row>
    <row r="204" spans="1:7">
      <c r="A204" s="175" t="s">
        <v>2506</v>
      </c>
      <c r="B204" s="217" t="str">
        <f t="shared" si="3"/>
        <v>21113000[kg]</v>
      </c>
      <c r="C204" s="216">
        <v>21113000</v>
      </c>
      <c r="D204" s="175" t="s">
        <v>278</v>
      </c>
      <c r="E204" s="175">
        <v>452.17391304347802</v>
      </c>
      <c r="F204" s="175" t="s">
        <v>235</v>
      </c>
      <c r="G204" s="175" t="s">
        <v>2507</v>
      </c>
    </row>
    <row r="205" spans="1:7">
      <c r="A205" s="175" t="s">
        <v>2508</v>
      </c>
      <c r="B205" s="217" t="str">
        <f t="shared" si="3"/>
        <v>21114000[円]</v>
      </c>
      <c r="C205" s="216">
        <v>21114000</v>
      </c>
      <c r="D205" s="175" t="s">
        <v>278</v>
      </c>
      <c r="E205" s="175">
        <v>8381.55043797488</v>
      </c>
      <c r="F205" s="175" t="s">
        <v>265</v>
      </c>
      <c r="G205" s="175" t="s">
        <v>2509</v>
      </c>
    </row>
    <row r="206" spans="1:7">
      <c r="A206" s="175" t="s">
        <v>2508</v>
      </c>
      <c r="B206" s="217" t="str">
        <f t="shared" si="3"/>
        <v>21114000[kg]</v>
      </c>
      <c r="C206" s="216">
        <v>21114000</v>
      </c>
      <c r="D206" s="175" t="s">
        <v>278</v>
      </c>
      <c r="E206" s="175">
        <v>469.56521739130397</v>
      </c>
      <c r="F206" s="175" t="s">
        <v>235</v>
      </c>
      <c r="G206" s="175" t="s">
        <v>2509</v>
      </c>
    </row>
    <row r="207" spans="1:7">
      <c r="A207" s="175" t="s">
        <v>2510</v>
      </c>
      <c r="B207" s="217" t="str">
        <f t="shared" si="3"/>
        <v>22211201[円]</v>
      </c>
      <c r="C207" s="216">
        <v>22211201</v>
      </c>
      <c r="D207" s="175" t="s">
        <v>235</v>
      </c>
      <c r="E207" s="175">
        <v>127</v>
      </c>
      <c r="F207" s="175" t="s">
        <v>265</v>
      </c>
      <c r="G207" s="175" t="s">
        <v>2511</v>
      </c>
    </row>
    <row r="208" spans="1:7">
      <c r="A208" s="175" t="s">
        <v>2512</v>
      </c>
      <c r="B208" s="217" t="str">
        <f t="shared" si="3"/>
        <v>22211801[kg]</v>
      </c>
      <c r="C208" s="216">
        <v>22211801</v>
      </c>
      <c r="D208" s="175" t="s">
        <v>279</v>
      </c>
      <c r="E208" s="175">
        <v>3.2786885245901599E-2</v>
      </c>
      <c r="F208" s="175" t="s">
        <v>235</v>
      </c>
      <c r="G208" s="175" t="s">
        <v>2513</v>
      </c>
    </row>
    <row r="209" spans="1:7">
      <c r="A209" s="175" t="s">
        <v>2514</v>
      </c>
      <c r="B209" s="217" t="str">
        <f t="shared" si="3"/>
        <v>22211802[kg]</v>
      </c>
      <c r="C209" s="216">
        <v>22211802</v>
      </c>
      <c r="D209" s="175" t="s">
        <v>279</v>
      </c>
      <c r="E209" s="175">
        <v>6.9444444444444406E-2</v>
      </c>
      <c r="F209" s="175" t="s">
        <v>235</v>
      </c>
      <c r="G209" s="175" t="s">
        <v>2515</v>
      </c>
    </row>
    <row r="210" spans="1:7">
      <c r="A210" s="175" t="s">
        <v>2516</v>
      </c>
      <c r="B210" s="217" t="str">
        <f t="shared" si="3"/>
        <v>31100000[円]</v>
      </c>
      <c r="C210" s="216">
        <v>31100000</v>
      </c>
      <c r="D210" s="175" t="s">
        <v>235</v>
      </c>
      <c r="E210" s="175">
        <v>646.51676727378106</v>
      </c>
      <c r="F210" s="175" t="s">
        <v>265</v>
      </c>
      <c r="G210" s="175" t="s">
        <v>2517</v>
      </c>
    </row>
    <row r="211" spans="1:7">
      <c r="A211" s="175" t="s">
        <v>2518</v>
      </c>
      <c r="B211" s="217" t="str">
        <f t="shared" si="3"/>
        <v>31111000[円]</v>
      </c>
      <c r="C211" s="216">
        <v>31111000</v>
      </c>
      <c r="D211" s="175" t="s">
        <v>235</v>
      </c>
      <c r="E211" s="175">
        <v>1450.0144885540401</v>
      </c>
      <c r="F211" s="175" t="s">
        <v>265</v>
      </c>
      <c r="G211" s="175" t="s">
        <v>301</v>
      </c>
    </row>
    <row r="212" spans="1:7">
      <c r="A212" s="175" t="s">
        <v>2519</v>
      </c>
      <c r="B212" s="217" t="str">
        <f t="shared" si="3"/>
        <v>31112000[円]</v>
      </c>
      <c r="C212" s="216">
        <v>31112000</v>
      </c>
      <c r="D212" s="175" t="s">
        <v>235</v>
      </c>
      <c r="E212" s="175">
        <v>1837.30715287518</v>
      </c>
      <c r="F212" s="175" t="s">
        <v>265</v>
      </c>
      <c r="G212" s="175" t="s">
        <v>302</v>
      </c>
    </row>
    <row r="213" spans="1:7">
      <c r="A213" s="175" t="s">
        <v>2520</v>
      </c>
      <c r="B213" s="217" t="str">
        <f t="shared" si="3"/>
        <v>31113000[円]</v>
      </c>
      <c r="C213" s="216">
        <v>31113000</v>
      </c>
      <c r="D213" s="175" t="s">
        <v>235</v>
      </c>
      <c r="E213" s="175">
        <v>302.10205664768301</v>
      </c>
      <c r="F213" s="175" t="s">
        <v>265</v>
      </c>
      <c r="G213" s="175" t="s">
        <v>303</v>
      </c>
    </row>
    <row r="214" spans="1:7">
      <c r="A214" s="175" t="s">
        <v>2521</v>
      </c>
      <c r="B214" s="217" t="str">
        <f t="shared" si="3"/>
        <v>31114000[円]</v>
      </c>
      <c r="C214" s="216">
        <v>31114000</v>
      </c>
      <c r="D214" s="175" t="s">
        <v>235</v>
      </c>
      <c r="E214" s="175">
        <v>876.92812004880602</v>
      </c>
      <c r="F214" s="175" t="s">
        <v>265</v>
      </c>
      <c r="G214" s="175" t="s">
        <v>304</v>
      </c>
    </row>
    <row r="215" spans="1:7">
      <c r="A215" s="175" t="s">
        <v>2522</v>
      </c>
      <c r="B215" s="217" t="str">
        <f t="shared" si="3"/>
        <v>31115000[円]</v>
      </c>
      <c r="C215" s="216">
        <v>31115000</v>
      </c>
      <c r="D215" s="175" t="s">
        <v>235</v>
      </c>
      <c r="E215" s="175">
        <v>477.86151398678498</v>
      </c>
      <c r="F215" s="175" t="s">
        <v>265</v>
      </c>
      <c r="G215" s="175" t="s">
        <v>305</v>
      </c>
    </row>
    <row r="216" spans="1:7">
      <c r="A216" s="175" t="s">
        <v>2523</v>
      </c>
      <c r="B216" s="217" t="str">
        <f t="shared" si="3"/>
        <v>31119000[円]</v>
      </c>
      <c r="C216" s="216">
        <v>31119000</v>
      </c>
      <c r="D216" s="175" t="s">
        <v>235</v>
      </c>
      <c r="E216" s="175">
        <v>513.98963730569903</v>
      </c>
      <c r="F216" s="175" t="s">
        <v>265</v>
      </c>
      <c r="G216" s="175" t="s">
        <v>306</v>
      </c>
    </row>
    <row r="217" spans="1:7">
      <c r="A217" s="175" t="s">
        <v>2524</v>
      </c>
      <c r="B217" s="217" t="str">
        <f t="shared" si="3"/>
        <v>31200000[円]</v>
      </c>
      <c r="C217" s="216">
        <v>31200000</v>
      </c>
      <c r="D217" s="175" t="s">
        <v>235</v>
      </c>
      <c r="E217" s="175">
        <v>590.50748415032399</v>
      </c>
      <c r="F217" s="175" t="s">
        <v>265</v>
      </c>
      <c r="G217" s="175" t="s">
        <v>2525</v>
      </c>
    </row>
    <row r="218" spans="1:7">
      <c r="A218" s="175" t="s">
        <v>2526</v>
      </c>
      <c r="B218" s="217" t="str">
        <f t="shared" si="3"/>
        <v>31211000[円]</v>
      </c>
      <c r="C218" s="216">
        <v>31211000</v>
      </c>
      <c r="D218" s="175" t="s">
        <v>235</v>
      </c>
      <c r="E218" s="175">
        <v>573.81714692280298</v>
      </c>
      <c r="F218" s="175" t="s">
        <v>265</v>
      </c>
      <c r="G218" s="175" t="s">
        <v>307</v>
      </c>
    </row>
    <row r="219" spans="1:7">
      <c r="A219" s="175" t="s">
        <v>2527</v>
      </c>
      <c r="B219" s="217" t="str">
        <f t="shared" si="3"/>
        <v>31212000[円]</v>
      </c>
      <c r="C219" s="216">
        <v>31212000</v>
      </c>
      <c r="D219" s="175" t="s">
        <v>235</v>
      </c>
      <c r="E219" s="175">
        <v>825.17245278751602</v>
      </c>
      <c r="F219" s="175" t="s">
        <v>265</v>
      </c>
      <c r="G219" s="175" t="s">
        <v>308</v>
      </c>
    </row>
    <row r="220" spans="1:7">
      <c r="A220" s="175" t="s">
        <v>2528</v>
      </c>
      <c r="B220" s="217" t="str">
        <f t="shared" si="3"/>
        <v>31213000[円]</v>
      </c>
      <c r="C220" s="216">
        <v>31213000</v>
      </c>
      <c r="D220" s="175" t="s">
        <v>235</v>
      </c>
      <c r="E220" s="175">
        <v>321.32908873856002</v>
      </c>
      <c r="F220" s="175" t="s">
        <v>265</v>
      </c>
      <c r="G220" s="175" t="s">
        <v>309</v>
      </c>
    </row>
    <row r="221" spans="1:7">
      <c r="A221" s="175" t="s">
        <v>2529</v>
      </c>
      <c r="B221" s="217" t="str">
        <f t="shared" si="3"/>
        <v>31219000[円]</v>
      </c>
      <c r="C221" s="216">
        <v>31219000</v>
      </c>
      <c r="D221" s="175" t="s">
        <v>235</v>
      </c>
      <c r="E221" s="175">
        <v>280.29867892016102</v>
      </c>
      <c r="F221" s="175" t="s">
        <v>265</v>
      </c>
      <c r="G221" s="175" t="s">
        <v>310</v>
      </c>
    </row>
    <row r="222" spans="1:7">
      <c r="A222" s="175" t="s">
        <v>2530</v>
      </c>
      <c r="B222" s="217" t="str">
        <f t="shared" si="3"/>
        <v>31300000[円]</v>
      </c>
      <c r="C222" s="216">
        <v>31300000</v>
      </c>
      <c r="D222" s="175" t="s">
        <v>235</v>
      </c>
      <c r="E222" s="175">
        <v>212.61609481923099</v>
      </c>
      <c r="F222" s="175" t="s">
        <v>265</v>
      </c>
      <c r="G222" s="175" t="s">
        <v>2531</v>
      </c>
    </row>
    <row r="223" spans="1:7">
      <c r="A223" s="175" t="s">
        <v>2532</v>
      </c>
      <c r="B223" s="217" t="str">
        <f t="shared" si="3"/>
        <v>31311000[円]</v>
      </c>
      <c r="C223" s="216">
        <v>31311000</v>
      </c>
      <c r="D223" s="175" t="s">
        <v>235</v>
      </c>
      <c r="E223" s="175">
        <v>224.37106035641301</v>
      </c>
      <c r="F223" s="175" t="s">
        <v>265</v>
      </c>
      <c r="G223" s="175" t="s">
        <v>311</v>
      </c>
    </row>
    <row r="224" spans="1:7">
      <c r="A224" s="175" t="s">
        <v>2533</v>
      </c>
      <c r="B224" s="217" t="str">
        <f t="shared" si="3"/>
        <v>31312000[円]</v>
      </c>
      <c r="C224" s="216">
        <v>31312000</v>
      </c>
      <c r="D224" s="175" t="s">
        <v>235</v>
      </c>
      <c r="E224" s="175">
        <v>64.830048657541894</v>
      </c>
      <c r="F224" s="175" t="s">
        <v>265</v>
      </c>
      <c r="G224" s="175" t="s">
        <v>312</v>
      </c>
    </row>
    <row r="225" spans="1:7">
      <c r="A225" s="175" t="s">
        <v>2534</v>
      </c>
      <c r="B225" s="217" t="str">
        <f t="shared" si="3"/>
        <v>31400000[円]</v>
      </c>
      <c r="C225" s="216">
        <v>31400000</v>
      </c>
      <c r="D225" s="175" t="s">
        <v>235</v>
      </c>
      <c r="E225" s="175">
        <v>367.21032307035301</v>
      </c>
      <c r="F225" s="175" t="s">
        <v>265</v>
      </c>
      <c r="G225" s="175" t="s">
        <v>2535</v>
      </c>
    </row>
    <row r="226" spans="1:7">
      <c r="A226" s="175" t="s">
        <v>2536</v>
      </c>
      <c r="B226" s="217" t="str">
        <f t="shared" si="3"/>
        <v>31411000[円]</v>
      </c>
      <c r="C226" s="216">
        <v>31411000</v>
      </c>
      <c r="D226" s="175" t="s">
        <v>235</v>
      </c>
      <c r="E226" s="175">
        <v>439.18461330082602</v>
      </c>
      <c r="F226" s="175" t="s">
        <v>265</v>
      </c>
      <c r="G226" s="175" t="s">
        <v>313</v>
      </c>
    </row>
    <row r="227" spans="1:7">
      <c r="A227" s="175" t="s">
        <v>2537</v>
      </c>
      <c r="B227" s="217" t="str">
        <f t="shared" si="3"/>
        <v>31412000[円]</v>
      </c>
      <c r="C227" s="216">
        <v>31412000</v>
      </c>
      <c r="D227" s="175" t="s">
        <v>235</v>
      </c>
      <c r="E227" s="175">
        <v>339.56465434447199</v>
      </c>
      <c r="F227" s="175" t="s">
        <v>265</v>
      </c>
      <c r="G227" s="175" t="s">
        <v>2538</v>
      </c>
    </row>
    <row r="228" spans="1:7">
      <c r="A228" s="175" t="s">
        <v>2539</v>
      </c>
      <c r="B228" s="217" t="str">
        <f t="shared" si="3"/>
        <v>31413000[円]</v>
      </c>
      <c r="C228" s="216">
        <v>31413000</v>
      </c>
      <c r="D228" s="175" t="s">
        <v>235</v>
      </c>
      <c r="E228" s="175">
        <v>125.385405960946</v>
      </c>
      <c r="F228" s="175" t="s">
        <v>265</v>
      </c>
      <c r="G228" s="175" t="s">
        <v>314</v>
      </c>
    </row>
    <row r="229" spans="1:7">
      <c r="A229" s="175" t="s">
        <v>2540</v>
      </c>
      <c r="B229" s="217" t="str">
        <f t="shared" si="3"/>
        <v>31414000[円]</v>
      </c>
      <c r="C229" s="216">
        <v>31414000</v>
      </c>
      <c r="D229" s="175" t="s">
        <v>235</v>
      </c>
      <c r="E229" s="175">
        <v>415.13173652694599</v>
      </c>
      <c r="F229" s="175" t="s">
        <v>265</v>
      </c>
      <c r="G229" s="175" t="s">
        <v>315</v>
      </c>
    </row>
    <row r="230" spans="1:7">
      <c r="A230" s="175" t="s">
        <v>2541</v>
      </c>
      <c r="B230" s="217" t="str">
        <f t="shared" si="3"/>
        <v>31415000[円]</v>
      </c>
      <c r="C230" s="216">
        <v>31415000</v>
      </c>
      <c r="D230" s="175" t="s">
        <v>235</v>
      </c>
      <c r="E230" s="175">
        <v>2076.9230769230799</v>
      </c>
      <c r="F230" s="175" t="s">
        <v>265</v>
      </c>
      <c r="G230" s="175" t="s">
        <v>316</v>
      </c>
    </row>
    <row r="231" spans="1:7">
      <c r="A231" s="175" t="s">
        <v>2542</v>
      </c>
      <c r="B231" s="217" t="str">
        <f t="shared" si="3"/>
        <v>31416000[円]</v>
      </c>
      <c r="C231" s="216">
        <v>31416000</v>
      </c>
      <c r="D231" s="175" t="s">
        <v>235</v>
      </c>
      <c r="E231" s="175">
        <v>635.36545394952498</v>
      </c>
      <c r="F231" s="175" t="s">
        <v>265</v>
      </c>
      <c r="G231" s="175" t="s">
        <v>317</v>
      </c>
    </row>
    <row r="232" spans="1:7">
      <c r="A232" s="175" t="s">
        <v>2543</v>
      </c>
      <c r="B232" s="217" t="str">
        <f t="shared" si="3"/>
        <v>31417000[円]</v>
      </c>
      <c r="C232" s="216">
        <v>31417000</v>
      </c>
      <c r="D232" s="175" t="s">
        <v>235</v>
      </c>
      <c r="E232" s="175">
        <v>1518.1451612903199</v>
      </c>
      <c r="F232" s="175" t="s">
        <v>265</v>
      </c>
      <c r="G232" s="175" t="s">
        <v>318</v>
      </c>
    </row>
    <row r="233" spans="1:7">
      <c r="A233" s="175" t="s">
        <v>2544</v>
      </c>
      <c r="B233" s="217" t="str">
        <f t="shared" si="3"/>
        <v>31419000[円]</v>
      </c>
      <c r="C233" s="216">
        <v>31419000</v>
      </c>
      <c r="D233" s="175" t="s">
        <v>235</v>
      </c>
      <c r="E233" s="175">
        <v>2529.5921496473502</v>
      </c>
      <c r="F233" s="175" t="s">
        <v>265</v>
      </c>
      <c r="G233" s="175" t="s">
        <v>2545</v>
      </c>
    </row>
    <row r="234" spans="1:7">
      <c r="A234" s="175" t="s">
        <v>2546</v>
      </c>
      <c r="B234" s="217" t="str">
        <f t="shared" si="3"/>
        <v>31500000[円]</v>
      </c>
      <c r="C234" s="216">
        <v>31500000</v>
      </c>
      <c r="D234" s="175" t="s">
        <v>235</v>
      </c>
      <c r="E234" s="175">
        <v>104.746290346972</v>
      </c>
      <c r="F234" s="175" t="s">
        <v>265</v>
      </c>
      <c r="G234" s="175" t="s">
        <v>2547</v>
      </c>
    </row>
    <row r="235" spans="1:7">
      <c r="A235" s="175" t="s">
        <v>2548</v>
      </c>
      <c r="B235" s="217" t="str">
        <f t="shared" si="3"/>
        <v>31511000[円]</v>
      </c>
      <c r="C235" s="216">
        <v>31511000</v>
      </c>
      <c r="D235" s="175" t="s">
        <v>235</v>
      </c>
      <c r="E235" s="175">
        <v>97.706637779899907</v>
      </c>
      <c r="F235" s="175" t="s">
        <v>265</v>
      </c>
      <c r="G235" s="175" t="s">
        <v>319</v>
      </c>
    </row>
    <row r="236" spans="1:7">
      <c r="A236" s="175" t="s">
        <v>2549</v>
      </c>
      <c r="B236" s="217" t="str">
        <f t="shared" si="3"/>
        <v>31512000[円]</v>
      </c>
      <c r="C236" s="216">
        <v>31512000</v>
      </c>
      <c r="D236" s="175" t="s">
        <v>235</v>
      </c>
      <c r="E236" s="175">
        <v>65.450362267654199</v>
      </c>
      <c r="F236" s="175" t="s">
        <v>265</v>
      </c>
      <c r="G236" s="175" t="s">
        <v>320</v>
      </c>
    </row>
    <row r="237" spans="1:7">
      <c r="A237" s="175" t="s">
        <v>2550</v>
      </c>
      <c r="B237" s="217" t="str">
        <f t="shared" si="3"/>
        <v>31513000[円]</v>
      </c>
      <c r="C237" s="216">
        <v>31513000</v>
      </c>
      <c r="D237" s="175" t="s">
        <v>235</v>
      </c>
      <c r="E237" s="175">
        <v>50.264769036423203</v>
      </c>
      <c r="F237" s="175" t="s">
        <v>265</v>
      </c>
      <c r="G237" s="175" t="s">
        <v>321</v>
      </c>
    </row>
    <row r="238" spans="1:7">
      <c r="A238" s="175" t="s">
        <v>2551</v>
      </c>
      <c r="B238" s="217" t="str">
        <f t="shared" si="3"/>
        <v>31514000[円]</v>
      </c>
      <c r="C238" s="216">
        <v>31514000</v>
      </c>
      <c r="D238" s="175" t="s">
        <v>235</v>
      </c>
      <c r="E238" s="175">
        <v>404.660161741575</v>
      </c>
      <c r="F238" s="175" t="s">
        <v>265</v>
      </c>
      <c r="G238" s="175" t="s">
        <v>322</v>
      </c>
    </row>
    <row r="239" spans="1:7">
      <c r="A239" s="175" t="s">
        <v>2552</v>
      </c>
      <c r="B239" s="217" t="str">
        <f t="shared" si="3"/>
        <v>31600000[円]</v>
      </c>
      <c r="C239" s="216">
        <v>31600000</v>
      </c>
      <c r="D239" s="175" t="s">
        <v>235</v>
      </c>
      <c r="E239" s="175">
        <v>220.83370856752401</v>
      </c>
      <c r="F239" s="175" t="s">
        <v>265</v>
      </c>
      <c r="G239" s="175" t="s">
        <v>2553</v>
      </c>
    </row>
    <row r="240" spans="1:7">
      <c r="A240" s="175" t="s">
        <v>2554</v>
      </c>
      <c r="B240" s="217" t="str">
        <f t="shared" si="3"/>
        <v>31611000[円]</v>
      </c>
      <c r="C240" s="216">
        <v>31611000</v>
      </c>
      <c r="D240" s="175" t="s">
        <v>235</v>
      </c>
      <c r="E240" s="175">
        <v>213.86977894612599</v>
      </c>
      <c r="F240" s="175" t="s">
        <v>265</v>
      </c>
      <c r="G240" s="175" t="s">
        <v>323</v>
      </c>
    </row>
    <row r="241" spans="1:7">
      <c r="A241" s="175" t="s">
        <v>2555</v>
      </c>
      <c r="B241" s="217" t="str">
        <f t="shared" si="3"/>
        <v>31612000[円]</v>
      </c>
      <c r="C241" s="216">
        <v>31612000</v>
      </c>
      <c r="D241" s="175" t="s">
        <v>235</v>
      </c>
      <c r="E241" s="175">
        <v>1447.9427549195</v>
      </c>
      <c r="F241" s="175" t="s">
        <v>265</v>
      </c>
      <c r="G241" s="175" t="s">
        <v>324</v>
      </c>
    </row>
    <row r="242" spans="1:7">
      <c r="A242" s="175" t="s">
        <v>2556</v>
      </c>
      <c r="B242" s="217" t="str">
        <f t="shared" si="3"/>
        <v>31613000[円]</v>
      </c>
      <c r="C242" s="216">
        <v>31613000</v>
      </c>
      <c r="D242" s="175" t="s">
        <v>235</v>
      </c>
      <c r="E242" s="175">
        <v>128.70536604827399</v>
      </c>
      <c r="F242" s="175" t="s">
        <v>265</v>
      </c>
      <c r="G242" s="175" t="s">
        <v>325</v>
      </c>
    </row>
    <row r="243" spans="1:7">
      <c r="A243" s="175" t="s">
        <v>2557</v>
      </c>
      <c r="B243" s="217" t="str">
        <f t="shared" si="3"/>
        <v>31700000[円]</v>
      </c>
      <c r="C243" s="216">
        <v>31700000</v>
      </c>
      <c r="D243" s="175" t="s">
        <v>235</v>
      </c>
      <c r="E243" s="175">
        <v>93.105320304017397</v>
      </c>
      <c r="F243" s="175" t="s">
        <v>265</v>
      </c>
      <c r="G243" s="175" t="s">
        <v>2558</v>
      </c>
    </row>
    <row r="244" spans="1:7">
      <c r="A244" s="175" t="s">
        <v>2559</v>
      </c>
      <c r="B244" s="217" t="str">
        <f t="shared" si="3"/>
        <v>31711000[円]</v>
      </c>
      <c r="C244" s="216">
        <v>31711000</v>
      </c>
      <c r="D244" s="175" t="s">
        <v>235</v>
      </c>
      <c r="E244" s="175">
        <v>219.902574808629</v>
      </c>
      <c r="F244" s="175" t="s">
        <v>265</v>
      </c>
      <c r="G244" s="175" t="s">
        <v>328</v>
      </c>
    </row>
    <row r="245" spans="1:7">
      <c r="A245" s="175" t="s">
        <v>2560</v>
      </c>
      <c r="B245" s="217" t="str">
        <f t="shared" si="3"/>
        <v>31712000[円]</v>
      </c>
      <c r="C245" s="216">
        <v>31712000</v>
      </c>
      <c r="D245" s="175" t="s">
        <v>235</v>
      </c>
      <c r="E245" s="175">
        <v>65.538329232459802</v>
      </c>
      <c r="F245" s="175" t="s">
        <v>265</v>
      </c>
      <c r="G245" s="175" t="s">
        <v>329</v>
      </c>
    </row>
    <row r="246" spans="1:7">
      <c r="A246" s="175" t="s">
        <v>2561</v>
      </c>
      <c r="B246" s="217" t="str">
        <f t="shared" si="3"/>
        <v>31800000[円]</v>
      </c>
      <c r="C246" s="216">
        <v>31800000</v>
      </c>
      <c r="D246" s="175" t="s">
        <v>235</v>
      </c>
      <c r="E246" s="175">
        <v>724.12460306195499</v>
      </c>
      <c r="F246" s="175" t="s">
        <v>265</v>
      </c>
      <c r="G246" s="175" t="s">
        <v>2562</v>
      </c>
    </row>
    <row r="247" spans="1:7">
      <c r="A247" s="175" t="s">
        <v>2563</v>
      </c>
      <c r="B247" s="217" t="str">
        <f t="shared" si="3"/>
        <v>31811000[円]</v>
      </c>
      <c r="C247" s="216">
        <v>31811000</v>
      </c>
      <c r="D247" s="175" t="s">
        <v>235</v>
      </c>
      <c r="E247" s="175">
        <v>754.52431135983704</v>
      </c>
      <c r="F247" s="175" t="s">
        <v>265</v>
      </c>
      <c r="G247" s="175" t="s">
        <v>332</v>
      </c>
    </row>
    <row r="248" spans="1:7">
      <c r="A248" s="175" t="s">
        <v>2564</v>
      </c>
      <c r="B248" s="217" t="str">
        <f t="shared" si="3"/>
        <v>31812000[円]</v>
      </c>
      <c r="C248" s="216">
        <v>31812000</v>
      </c>
      <c r="D248" s="175" t="s">
        <v>235</v>
      </c>
      <c r="E248" s="175">
        <v>405.55810047335501</v>
      </c>
      <c r="F248" s="175" t="s">
        <v>265</v>
      </c>
      <c r="G248" s="175" t="s">
        <v>2565</v>
      </c>
    </row>
    <row r="249" spans="1:7">
      <c r="A249" s="175" t="s">
        <v>2566</v>
      </c>
      <c r="B249" s="217" t="str">
        <f t="shared" si="3"/>
        <v>31813000[円]</v>
      </c>
      <c r="C249" s="216">
        <v>31813000</v>
      </c>
      <c r="D249" s="175" t="s">
        <v>235</v>
      </c>
      <c r="E249" s="175">
        <v>387.65503316988799</v>
      </c>
      <c r="F249" s="175" t="s">
        <v>265</v>
      </c>
      <c r="G249" s="175" t="s">
        <v>2567</v>
      </c>
    </row>
    <row r="250" spans="1:7">
      <c r="A250" s="175" t="s">
        <v>2568</v>
      </c>
      <c r="B250" s="217" t="str">
        <f t="shared" si="3"/>
        <v>31900000[円]</v>
      </c>
      <c r="C250" s="216">
        <v>31900000</v>
      </c>
      <c r="D250" s="175" t="s">
        <v>235</v>
      </c>
      <c r="E250" s="175">
        <v>359.23575943630101</v>
      </c>
      <c r="F250" s="175" t="s">
        <v>265</v>
      </c>
      <c r="G250" s="175" t="s">
        <v>2569</v>
      </c>
    </row>
    <row r="251" spans="1:7">
      <c r="A251" s="175" t="s">
        <v>2570</v>
      </c>
      <c r="B251" s="217" t="str">
        <f t="shared" si="3"/>
        <v>31911000[円]</v>
      </c>
      <c r="C251" s="216">
        <v>31911000</v>
      </c>
      <c r="D251" s="175" t="s">
        <v>235</v>
      </c>
      <c r="E251" s="175">
        <v>84.715125464353306</v>
      </c>
      <c r="F251" s="175" t="s">
        <v>265</v>
      </c>
      <c r="G251" s="175" t="s">
        <v>326</v>
      </c>
    </row>
    <row r="252" spans="1:7">
      <c r="A252" s="175" t="s">
        <v>2571</v>
      </c>
      <c r="B252" s="217" t="str">
        <f t="shared" si="3"/>
        <v>31912000[円]</v>
      </c>
      <c r="C252" s="216">
        <v>31912000</v>
      </c>
      <c r="D252" s="175" t="s">
        <v>235</v>
      </c>
      <c r="E252" s="175">
        <v>586.56936206910598</v>
      </c>
      <c r="F252" s="175" t="s">
        <v>265</v>
      </c>
      <c r="G252" s="175" t="s">
        <v>333</v>
      </c>
    </row>
    <row r="253" spans="1:7">
      <c r="A253" s="175" t="s">
        <v>2572</v>
      </c>
      <c r="B253" s="217" t="str">
        <f t="shared" si="3"/>
        <v>31913000[円]</v>
      </c>
      <c r="C253" s="216">
        <v>31913000</v>
      </c>
      <c r="D253" s="175" t="s">
        <v>235</v>
      </c>
      <c r="E253" s="175">
        <v>132.35946175200499</v>
      </c>
      <c r="F253" s="175" t="s">
        <v>265</v>
      </c>
      <c r="G253" s="175" t="s">
        <v>327</v>
      </c>
    </row>
    <row r="254" spans="1:7">
      <c r="A254" s="175" t="s">
        <v>2573</v>
      </c>
      <c r="B254" s="217" t="str">
        <f t="shared" si="3"/>
        <v>31914000[円]</v>
      </c>
      <c r="C254" s="216">
        <v>31914000</v>
      </c>
      <c r="D254" s="175" t="s">
        <v>235</v>
      </c>
      <c r="E254" s="175">
        <v>81.446678580304606</v>
      </c>
      <c r="F254" s="175" t="s">
        <v>265</v>
      </c>
      <c r="G254" s="175" t="s">
        <v>339</v>
      </c>
    </row>
    <row r="255" spans="1:7">
      <c r="A255" s="175" t="s">
        <v>2574</v>
      </c>
      <c r="B255" s="217" t="str">
        <f t="shared" si="3"/>
        <v>31915000[円]</v>
      </c>
      <c r="C255" s="216">
        <v>31915000</v>
      </c>
      <c r="D255" s="175" t="s">
        <v>235</v>
      </c>
      <c r="E255" s="175">
        <v>149.11598852410401</v>
      </c>
      <c r="F255" s="175" t="s">
        <v>265</v>
      </c>
      <c r="G255" s="175" t="s">
        <v>340</v>
      </c>
    </row>
    <row r="256" spans="1:7">
      <c r="A256" s="175" t="s">
        <v>2575</v>
      </c>
      <c r="B256" s="217" t="str">
        <f t="shared" si="3"/>
        <v>31916000[円]</v>
      </c>
      <c r="C256" s="216">
        <v>31916000</v>
      </c>
      <c r="D256" s="175" t="s">
        <v>235</v>
      </c>
      <c r="E256" s="175">
        <v>466.38929678577301</v>
      </c>
      <c r="F256" s="175" t="s">
        <v>265</v>
      </c>
      <c r="G256" s="175" t="s">
        <v>331</v>
      </c>
    </row>
    <row r="257" spans="1:7">
      <c r="A257" s="175" t="s">
        <v>2576</v>
      </c>
      <c r="B257" s="217" t="str">
        <f t="shared" si="3"/>
        <v>31917000[円]</v>
      </c>
      <c r="C257" s="216">
        <v>31917000</v>
      </c>
      <c r="D257" s="175" t="s">
        <v>235</v>
      </c>
      <c r="E257" s="175">
        <v>1148.2274362048299</v>
      </c>
      <c r="F257" s="175" t="s">
        <v>265</v>
      </c>
      <c r="G257" s="175" t="s">
        <v>330</v>
      </c>
    </row>
    <row r="258" spans="1:7">
      <c r="A258" s="175" t="s">
        <v>2577</v>
      </c>
      <c r="B258" s="217" t="str">
        <f t="shared" ref="B258:B321" si="4">C258&amp;"["&amp;F258&amp;"]"</f>
        <v>31918000[円]</v>
      </c>
      <c r="C258" s="216">
        <v>31918000</v>
      </c>
      <c r="D258" s="175" t="s">
        <v>235</v>
      </c>
      <c r="E258" s="175">
        <v>158.706064016331</v>
      </c>
      <c r="F258" s="175" t="s">
        <v>265</v>
      </c>
      <c r="G258" s="175" t="s">
        <v>342</v>
      </c>
    </row>
    <row r="259" spans="1:7">
      <c r="A259" s="175" t="s">
        <v>2578</v>
      </c>
      <c r="B259" s="217" t="str">
        <f t="shared" si="4"/>
        <v>31921000[円]</v>
      </c>
      <c r="C259" s="216">
        <v>31921000</v>
      </c>
      <c r="D259" s="175" t="s">
        <v>235</v>
      </c>
      <c r="E259" s="175">
        <v>591.882592514571</v>
      </c>
      <c r="F259" s="175" t="s">
        <v>265</v>
      </c>
      <c r="G259" s="175" t="s">
        <v>345</v>
      </c>
    </row>
    <row r="260" spans="1:7">
      <c r="A260" s="175" t="s">
        <v>2579</v>
      </c>
      <c r="B260" s="217" t="str">
        <f t="shared" si="4"/>
        <v>31922000[円]</v>
      </c>
      <c r="C260" s="216">
        <v>31922000</v>
      </c>
      <c r="D260" s="175" t="s">
        <v>235</v>
      </c>
      <c r="E260" s="175">
        <v>595.47663922229901</v>
      </c>
      <c r="F260" s="175" t="s">
        <v>265</v>
      </c>
      <c r="G260" s="175" t="s">
        <v>341</v>
      </c>
    </row>
    <row r="261" spans="1:7">
      <c r="A261" s="175" t="s">
        <v>2580</v>
      </c>
      <c r="B261" s="217" t="str">
        <f t="shared" si="4"/>
        <v>31923000[円]</v>
      </c>
      <c r="C261" s="216">
        <v>31923000</v>
      </c>
      <c r="D261" s="175" t="s">
        <v>235</v>
      </c>
      <c r="E261" s="175">
        <v>214.27085500312</v>
      </c>
      <c r="F261" s="175" t="s">
        <v>265</v>
      </c>
      <c r="G261" s="175" t="s">
        <v>346</v>
      </c>
    </row>
    <row r="262" spans="1:7">
      <c r="A262" s="175" t="s">
        <v>2581</v>
      </c>
      <c r="B262" s="217" t="str">
        <f t="shared" si="4"/>
        <v>31924000[円]</v>
      </c>
      <c r="C262" s="216">
        <v>31924000</v>
      </c>
      <c r="D262" s="175" t="s">
        <v>235</v>
      </c>
      <c r="E262" s="175">
        <v>1368.64587782999</v>
      </c>
      <c r="F262" s="175" t="s">
        <v>265</v>
      </c>
      <c r="G262" s="175" t="s">
        <v>343</v>
      </c>
    </row>
    <row r="263" spans="1:7">
      <c r="A263" s="175" t="s">
        <v>2582</v>
      </c>
      <c r="B263" s="217" t="str">
        <f t="shared" si="4"/>
        <v>31925000[円]</v>
      </c>
      <c r="C263" s="216">
        <v>31925000</v>
      </c>
      <c r="D263" s="175" t="s">
        <v>235</v>
      </c>
      <c r="E263" s="175">
        <v>114.046822742475</v>
      </c>
      <c r="F263" s="175" t="s">
        <v>265</v>
      </c>
      <c r="G263" s="175" t="s">
        <v>348</v>
      </c>
    </row>
    <row r="264" spans="1:7">
      <c r="A264" s="175" t="s">
        <v>2583</v>
      </c>
      <c r="B264" s="217" t="str">
        <f t="shared" si="4"/>
        <v>31926000[円]</v>
      </c>
      <c r="C264" s="216">
        <v>31926000</v>
      </c>
      <c r="D264" s="175" t="s">
        <v>235</v>
      </c>
      <c r="E264" s="175">
        <v>486.95361284567298</v>
      </c>
      <c r="F264" s="175" t="s">
        <v>265</v>
      </c>
      <c r="G264" s="175" t="s">
        <v>347</v>
      </c>
    </row>
    <row r="265" spans="1:7">
      <c r="A265" s="175" t="s">
        <v>2584</v>
      </c>
      <c r="B265" s="217" t="str">
        <f t="shared" si="4"/>
        <v>31927000[円]</v>
      </c>
      <c r="C265" s="216">
        <v>31927000</v>
      </c>
      <c r="D265" s="175" t="s">
        <v>235</v>
      </c>
      <c r="E265" s="175">
        <v>309.68034459306301</v>
      </c>
      <c r="F265" s="175" t="s">
        <v>265</v>
      </c>
      <c r="G265" s="175" t="s">
        <v>351</v>
      </c>
    </row>
    <row r="266" spans="1:7">
      <c r="A266" s="175" t="s">
        <v>2585</v>
      </c>
      <c r="B266" s="217" t="str">
        <f t="shared" si="4"/>
        <v>31928000[円]</v>
      </c>
      <c r="C266" s="216">
        <v>31928000</v>
      </c>
      <c r="D266" s="175" t="s">
        <v>235</v>
      </c>
      <c r="E266" s="175">
        <v>170.70600632244501</v>
      </c>
      <c r="F266" s="175" t="s">
        <v>265</v>
      </c>
      <c r="G266" s="175" t="s">
        <v>350</v>
      </c>
    </row>
    <row r="267" spans="1:7">
      <c r="A267" s="175" t="s">
        <v>2586</v>
      </c>
      <c r="B267" s="217" t="str">
        <f t="shared" si="4"/>
        <v>31931000[円]</v>
      </c>
      <c r="C267" s="216">
        <v>31931000</v>
      </c>
      <c r="D267" s="175" t="s">
        <v>235</v>
      </c>
      <c r="E267" s="175">
        <v>107.668944570995</v>
      </c>
      <c r="F267" s="175" t="s">
        <v>265</v>
      </c>
      <c r="G267" s="175" t="s">
        <v>344</v>
      </c>
    </row>
    <row r="268" spans="1:7">
      <c r="A268" s="175" t="s">
        <v>2587</v>
      </c>
      <c r="B268" s="217" t="str">
        <f t="shared" si="4"/>
        <v>31932000[円]</v>
      </c>
      <c r="C268" s="216">
        <v>31932000</v>
      </c>
      <c r="D268" s="175" t="s">
        <v>235</v>
      </c>
      <c r="E268" s="175">
        <v>201.78206794133999</v>
      </c>
      <c r="F268" s="175" t="s">
        <v>265</v>
      </c>
      <c r="G268" s="175" t="s">
        <v>353</v>
      </c>
    </row>
    <row r="269" spans="1:7">
      <c r="A269" s="175" t="s">
        <v>2588</v>
      </c>
      <c r="B269" s="217" t="str">
        <f t="shared" si="4"/>
        <v>31933000[円]</v>
      </c>
      <c r="C269" s="216">
        <v>31933000</v>
      </c>
      <c r="D269" s="175" t="s">
        <v>235</v>
      </c>
      <c r="E269" s="175">
        <v>774.90225283932205</v>
      </c>
      <c r="F269" s="175" t="s">
        <v>265</v>
      </c>
      <c r="G269" s="175" t="s">
        <v>349</v>
      </c>
    </row>
    <row r="270" spans="1:7">
      <c r="A270" s="175" t="s">
        <v>2589</v>
      </c>
      <c r="B270" s="217" t="str">
        <f t="shared" si="4"/>
        <v>31934000[円]</v>
      </c>
      <c r="C270" s="216">
        <v>31934000</v>
      </c>
      <c r="D270" s="175" t="s">
        <v>235</v>
      </c>
      <c r="E270" s="175">
        <v>373.03413885692402</v>
      </c>
      <c r="F270" s="175" t="s">
        <v>265</v>
      </c>
      <c r="G270" s="175" t="s">
        <v>354</v>
      </c>
    </row>
    <row r="271" spans="1:7">
      <c r="A271" s="175" t="s">
        <v>2590</v>
      </c>
      <c r="B271" s="217" t="str">
        <f t="shared" si="4"/>
        <v>31935000[円]</v>
      </c>
      <c r="C271" s="216">
        <v>31935000</v>
      </c>
      <c r="D271" s="175" t="s">
        <v>235</v>
      </c>
      <c r="E271" s="175">
        <v>1780.5840568271501</v>
      </c>
      <c r="F271" s="175" t="s">
        <v>265</v>
      </c>
      <c r="G271" s="175" t="s">
        <v>359</v>
      </c>
    </row>
    <row r="272" spans="1:7">
      <c r="A272" s="175" t="s">
        <v>2591</v>
      </c>
      <c r="B272" s="217" t="str">
        <f t="shared" si="4"/>
        <v>31936000[円]</v>
      </c>
      <c r="C272" s="216">
        <v>31936000</v>
      </c>
      <c r="D272" s="175" t="s">
        <v>235</v>
      </c>
      <c r="E272" s="175">
        <v>226.21035058430701</v>
      </c>
      <c r="F272" s="175" t="s">
        <v>265</v>
      </c>
      <c r="G272" s="175" t="s">
        <v>2592</v>
      </c>
    </row>
    <row r="273" spans="1:7">
      <c r="A273" s="175" t="s">
        <v>2593</v>
      </c>
      <c r="B273" s="217" t="str">
        <f t="shared" si="4"/>
        <v>31937000[円]</v>
      </c>
      <c r="C273" s="216">
        <v>31937000</v>
      </c>
      <c r="D273" s="175" t="s">
        <v>235</v>
      </c>
      <c r="E273" s="175">
        <v>226.47131859945401</v>
      </c>
      <c r="F273" s="175" t="s">
        <v>265</v>
      </c>
      <c r="G273" s="175" t="s">
        <v>352</v>
      </c>
    </row>
    <row r="274" spans="1:7">
      <c r="A274" s="175" t="s">
        <v>2594</v>
      </c>
      <c r="B274" s="217" t="str">
        <f t="shared" si="4"/>
        <v>31938000[円]</v>
      </c>
      <c r="C274" s="216">
        <v>31938000</v>
      </c>
      <c r="D274" s="175" t="s">
        <v>235</v>
      </c>
      <c r="E274" s="175">
        <v>771.82435964453703</v>
      </c>
      <c r="F274" s="175" t="s">
        <v>265</v>
      </c>
      <c r="G274" s="175" t="s">
        <v>355</v>
      </c>
    </row>
    <row r="275" spans="1:7">
      <c r="A275" s="175" t="s">
        <v>2595</v>
      </c>
      <c r="B275" s="217" t="str">
        <f t="shared" si="4"/>
        <v>31941000[円]</v>
      </c>
      <c r="C275" s="216">
        <v>31941000</v>
      </c>
      <c r="D275" s="175" t="s">
        <v>235</v>
      </c>
      <c r="E275" s="175">
        <v>210.62516769519701</v>
      </c>
      <c r="F275" s="175" t="s">
        <v>265</v>
      </c>
      <c r="G275" s="175" t="s">
        <v>356</v>
      </c>
    </row>
    <row r="276" spans="1:7">
      <c r="A276" s="175" t="s">
        <v>2596</v>
      </c>
      <c r="B276" s="217" t="str">
        <f t="shared" si="4"/>
        <v>31942000[円]</v>
      </c>
      <c r="C276" s="216">
        <v>31942000</v>
      </c>
      <c r="D276" s="175" t="s">
        <v>235</v>
      </c>
      <c r="E276" s="175">
        <v>310.78553615960101</v>
      </c>
      <c r="F276" s="175" t="s">
        <v>265</v>
      </c>
      <c r="G276" s="175" t="s">
        <v>358</v>
      </c>
    </row>
    <row r="277" spans="1:7">
      <c r="A277" s="175" t="s">
        <v>2597</v>
      </c>
      <c r="B277" s="217" t="str">
        <f t="shared" si="4"/>
        <v>31943000[円]</v>
      </c>
      <c r="C277" s="216">
        <v>31943000</v>
      </c>
      <c r="D277" s="175" t="s">
        <v>235</v>
      </c>
      <c r="E277" s="175">
        <v>867.86160900375205</v>
      </c>
      <c r="F277" s="175" t="s">
        <v>265</v>
      </c>
      <c r="G277" s="175" t="s">
        <v>357</v>
      </c>
    </row>
    <row r="278" spans="1:7">
      <c r="A278" s="175" t="s">
        <v>2598</v>
      </c>
      <c r="B278" s="217" t="str">
        <f t="shared" si="4"/>
        <v>31944000[円]</v>
      </c>
      <c r="C278" s="216">
        <v>31944000</v>
      </c>
      <c r="D278" s="175" t="s">
        <v>235</v>
      </c>
      <c r="E278" s="175">
        <v>2293.67088607595</v>
      </c>
      <c r="F278" s="175" t="s">
        <v>265</v>
      </c>
      <c r="G278" s="175" t="s">
        <v>360</v>
      </c>
    </row>
    <row r="279" spans="1:7">
      <c r="A279" s="175" t="s">
        <v>2599</v>
      </c>
      <c r="B279" s="217" t="str">
        <f t="shared" si="4"/>
        <v>31945000[円]</v>
      </c>
      <c r="C279" s="216">
        <v>31945000</v>
      </c>
      <c r="D279" s="175" t="s">
        <v>235</v>
      </c>
      <c r="E279" s="175">
        <v>1060.2006688963199</v>
      </c>
      <c r="F279" s="175" t="s">
        <v>265</v>
      </c>
      <c r="G279" s="175" t="s">
        <v>361</v>
      </c>
    </row>
    <row r="280" spans="1:7">
      <c r="A280" s="175" t="s">
        <v>2600</v>
      </c>
      <c r="B280" s="217" t="str">
        <f t="shared" si="4"/>
        <v>31946000[円]</v>
      </c>
      <c r="C280" s="216">
        <v>31946000</v>
      </c>
      <c r="D280" s="175" t="s">
        <v>235</v>
      </c>
      <c r="E280" s="175">
        <v>1899.0282855493599</v>
      </c>
      <c r="F280" s="175" t="s">
        <v>265</v>
      </c>
      <c r="G280" s="175" t="s">
        <v>338</v>
      </c>
    </row>
    <row r="281" spans="1:7">
      <c r="A281" s="175" t="s">
        <v>2601</v>
      </c>
      <c r="B281" s="217" t="str">
        <f t="shared" si="4"/>
        <v>31947000[円]</v>
      </c>
      <c r="C281" s="216">
        <v>31947000</v>
      </c>
      <c r="D281" s="175" t="s">
        <v>235</v>
      </c>
      <c r="E281" s="175">
        <v>1834.24928555727</v>
      </c>
      <c r="F281" s="175" t="s">
        <v>265</v>
      </c>
      <c r="G281" s="175" t="s">
        <v>335</v>
      </c>
    </row>
    <row r="282" spans="1:7">
      <c r="A282" s="175" t="s">
        <v>2602</v>
      </c>
      <c r="B282" s="217" t="str">
        <f t="shared" si="4"/>
        <v>31948000[円]</v>
      </c>
      <c r="C282" s="216">
        <v>31948000</v>
      </c>
      <c r="D282" s="175" t="s">
        <v>235</v>
      </c>
      <c r="E282" s="175">
        <v>468.11629611531902</v>
      </c>
      <c r="F282" s="175" t="s">
        <v>265</v>
      </c>
      <c r="G282" s="175" t="s">
        <v>336</v>
      </c>
    </row>
    <row r="283" spans="1:7">
      <c r="A283" s="175" t="s">
        <v>2603</v>
      </c>
      <c r="B283" s="217" t="str">
        <f t="shared" si="4"/>
        <v>31951000[円]</v>
      </c>
      <c r="C283" s="216">
        <v>31951000</v>
      </c>
      <c r="D283" s="175" t="s">
        <v>235</v>
      </c>
      <c r="E283" s="175">
        <v>343.18766066837998</v>
      </c>
      <c r="F283" s="175" t="s">
        <v>265</v>
      </c>
      <c r="G283" s="175" t="s">
        <v>337</v>
      </c>
    </row>
    <row r="284" spans="1:7">
      <c r="A284" s="175" t="s">
        <v>2604</v>
      </c>
      <c r="B284" s="217" t="str">
        <f t="shared" si="4"/>
        <v>31952000[円]</v>
      </c>
      <c r="C284" s="216">
        <v>31952000</v>
      </c>
      <c r="D284" s="175" t="s">
        <v>235</v>
      </c>
      <c r="E284" s="175">
        <v>327.402135231317</v>
      </c>
      <c r="F284" s="175" t="s">
        <v>265</v>
      </c>
      <c r="G284" s="175" t="s">
        <v>334</v>
      </c>
    </row>
    <row r="285" spans="1:7">
      <c r="A285" s="175" t="s">
        <v>2605</v>
      </c>
      <c r="B285" s="217" t="str">
        <f t="shared" si="4"/>
        <v>31959000[円]</v>
      </c>
      <c r="C285" s="216">
        <v>31959000</v>
      </c>
      <c r="D285" s="175" t="s">
        <v>235</v>
      </c>
      <c r="E285" s="175">
        <v>453.68767818041101</v>
      </c>
      <c r="F285" s="175" t="s">
        <v>265</v>
      </c>
      <c r="G285" s="175" t="s">
        <v>362</v>
      </c>
    </row>
    <row r="286" spans="1:7">
      <c r="A286" s="175" t="s">
        <v>2606</v>
      </c>
      <c r="B286" s="217" t="str">
        <f t="shared" si="4"/>
        <v>32100000[円]</v>
      </c>
      <c r="C286" s="216">
        <v>32100000</v>
      </c>
      <c r="D286" s="175" t="s">
        <v>235</v>
      </c>
      <c r="E286" s="175">
        <v>180.218882175159</v>
      </c>
      <c r="F286" s="175" t="s">
        <v>265</v>
      </c>
      <c r="G286" s="175" t="s">
        <v>2607</v>
      </c>
    </row>
    <row r="287" spans="1:7">
      <c r="A287" s="175" t="s">
        <v>2608</v>
      </c>
      <c r="B287" s="217" t="str">
        <f t="shared" si="4"/>
        <v>32111000[円]</v>
      </c>
      <c r="C287" s="216">
        <v>32111000</v>
      </c>
      <c r="D287" s="175" t="s">
        <v>235</v>
      </c>
      <c r="E287" s="175">
        <v>123.951962190161</v>
      </c>
      <c r="F287" s="175" t="s">
        <v>265</v>
      </c>
      <c r="G287" s="175" t="s">
        <v>363</v>
      </c>
    </row>
    <row r="288" spans="1:7">
      <c r="A288" s="175" t="s">
        <v>2609</v>
      </c>
      <c r="B288" s="217" t="str">
        <f t="shared" si="4"/>
        <v>32112000[円]</v>
      </c>
      <c r="C288" s="216">
        <v>32112000</v>
      </c>
      <c r="D288" s="175" t="s">
        <v>235</v>
      </c>
      <c r="E288" s="175">
        <v>167.87985901007499</v>
      </c>
      <c r="F288" s="175" t="s">
        <v>265</v>
      </c>
      <c r="G288" s="175" t="s">
        <v>2610</v>
      </c>
    </row>
    <row r="289" spans="1:7">
      <c r="A289" s="175" t="s">
        <v>2611</v>
      </c>
      <c r="B289" s="217" t="str">
        <f t="shared" si="4"/>
        <v>32113000[円]</v>
      </c>
      <c r="C289" s="216">
        <v>32113000</v>
      </c>
      <c r="D289" s="175" t="s">
        <v>235</v>
      </c>
      <c r="E289" s="175">
        <v>344.12359757219099</v>
      </c>
      <c r="F289" s="175" t="s">
        <v>265</v>
      </c>
      <c r="G289" s="175" t="s">
        <v>364</v>
      </c>
    </row>
    <row r="290" spans="1:7">
      <c r="A290" s="175" t="s">
        <v>2612</v>
      </c>
      <c r="B290" s="217" t="str">
        <f t="shared" si="4"/>
        <v>32114000[円]</v>
      </c>
      <c r="C290" s="216">
        <v>32114000</v>
      </c>
      <c r="D290" s="175" t="s">
        <v>235</v>
      </c>
      <c r="E290" s="175">
        <v>612.744659933864</v>
      </c>
      <c r="F290" s="175" t="s">
        <v>265</v>
      </c>
      <c r="G290" s="175" t="s">
        <v>365</v>
      </c>
    </row>
    <row r="291" spans="1:7">
      <c r="A291" s="175" t="s">
        <v>2613</v>
      </c>
      <c r="B291" s="217" t="str">
        <f t="shared" si="4"/>
        <v>32115000[円]</v>
      </c>
      <c r="C291" s="216">
        <v>32115000</v>
      </c>
      <c r="D291" s="175" t="s">
        <v>235</v>
      </c>
      <c r="E291" s="175">
        <v>653.06410618469397</v>
      </c>
      <c r="F291" s="175" t="s">
        <v>265</v>
      </c>
      <c r="G291" s="175" t="s">
        <v>366</v>
      </c>
    </row>
    <row r="292" spans="1:7">
      <c r="A292" s="175" t="s">
        <v>2614</v>
      </c>
      <c r="B292" s="217" t="str">
        <f t="shared" si="4"/>
        <v>32116000[円]</v>
      </c>
      <c r="C292" s="216">
        <v>32116000</v>
      </c>
      <c r="D292" s="175" t="s">
        <v>235</v>
      </c>
      <c r="E292" s="175">
        <v>1109.52689565781</v>
      </c>
      <c r="F292" s="175" t="s">
        <v>265</v>
      </c>
      <c r="G292" s="175" t="s">
        <v>370</v>
      </c>
    </row>
    <row r="293" spans="1:7">
      <c r="A293" s="175" t="s">
        <v>2615</v>
      </c>
      <c r="B293" s="217" t="str">
        <f t="shared" si="4"/>
        <v>32117000[円]</v>
      </c>
      <c r="C293" s="216">
        <v>32117000</v>
      </c>
      <c r="D293" s="175" t="s">
        <v>235</v>
      </c>
      <c r="E293" s="175">
        <v>6642.0260095824797</v>
      </c>
      <c r="F293" s="175" t="s">
        <v>265</v>
      </c>
      <c r="G293" s="175" t="s">
        <v>369</v>
      </c>
    </row>
    <row r="294" spans="1:7">
      <c r="A294" s="175" t="s">
        <v>2616</v>
      </c>
      <c r="B294" s="217" t="str">
        <f t="shared" si="4"/>
        <v>32118000[円]</v>
      </c>
      <c r="C294" s="216">
        <v>32118000</v>
      </c>
      <c r="D294" s="175" t="s">
        <v>235</v>
      </c>
      <c r="E294" s="175">
        <v>384.55476753349097</v>
      </c>
      <c r="F294" s="175" t="s">
        <v>265</v>
      </c>
      <c r="G294" s="175" t="s">
        <v>367</v>
      </c>
    </row>
    <row r="295" spans="1:7">
      <c r="A295" s="175" t="s">
        <v>2617</v>
      </c>
      <c r="B295" s="217" t="str">
        <f t="shared" si="4"/>
        <v>32121000[円]</v>
      </c>
      <c r="C295" s="216">
        <v>32121000</v>
      </c>
      <c r="D295" s="175" t="s">
        <v>235</v>
      </c>
      <c r="E295" s="175">
        <v>79.901491312081006</v>
      </c>
      <c r="F295" s="175" t="s">
        <v>265</v>
      </c>
      <c r="G295" s="175" t="s">
        <v>368</v>
      </c>
    </row>
    <row r="296" spans="1:7">
      <c r="A296" s="175" t="s">
        <v>2618</v>
      </c>
      <c r="B296" s="217" t="str">
        <f t="shared" si="4"/>
        <v>32129000[円]</v>
      </c>
      <c r="C296" s="216">
        <v>32129000</v>
      </c>
      <c r="D296" s="175" t="s">
        <v>235</v>
      </c>
      <c r="E296" s="175">
        <v>366.57642950135403</v>
      </c>
      <c r="F296" s="175" t="s">
        <v>265</v>
      </c>
      <c r="G296" s="175" t="s">
        <v>371</v>
      </c>
    </row>
    <row r="297" spans="1:7">
      <c r="A297" s="175" t="s">
        <v>2619</v>
      </c>
      <c r="B297" s="217" t="str">
        <f t="shared" si="4"/>
        <v>33100000[円]</v>
      </c>
      <c r="C297" s="216">
        <v>33100000</v>
      </c>
      <c r="D297" s="175" t="s">
        <v>235</v>
      </c>
      <c r="E297" s="175">
        <v>237.335934054543</v>
      </c>
      <c r="F297" s="175" t="s">
        <v>265</v>
      </c>
      <c r="G297" s="175" t="s">
        <v>2620</v>
      </c>
    </row>
    <row r="298" spans="1:7">
      <c r="A298" s="175" t="s">
        <v>2621</v>
      </c>
      <c r="B298" s="217" t="str">
        <f t="shared" si="4"/>
        <v>33111000[円]</v>
      </c>
      <c r="C298" s="216">
        <v>33111000</v>
      </c>
      <c r="D298" s="175" t="s">
        <v>235</v>
      </c>
      <c r="E298" s="175">
        <v>259.56495284453899</v>
      </c>
      <c r="F298" s="175" t="s">
        <v>265</v>
      </c>
      <c r="G298" s="175" t="s">
        <v>372</v>
      </c>
    </row>
    <row r="299" spans="1:7">
      <c r="A299" s="175" t="s">
        <v>2622</v>
      </c>
      <c r="B299" s="217" t="str">
        <f t="shared" si="4"/>
        <v>33112000[円]</v>
      </c>
      <c r="C299" s="216">
        <v>33112000</v>
      </c>
      <c r="D299" s="175" t="s">
        <v>235</v>
      </c>
      <c r="E299" s="175">
        <v>220.250121480269</v>
      </c>
      <c r="F299" s="175" t="s">
        <v>265</v>
      </c>
      <c r="G299" s="175" t="s">
        <v>373</v>
      </c>
    </row>
    <row r="300" spans="1:7">
      <c r="A300" s="175" t="s">
        <v>2623</v>
      </c>
      <c r="B300" s="217" t="str">
        <f t="shared" si="4"/>
        <v>33113000[円]</v>
      </c>
      <c r="C300" s="216">
        <v>33113000</v>
      </c>
      <c r="D300" s="175" t="s">
        <v>235</v>
      </c>
      <c r="E300" s="175">
        <v>158.456282327792</v>
      </c>
      <c r="F300" s="175" t="s">
        <v>265</v>
      </c>
      <c r="G300" s="175" t="s">
        <v>374</v>
      </c>
    </row>
    <row r="301" spans="1:7">
      <c r="A301" s="175" t="s">
        <v>2624</v>
      </c>
      <c r="B301" s="217" t="str">
        <f t="shared" si="4"/>
        <v>33114000[円]</v>
      </c>
      <c r="C301" s="216">
        <v>33114000</v>
      </c>
      <c r="D301" s="175" t="s">
        <v>235</v>
      </c>
      <c r="E301" s="175">
        <v>102.098765432099</v>
      </c>
      <c r="F301" s="175" t="s">
        <v>265</v>
      </c>
      <c r="G301" s="175" t="s">
        <v>375</v>
      </c>
    </row>
    <row r="302" spans="1:7">
      <c r="A302" s="175" t="s">
        <v>2625</v>
      </c>
      <c r="B302" s="217" t="str">
        <f t="shared" si="4"/>
        <v>33115000[円]</v>
      </c>
      <c r="C302" s="216">
        <v>33115000</v>
      </c>
      <c r="D302" s="175" t="s">
        <v>235</v>
      </c>
      <c r="E302" s="175">
        <v>160.778360474745</v>
      </c>
      <c r="F302" s="175" t="s">
        <v>265</v>
      </c>
      <c r="G302" s="175" t="s">
        <v>376</v>
      </c>
    </row>
    <row r="303" spans="1:7">
      <c r="A303" s="175" t="s">
        <v>2626</v>
      </c>
      <c r="B303" s="217" t="str">
        <f t="shared" si="4"/>
        <v>33116000[円]</v>
      </c>
      <c r="C303" s="216">
        <v>33116000</v>
      </c>
      <c r="D303" s="175" t="s">
        <v>235</v>
      </c>
      <c r="E303" s="175">
        <v>257.790368271955</v>
      </c>
      <c r="F303" s="175" t="s">
        <v>265</v>
      </c>
      <c r="G303" s="175" t="s">
        <v>377</v>
      </c>
    </row>
    <row r="304" spans="1:7">
      <c r="A304" s="175" t="s">
        <v>2627</v>
      </c>
      <c r="B304" s="217" t="str">
        <f t="shared" si="4"/>
        <v>33119000[円]</v>
      </c>
      <c r="C304" s="216">
        <v>33119000</v>
      </c>
      <c r="D304" s="175" t="s">
        <v>235</v>
      </c>
      <c r="E304" s="175">
        <v>266.83948833453701</v>
      </c>
      <c r="F304" s="175" t="s">
        <v>265</v>
      </c>
      <c r="G304" s="175" t="s">
        <v>378</v>
      </c>
    </row>
    <row r="305" spans="1:7">
      <c r="A305" s="175" t="s">
        <v>2628</v>
      </c>
      <c r="B305" s="217" t="str">
        <f t="shared" si="4"/>
        <v>34100000[円]</v>
      </c>
      <c r="C305" s="216">
        <v>34100000</v>
      </c>
      <c r="D305" s="175" t="s">
        <v>235</v>
      </c>
      <c r="E305" s="175">
        <v>1613.02962590019</v>
      </c>
      <c r="F305" s="175" t="s">
        <v>265</v>
      </c>
      <c r="G305" s="175" t="s">
        <v>2629</v>
      </c>
    </row>
    <row r="306" spans="1:7">
      <c r="A306" s="175" t="s">
        <v>2630</v>
      </c>
      <c r="B306" s="217" t="str">
        <f t="shared" si="4"/>
        <v>34111000[円]</v>
      </c>
      <c r="C306" s="216">
        <v>34111000</v>
      </c>
      <c r="D306" s="175" t="s">
        <v>235</v>
      </c>
      <c r="E306" s="175">
        <v>4537.7574370709399</v>
      </c>
      <c r="F306" s="175" t="s">
        <v>265</v>
      </c>
      <c r="G306" s="175" t="s">
        <v>380</v>
      </c>
    </row>
    <row r="307" spans="1:7">
      <c r="A307" s="175" t="s">
        <v>2631</v>
      </c>
      <c r="B307" s="217" t="str">
        <f t="shared" si="4"/>
        <v>34112000[円]</v>
      </c>
      <c r="C307" s="216">
        <v>34112000</v>
      </c>
      <c r="D307" s="175" t="s">
        <v>235</v>
      </c>
      <c r="E307" s="175">
        <v>4048.6169321039401</v>
      </c>
      <c r="F307" s="175" t="s">
        <v>265</v>
      </c>
      <c r="G307" s="175" t="s">
        <v>379</v>
      </c>
    </row>
    <row r="308" spans="1:7">
      <c r="A308" s="175" t="s">
        <v>2632</v>
      </c>
      <c r="B308" s="217" t="str">
        <f t="shared" si="4"/>
        <v>34119000[円]</v>
      </c>
      <c r="C308" s="216">
        <v>34119000</v>
      </c>
      <c r="D308" s="175" t="s">
        <v>235</v>
      </c>
      <c r="E308" s="175">
        <v>1097.2533632287</v>
      </c>
      <c r="F308" s="175" t="s">
        <v>265</v>
      </c>
      <c r="G308" s="175" t="s">
        <v>381</v>
      </c>
    </row>
    <row r="309" spans="1:7">
      <c r="A309" s="175" t="s">
        <v>2633</v>
      </c>
      <c r="B309" s="217" t="str">
        <f t="shared" si="4"/>
        <v>34200000[円]</v>
      </c>
      <c r="C309" s="216">
        <v>34200000</v>
      </c>
      <c r="D309" s="175" t="s">
        <v>235</v>
      </c>
      <c r="E309" s="175">
        <v>843.12272502837402</v>
      </c>
      <c r="F309" s="175" t="s">
        <v>265</v>
      </c>
      <c r="G309" s="175" t="s">
        <v>2634</v>
      </c>
    </row>
    <row r="310" spans="1:7">
      <c r="A310" s="175" t="s">
        <v>2635</v>
      </c>
      <c r="B310" s="217" t="str">
        <f t="shared" si="4"/>
        <v>34211000[円]</v>
      </c>
      <c r="C310" s="216">
        <v>34211000</v>
      </c>
      <c r="D310" s="175" t="s">
        <v>235</v>
      </c>
      <c r="E310" s="175">
        <v>253.02959380038499</v>
      </c>
      <c r="F310" s="175" t="s">
        <v>265</v>
      </c>
      <c r="G310" s="175" t="s">
        <v>384</v>
      </c>
    </row>
    <row r="311" spans="1:7">
      <c r="A311" s="175" t="s">
        <v>2636</v>
      </c>
      <c r="B311" s="217" t="str">
        <f t="shared" si="4"/>
        <v>34212000[円]</v>
      </c>
      <c r="C311" s="216">
        <v>34212000</v>
      </c>
      <c r="D311" s="175" t="s">
        <v>235</v>
      </c>
      <c r="E311" s="175">
        <v>1896.23622374714</v>
      </c>
      <c r="F311" s="175" t="s">
        <v>265</v>
      </c>
      <c r="G311" s="175" t="s">
        <v>383</v>
      </c>
    </row>
    <row r="312" spans="1:7">
      <c r="A312" s="175" t="s">
        <v>2637</v>
      </c>
      <c r="B312" s="217" t="str">
        <f t="shared" si="4"/>
        <v>34213000[円]</v>
      </c>
      <c r="C312" s="216">
        <v>34213000</v>
      </c>
      <c r="D312" s="175" t="s">
        <v>235</v>
      </c>
      <c r="E312" s="175">
        <v>1094.18386491557</v>
      </c>
      <c r="F312" s="175" t="s">
        <v>265</v>
      </c>
      <c r="G312" s="175" t="s">
        <v>385</v>
      </c>
    </row>
    <row r="313" spans="1:7">
      <c r="A313" s="175" t="s">
        <v>2638</v>
      </c>
      <c r="B313" s="217" t="str">
        <f t="shared" si="4"/>
        <v>34214000[円]</v>
      </c>
      <c r="C313" s="216">
        <v>34214000</v>
      </c>
      <c r="D313" s="175" t="s">
        <v>235</v>
      </c>
      <c r="E313" s="175">
        <v>651.68539325842698</v>
      </c>
      <c r="F313" s="175" t="s">
        <v>265</v>
      </c>
      <c r="G313" s="175" t="s">
        <v>382</v>
      </c>
    </row>
    <row r="314" spans="1:7">
      <c r="A314" s="175" t="s">
        <v>2639</v>
      </c>
      <c r="B314" s="217" t="str">
        <f t="shared" si="4"/>
        <v>34219000[円]</v>
      </c>
      <c r="C314" s="216">
        <v>34219000</v>
      </c>
      <c r="D314" s="175" t="s">
        <v>235</v>
      </c>
      <c r="E314" s="175">
        <v>1787.5192786807399</v>
      </c>
      <c r="F314" s="175" t="s">
        <v>265</v>
      </c>
      <c r="G314" s="175" t="s">
        <v>386</v>
      </c>
    </row>
    <row r="315" spans="1:7">
      <c r="A315" s="175" t="s">
        <v>2640</v>
      </c>
      <c r="B315" s="217" t="str">
        <f t="shared" si="4"/>
        <v>35100000[円]</v>
      </c>
      <c r="C315" s="216">
        <v>35100000</v>
      </c>
      <c r="D315" s="175" t="s">
        <v>235</v>
      </c>
      <c r="E315" s="175">
        <v>338.77233768019602</v>
      </c>
      <c r="F315" s="175" t="s">
        <v>265</v>
      </c>
      <c r="G315" s="175" t="s">
        <v>2641</v>
      </c>
    </row>
    <row r="316" spans="1:7">
      <c r="A316" s="175" t="s">
        <v>2642</v>
      </c>
      <c r="B316" s="217" t="str">
        <f t="shared" si="4"/>
        <v>35111000[円]</v>
      </c>
      <c r="C316" s="216">
        <v>35111000</v>
      </c>
      <c r="D316" s="175" t="s">
        <v>235</v>
      </c>
      <c r="E316" s="175">
        <v>244.74058208895499</v>
      </c>
      <c r="F316" s="175" t="s">
        <v>265</v>
      </c>
      <c r="G316" s="175" t="s">
        <v>388</v>
      </c>
    </row>
    <row r="317" spans="1:7">
      <c r="A317" s="175" t="s">
        <v>2643</v>
      </c>
      <c r="B317" s="217" t="str">
        <f t="shared" si="4"/>
        <v>35112000[円]</v>
      </c>
      <c r="C317" s="216">
        <v>35112000</v>
      </c>
      <c r="D317" s="175" t="s">
        <v>235</v>
      </c>
      <c r="E317" s="175">
        <v>186.195467168324</v>
      </c>
      <c r="F317" s="175" t="s">
        <v>265</v>
      </c>
      <c r="G317" s="175" t="s">
        <v>389</v>
      </c>
    </row>
    <row r="318" spans="1:7">
      <c r="A318" s="175" t="s">
        <v>2644</v>
      </c>
      <c r="B318" s="217" t="str">
        <f t="shared" si="4"/>
        <v>35113000[円]</v>
      </c>
      <c r="C318" s="216">
        <v>35113000</v>
      </c>
      <c r="D318" s="175" t="s">
        <v>235</v>
      </c>
      <c r="E318" s="175">
        <v>521.77077016373596</v>
      </c>
      <c r="F318" s="175" t="s">
        <v>265</v>
      </c>
      <c r="G318" s="175" t="s">
        <v>387</v>
      </c>
    </row>
    <row r="319" spans="1:7">
      <c r="A319" s="175" t="s">
        <v>2645</v>
      </c>
      <c r="B319" s="217" t="str">
        <f t="shared" si="4"/>
        <v>35119000[円]</v>
      </c>
      <c r="C319" s="216">
        <v>35119000</v>
      </c>
      <c r="D319" s="175" t="s">
        <v>235</v>
      </c>
      <c r="E319" s="175">
        <v>609.68929597701197</v>
      </c>
      <c r="F319" s="175" t="s">
        <v>265</v>
      </c>
      <c r="G319" s="175" t="s">
        <v>390</v>
      </c>
    </row>
    <row r="320" spans="1:7">
      <c r="A320" s="175" t="s">
        <v>2646</v>
      </c>
      <c r="B320" s="217" t="str">
        <f t="shared" si="4"/>
        <v>35200000[円]</v>
      </c>
      <c r="C320" s="216">
        <v>35200000</v>
      </c>
      <c r="D320" s="175" t="s">
        <v>235</v>
      </c>
      <c r="E320" s="175">
        <v>455.684354525164</v>
      </c>
      <c r="F320" s="175" t="s">
        <v>265</v>
      </c>
      <c r="G320" s="175" t="s">
        <v>2647</v>
      </c>
    </row>
    <row r="321" spans="1:7">
      <c r="A321" s="175" t="s">
        <v>2648</v>
      </c>
      <c r="B321" s="217" t="str">
        <f t="shared" si="4"/>
        <v>35211000[円]</v>
      </c>
      <c r="C321" s="216">
        <v>35211000</v>
      </c>
      <c r="D321" s="175" t="s">
        <v>235</v>
      </c>
      <c r="E321" s="175">
        <v>455.684354525164</v>
      </c>
      <c r="F321" s="175" t="s">
        <v>265</v>
      </c>
      <c r="G321" s="175" t="s">
        <v>391</v>
      </c>
    </row>
    <row r="322" spans="1:7">
      <c r="A322" s="175" t="s">
        <v>2649</v>
      </c>
      <c r="B322" s="217" t="str">
        <f t="shared" ref="B322:B385" si="5">C322&amp;"["&amp;F322&amp;"]"</f>
        <v>39100000[円]</v>
      </c>
      <c r="C322" s="216">
        <v>39100000</v>
      </c>
      <c r="D322" s="175" t="s">
        <v>235</v>
      </c>
      <c r="E322" s="175">
        <v>54.762727766529999</v>
      </c>
      <c r="F322" s="175" t="s">
        <v>265</v>
      </c>
      <c r="G322" s="175" t="s">
        <v>2650</v>
      </c>
    </row>
    <row r="323" spans="1:7">
      <c r="A323" s="175" t="s">
        <v>2651</v>
      </c>
      <c r="B323" s="217" t="str">
        <f t="shared" si="5"/>
        <v>39111000[円]</v>
      </c>
      <c r="C323" s="216">
        <v>39111000</v>
      </c>
      <c r="D323" s="175" t="s">
        <v>235</v>
      </c>
      <c r="E323" s="175">
        <v>54.762727766529999</v>
      </c>
      <c r="F323" s="175" t="s">
        <v>265</v>
      </c>
      <c r="G323" s="175" t="s">
        <v>394</v>
      </c>
    </row>
    <row r="324" spans="1:7">
      <c r="A324" s="175" t="s">
        <v>2652</v>
      </c>
      <c r="B324" s="217" t="str">
        <f t="shared" si="5"/>
        <v>39200000[円]</v>
      </c>
      <c r="C324" s="216">
        <v>39200000</v>
      </c>
      <c r="D324" s="175" t="s">
        <v>235</v>
      </c>
      <c r="E324" s="175">
        <v>135.12461059189999</v>
      </c>
      <c r="F324" s="175" t="s">
        <v>265</v>
      </c>
      <c r="G324" s="175" t="s">
        <v>2653</v>
      </c>
    </row>
    <row r="325" spans="1:7">
      <c r="A325" s="175" t="s">
        <v>2654</v>
      </c>
      <c r="B325" s="217" t="str">
        <f t="shared" si="5"/>
        <v>39211000[円]</v>
      </c>
      <c r="C325" s="216">
        <v>39211000</v>
      </c>
      <c r="D325" s="175" t="s">
        <v>235</v>
      </c>
      <c r="E325" s="175">
        <v>135.12461059189999</v>
      </c>
      <c r="F325" s="175" t="s">
        <v>265</v>
      </c>
      <c r="G325" s="175" t="s">
        <v>395</v>
      </c>
    </row>
    <row r="326" spans="1:7">
      <c r="A326" s="175" t="s">
        <v>2655</v>
      </c>
      <c r="B326" s="217" t="str">
        <f t="shared" si="5"/>
        <v>39300000[円]</v>
      </c>
      <c r="C326" s="216">
        <v>39300000</v>
      </c>
      <c r="D326" s="175" t="s">
        <v>235</v>
      </c>
      <c r="E326" s="175">
        <v>1042.66979839499</v>
      </c>
      <c r="F326" s="175" t="s">
        <v>265</v>
      </c>
      <c r="G326" s="175" t="s">
        <v>2656</v>
      </c>
    </row>
    <row r="327" spans="1:7">
      <c r="A327" s="175" t="s">
        <v>2657</v>
      </c>
      <c r="B327" s="217" t="str">
        <f t="shared" si="5"/>
        <v>39311000[円]</v>
      </c>
      <c r="C327" s="216">
        <v>39311000</v>
      </c>
      <c r="D327" s="175" t="s">
        <v>235</v>
      </c>
      <c r="E327" s="175">
        <v>1042.66979839499</v>
      </c>
      <c r="F327" s="175" t="s">
        <v>265</v>
      </c>
      <c r="G327" s="175" t="s">
        <v>392</v>
      </c>
    </row>
    <row r="328" spans="1:7">
      <c r="A328" s="175" t="s">
        <v>2658</v>
      </c>
      <c r="B328" s="217" t="str">
        <f t="shared" si="5"/>
        <v>39400000[円]</v>
      </c>
      <c r="C328" s="216">
        <v>39400000</v>
      </c>
      <c r="D328" s="175" t="s">
        <v>235</v>
      </c>
      <c r="E328" s="175">
        <v>617.30879815986202</v>
      </c>
      <c r="F328" s="175" t="s">
        <v>265</v>
      </c>
      <c r="G328" s="175" t="s">
        <v>2659</v>
      </c>
    </row>
    <row r="329" spans="1:7">
      <c r="A329" s="175" t="s">
        <v>2660</v>
      </c>
      <c r="B329" s="217" t="str">
        <f t="shared" si="5"/>
        <v>39411000[円]</v>
      </c>
      <c r="C329" s="216">
        <v>39411000</v>
      </c>
      <c r="D329" s="175" t="s">
        <v>235</v>
      </c>
      <c r="E329" s="175">
        <v>617.30879815986202</v>
      </c>
      <c r="F329" s="175" t="s">
        <v>265</v>
      </c>
      <c r="G329" s="175" t="s">
        <v>393</v>
      </c>
    </row>
    <row r="330" spans="1:7">
      <c r="A330" s="175" t="s">
        <v>2661</v>
      </c>
      <c r="B330" s="217" t="str">
        <f t="shared" si="5"/>
        <v>39500000[円]</v>
      </c>
      <c r="C330" s="216">
        <v>39500000</v>
      </c>
      <c r="D330" s="175" t="s">
        <v>235</v>
      </c>
      <c r="E330" s="175">
        <v>526.82403433476395</v>
      </c>
      <c r="F330" s="175" t="s">
        <v>265</v>
      </c>
      <c r="G330" s="175" t="s">
        <v>2662</v>
      </c>
    </row>
    <row r="331" spans="1:7">
      <c r="A331" s="175" t="s">
        <v>2663</v>
      </c>
      <c r="B331" s="217" t="str">
        <f t="shared" si="5"/>
        <v>39511000[円]</v>
      </c>
      <c r="C331" s="216">
        <v>39511000</v>
      </c>
      <c r="D331" s="175" t="s">
        <v>235</v>
      </c>
      <c r="E331" s="175">
        <v>526.82403433476395</v>
      </c>
      <c r="F331" s="175" t="s">
        <v>265</v>
      </c>
      <c r="G331" s="175" t="s">
        <v>396</v>
      </c>
    </row>
    <row r="332" spans="1:7">
      <c r="A332" s="175" t="s">
        <v>2664</v>
      </c>
      <c r="B332" s="217" t="str">
        <f t="shared" si="5"/>
        <v>39600000[円]</v>
      </c>
      <c r="C332" s="216">
        <v>39600000</v>
      </c>
      <c r="D332" s="175" t="s">
        <v>235</v>
      </c>
      <c r="E332" s="175">
        <v>462890.99526066298</v>
      </c>
      <c r="F332" s="175" t="s">
        <v>265</v>
      </c>
      <c r="G332" s="175" t="s">
        <v>2665</v>
      </c>
    </row>
    <row r="333" spans="1:7">
      <c r="A333" s="175" t="s">
        <v>2666</v>
      </c>
      <c r="B333" s="217" t="str">
        <f t="shared" si="5"/>
        <v>39611000[円]</v>
      </c>
      <c r="C333" s="216">
        <v>39611000</v>
      </c>
      <c r="D333" s="175" t="s">
        <v>235</v>
      </c>
      <c r="E333" s="175">
        <v>462890.99526066298</v>
      </c>
      <c r="F333" s="175" t="s">
        <v>265</v>
      </c>
      <c r="G333" s="175" t="s">
        <v>2667</v>
      </c>
    </row>
    <row r="334" spans="1:7">
      <c r="A334" s="175" t="s">
        <v>2668</v>
      </c>
      <c r="B334" s="217" t="str">
        <f t="shared" si="5"/>
        <v>39900000[円]</v>
      </c>
      <c r="C334" s="216">
        <v>39900000</v>
      </c>
      <c r="D334" s="175" t="s">
        <v>235</v>
      </c>
      <c r="E334" s="175">
        <v>538.73353362606895</v>
      </c>
      <c r="F334" s="175" t="s">
        <v>265</v>
      </c>
      <c r="G334" s="175" t="s">
        <v>2669</v>
      </c>
    </row>
    <row r="335" spans="1:7">
      <c r="A335" s="175" t="s">
        <v>2670</v>
      </c>
      <c r="B335" s="217" t="str">
        <f t="shared" si="5"/>
        <v>39911000[円]</v>
      </c>
      <c r="C335" s="216">
        <v>39911000</v>
      </c>
      <c r="D335" s="175" t="s">
        <v>235</v>
      </c>
      <c r="E335" s="175">
        <v>538.73353362606895</v>
      </c>
      <c r="F335" s="175" t="s">
        <v>265</v>
      </c>
      <c r="G335" s="175" t="s">
        <v>2671</v>
      </c>
    </row>
    <row r="336" spans="1:7">
      <c r="A336" s="175" t="s">
        <v>2672</v>
      </c>
      <c r="B336" s="217" t="str">
        <f t="shared" si="5"/>
        <v>51100000[円]</v>
      </c>
      <c r="C336" s="216">
        <v>51100000</v>
      </c>
      <c r="D336" s="175" t="s">
        <v>235</v>
      </c>
      <c r="E336" s="175">
        <v>16.166</v>
      </c>
      <c r="F336" s="175" t="s">
        <v>265</v>
      </c>
      <c r="G336" s="175" t="s">
        <v>2673</v>
      </c>
    </row>
    <row r="337" spans="1:7">
      <c r="A337" s="175" t="s">
        <v>2674</v>
      </c>
      <c r="B337" s="217" t="str">
        <f t="shared" si="5"/>
        <v>51111000[円]</v>
      </c>
      <c r="C337" s="216">
        <v>51111000</v>
      </c>
      <c r="D337" s="175" t="s">
        <v>235</v>
      </c>
      <c r="E337" s="175">
        <v>16.166</v>
      </c>
      <c r="F337" s="175" t="s">
        <v>265</v>
      </c>
      <c r="G337" s="175" t="s">
        <v>397</v>
      </c>
    </row>
    <row r="338" spans="1:7">
      <c r="A338" s="175" t="s">
        <v>2674</v>
      </c>
      <c r="B338" s="217" t="str">
        <f t="shared" si="5"/>
        <v>51111000[MJ]</v>
      </c>
      <c r="C338" s="216">
        <v>51111000</v>
      </c>
      <c r="D338" s="175" t="s">
        <v>235</v>
      </c>
      <c r="E338" s="175">
        <v>29</v>
      </c>
      <c r="F338" s="175" t="s">
        <v>279</v>
      </c>
      <c r="G338" s="175" t="s">
        <v>397</v>
      </c>
    </row>
    <row r="339" spans="1:7">
      <c r="A339" s="175" t="s">
        <v>2675</v>
      </c>
      <c r="B339" s="217" t="str">
        <f t="shared" si="5"/>
        <v>51111801[kg]</v>
      </c>
      <c r="C339" s="216">
        <v>51111801</v>
      </c>
      <c r="D339" s="175" t="s">
        <v>279</v>
      </c>
      <c r="E339" s="175">
        <v>3.4364261168384903E-2</v>
      </c>
      <c r="F339" s="175" t="s">
        <v>235</v>
      </c>
      <c r="G339" s="175" t="s">
        <v>2676</v>
      </c>
    </row>
    <row r="340" spans="1:7">
      <c r="A340" s="175" t="s">
        <v>2677</v>
      </c>
      <c r="B340" s="217" t="str">
        <f t="shared" si="5"/>
        <v>51111802[kg]</v>
      </c>
      <c r="C340" s="216">
        <v>51111802</v>
      </c>
      <c r="D340" s="175" t="s">
        <v>279</v>
      </c>
      <c r="E340" s="175">
        <v>3.54609929078014E-2</v>
      </c>
      <c r="F340" s="175" t="s">
        <v>235</v>
      </c>
      <c r="G340" s="175" t="s">
        <v>2678</v>
      </c>
    </row>
    <row r="341" spans="1:7">
      <c r="A341" s="175" t="s">
        <v>2679</v>
      </c>
      <c r="B341" s="217" t="str">
        <f t="shared" si="5"/>
        <v>51112000[円]</v>
      </c>
      <c r="C341" s="216">
        <v>51112000</v>
      </c>
      <c r="D341" s="175" t="s">
        <v>235</v>
      </c>
      <c r="E341" s="175">
        <v>11.487142410000001</v>
      </c>
      <c r="F341" s="175" t="s">
        <v>265</v>
      </c>
      <c r="G341" s="175" t="s">
        <v>398</v>
      </c>
    </row>
    <row r="342" spans="1:7">
      <c r="A342" s="175" t="s">
        <v>2679</v>
      </c>
      <c r="B342" s="217" t="str">
        <f t="shared" si="5"/>
        <v>51112000[MJ]</v>
      </c>
      <c r="C342" s="216">
        <v>51112000</v>
      </c>
      <c r="D342" s="175" t="s">
        <v>235</v>
      </c>
      <c r="E342" s="175">
        <v>25.7</v>
      </c>
      <c r="F342" s="175" t="s">
        <v>279</v>
      </c>
      <c r="G342" s="175" t="s">
        <v>398</v>
      </c>
    </row>
    <row r="343" spans="1:7">
      <c r="A343" s="175" t="s">
        <v>2680</v>
      </c>
      <c r="B343" s="217" t="str">
        <f t="shared" si="5"/>
        <v>51112801[kg]</v>
      </c>
      <c r="C343" s="216">
        <v>51112801</v>
      </c>
      <c r="D343" s="175" t="s">
        <v>279</v>
      </c>
      <c r="E343" s="175">
        <v>3.8910505836575897E-2</v>
      </c>
      <c r="F343" s="175" t="s">
        <v>235</v>
      </c>
      <c r="G343" s="175" t="s">
        <v>2681</v>
      </c>
    </row>
    <row r="344" spans="1:7">
      <c r="A344" s="175" t="s">
        <v>2682</v>
      </c>
      <c r="B344" s="217" t="str">
        <f t="shared" si="5"/>
        <v>51112802[kg]</v>
      </c>
      <c r="C344" s="216">
        <v>51112802</v>
      </c>
      <c r="D344" s="175" t="s">
        <v>279</v>
      </c>
      <c r="E344" s="175">
        <v>3.7174721189591101E-2</v>
      </c>
      <c r="F344" s="175" t="s">
        <v>235</v>
      </c>
      <c r="G344" s="175" t="s">
        <v>2683</v>
      </c>
    </row>
    <row r="345" spans="1:7">
      <c r="A345" s="175" t="s">
        <v>2684</v>
      </c>
      <c r="B345" s="217" t="str">
        <f t="shared" si="5"/>
        <v>51113000[MJ]</v>
      </c>
      <c r="C345" s="216">
        <v>51113000</v>
      </c>
      <c r="D345" s="175" t="s">
        <v>235</v>
      </c>
      <c r="E345" s="175">
        <v>17.2</v>
      </c>
      <c r="F345" s="175" t="s">
        <v>279</v>
      </c>
      <c r="G345" s="175" t="s">
        <v>399</v>
      </c>
    </row>
    <row r="346" spans="1:7">
      <c r="A346" s="175" t="s">
        <v>2684</v>
      </c>
      <c r="B346" s="217" t="str">
        <f t="shared" si="5"/>
        <v>51113000[円]</v>
      </c>
      <c r="C346" s="216">
        <v>51113000</v>
      </c>
      <c r="D346" s="175" t="s">
        <v>235</v>
      </c>
      <c r="E346" s="175">
        <v>27.048999999999999</v>
      </c>
      <c r="F346" s="175" t="s">
        <v>265</v>
      </c>
      <c r="G346" s="175" t="s">
        <v>399</v>
      </c>
    </row>
    <row r="347" spans="1:7">
      <c r="A347" s="175" t="s">
        <v>2685</v>
      </c>
      <c r="B347" s="217" t="str">
        <f t="shared" si="5"/>
        <v>52100000[円]</v>
      </c>
      <c r="C347" s="216">
        <v>52100000</v>
      </c>
      <c r="D347" s="175" t="s">
        <v>235</v>
      </c>
      <c r="E347" s="175">
        <v>24.184999999999999</v>
      </c>
      <c r="F347" s="175" t="s">
        <v>265</v>
      </c>
      <c r="G347" s="175" t="s">
        <v>2686</v>
      </c>
    </row>
    <row r="348" spans="1:7">
      <c r="A348" s="175" t="s">
        <v>2687</v>
      </c>
      <c r="B348" s="217" t="str">
        <f t="shared" si="5"/>
        <v>52111000[円]</v>
      </c>
      <c r="C348" s="216">
        <v>52111000</v>
      </c>
      <c r="D348" s="175" t="s">
        <v>400</v>
      </c>
      <c r="E348" s="175">
        <v>43.634</v>
      </c>
      <c r="F348" s="175" t="s">
        <v>265</v>
      </c>
      <c r="G348" s="175" t="s">
        <v>102</v>
      </c>
    </row>
    <row r="349" spans="1:7">
      <c r="A349" s="175" t="s">
        <v>2687</v>
      </c>
      <c r="B349" s="217" t="str">
        <f t="shared" si="5"/>
        <v>52111000[MJ]</v>
      </c>
      <c r="C349" s="216">
        <v>52111000</v>
      </c>
      <c r="D349" s="175" t="s">
        <v>400</v>
      </c>
      <c r="E349" s="175">
        <v>38.200000000000003</v>
      </c>
      <c r="F349" s="175" t="s">
        <v>279</v>
      </c>
      <c r="G349" s="175" t="s">
        <v>102</v>
      </c>
    </row>
    <row r="350" spans="1:7">
      <c r="A350" s="175" t="s">
        <v>2687</v>
      </c>
      <c r="B350" s="217" t="str">
        <f t="shared" si="5"/>
        <v>52111000[kg]</v>
      </c>
      <c r="C350" s="216">
        <v>52111000</v>
      </c>
      <c r="D350" s="175" t="s">
        <v>400</v>
      </c>
      <c r="E350" s="175">
        <v>0.85399999999999998</v>
      </c>
      <c r="F350" s="175" t="s">
        <v>235</v>
      </c>
      <c r="G350" s="175" t="s">
        <v>102</v>
      </c>
    </row>
    <row r="351" spans="1:7">
      <c r="A351" s="175" t="s">
        <v>2688</v>
      </c>
      <c r="B351" s="217" t="str">
        <f t="shared" si="5"/>
        <v>52111801[L]</v>
      </c>
      <c r="C351" s="216">
        <v>52111801</v>
      </c>
      <c r="D351" s="175" t="s">
        <v>279</v>
      </c>
      <c r="E351" s="175">
        <v>2.6178010471204199E-2</v>
      </c>
      <c r="F351" s="175" t="s">
        <v>400</v>
      </c>
      <c r="G351" s="175" t="s">
        <v>2689</v>
      </c>
    </row>
    <row r="352" spans="1:7">
      <c r="A352" s="175" t="s">
        <v>2688</v>
      </c>
      <c r="B352" s="217" t="str">
        <f t="shared" si="5"/>
        <v>52111801[kg]</v>
      </c>
      <c r="C352" s="216">
        <v>52111801</v>
      </c>
      <c r="D352" s="175" t="s">
        <v>279</v>
      </c>
      <c r="E352" s="175">
        <v>2.2356020942408399E-2</v>
      </c>
      <c r="F352" s="175" t="s">
        <v>235</v>
      </c>
      <c r="G352" s="175" t="s">
        <v>2689</v>
      </c>
    </row>
    <row r="353" spans="1:7">
      <c r="A353" s="175" t="s">
        <v>2690</v>
      </c>
      <c r="B353" s="217" t="str">
        <f t="shared" si="5"/>
        <v>52112000[MJ]</v>
      </c>
      <c r="C353" s="216">
        <v>52112000</v>
      </c>
      <c r="D353" s="175" t="s">
        <v>402</v>
      </c>
      <c r="E353" s="175">
        <v>43.56</v>
      </c>
      <c r="F353" s="175" t="s">
        <v>279</v>
      </c>
      <c r="G353" s="175" t="s">
        <v>401</v>
      </c>
    </row>
    <row r="354" spans="1:7">
      <c r="A354" s="175" t="s">
        <v>2690</v>
      </c>
      <c r="B354" s="217" t="str">
        <f t="shared" si="5"/>
        <v>52112000[kg]</v>
      </c>
      <c r="C354" s="216">
        <v>52112000</v>
      </c>
      <c r="D354" s="175" t="s">
        <v>402</v>
      </c>
      <c r="E354" s="175">
        <v>0.78632948506505396</v>
      </c>
      <c r="F354" s="175" t="s">
        <v>235</v>
      </c>
      <c r="G354" s="175" t="s">
        <v>401</v>
      </c>
    </row>
    <row r="355" spans="1:7">
      <c r="A355" s="175" t="s">
        <v>2690</v>
      </c>
      <c r="B355" s="217" t="str">
        <f t="shared" si="5"/>
        <v>52112000[円]</v>
      </c>
      <c r="C355" s="216">
        <v>52112000</v>
      </c>
      <c r="D355" s="175" t="s">
        <v>402</v>
      </c>
      <c r="E355" s="175">
        <v>38.436</v>
      </c>
      <c r="F355" s="175" t="s">
        <v>265</v>
      </c>
      <c r="G355" s="175" t="s">
        <v>401</v>
      </c>
    </row>
    <row r="356" spans="1:7">
      <c r="A356" s="175" t="s">
        <v>2690</v>
      </c>
      <c r="B356" s="217" t="str">
        <f t="shared" si="5"/>
        <v>52112000[m3]</v>
      </c>
      <c r="C356" s="216">
        <v>52112000</v>
      </c>
      <c r="D356" s="175" t="s">
        <v>402</v>
      </c>
      <c r="E356" s="175">
        <v>1</v>
      </c>
      <c r="F356" s="175" t="s">
        <v>278</v>
      </c>
      <c r="G356" s="175" t="s">
        <v>401</v>
      </c>
    </row>
    <row r="357" spans="1:7">
      <c r="A357" s="175" t="s">
        <v>2691</v>
      </c>
      <c r="B357" s="217" t="str">
        <f t="shared" si="5"/>
        <v>52112201[円]</v>
      </c>
      <c r="C357" s="216">
        <v>52112201</v>
      </c>
      <c r="D357" s="175" t="s">
        <v>235</v>
      </c>
      <c r="E357" s="175">
        <v>52.072000000000003</v>
      </c>
      <c r="F357" s="175" t="s">
        <v>265</v>
      </c>
      <c r="G357" s="175" t="s">
        <v>403</v>
      </c>
    </row>
    <row r="358" spans="1:7">
      <c r="A358" s="175" t="s">
        <v>2691</v>
      </c>
      <c r="B358" s="217" t="str">
        <f t="shared" si="5"/>
        <v>52112201[MJ]</v>
      </c>
      <c r="C358" s="216">
        <v>52112201</v>
      </c>
      <c r="D358" s="175" t="s">
        <v>235</v>
      </c>
      <c r="E358" s="175">
        <v>54.6</v>
      </c>
      <c r="F358" s="175" t="s">
        <v>279</v>
      </c>
      <c r="G358" s="175" t="s">
        <v>403</v>
      </c>
    </row>
    <row r="359" spans="1:7">
      <c r="A359" s="175" t="s">
        <v>2692</v>
      </c>
      <c r="B359" s="217" t="str">
        <f t="shared" si="5"/>
        <v>52112801[Nm3]</v>
      </c>
      <c r="C359" s="216">
        <v>52112801</v>
      </c>
      <c r="D359" s="175" t="s">
        <v>279</v>
      </c>
      <c r="E359" s="175">
        <v>2.2988505747126398E-2</v>
      </c>
      <c r="F359" s="175" t="s">
        <v>402</v>
      </c>
      <c r="G359" s="175" t="s">
        <v>2693</v>
      </c>
    </row>
    <row r="360" spans="1:7">
      <c r="A360" s="175" t="s">
        <v>2692</v>
      </c>
      <c r="B360" s="217" t="str">
        <f t="shared" si="5"/>
        <v>52112801[kg]</v>
      </c>
      <c r="C360" s="216">
        <v>52112801</v>
      </c>
      <c r="D360" s="175" t="s">
        <v>279</v>
      </c>
      <c r="E360" s="175">
        <v>1.8321839080459802E-2</v>
      </c>
      <c r="F360" s="175" t="s">
        <v>235</v>
      </c>
      <c r="G360" s="175" t="s">
        <v>2693</v>
      </c>
    </row>
    <row r="361" spans="1:7">
      <c r="A361" s="175" t="s">
        <v>2694</v>
      </c>
      <c r="B361" s="217" t="str">
        <f t="shared" si="5"/>
        <v>52112802[kcal]</v>
      </c>
      <c r="C361" s="216">
        <v>52112802</v>
      </c>
      <c r="D361" s="175" t="s">
        <v>279</v>
      </c>
      <c r="E361" s="175">
        <v>239</v>
      </c>
      <c r="F361" s="175" t="s">
        <v>2695</v>
      </c>
      <c r="G361" s="175" t="s">
        <v>2696</v>
      </c>
    </row>
    <row r="362" spans="1:7">
      <c r="A362" s="175" t="s">
        <v>2694</v>
      </c>
      <c r="B362" s="217" t="str">
        <f t="shared" si="5"/>
        <v>52112802[kg]</v>
      </c>
      <c r="C362" s="216">
        <v>52112802</v>
      </c>
      <c r="D362" s="175" t="s">
        <v>279</v>
      </c>
      <c r="E362" s="175">
        <v>1.8315018315018299E-2</v>
      </c>
      <c r="F362" s="175" t="s">
        <v>235</v>
      </c>
      <c r="G362" s="175" t="s">
        <v>2696</v>
      </c>
    </row>
    <row r="363" spans="1:7">
      <c r="A363" s="175" t="s">
        <v>2697</v>
      </c>
      <c r="B363" s="217" t="str">
        <f t="shared" si="5"/>
        <v>52112805[L]</v>
      </c>
      <c r="C363" s="216">
        <v>52112805</v>
      </c>
      <c r="D363" s="175" t="s">
        <v>279</v>
      </c>
      <c r="E363" s="175">
        <v>2.8328611898017001E-2</v>
      </c>
      <c r="F363" s="175" t="s">
        <v>400</v>
      </c>
      <c r="G363" s="175" t="s">
        <v>2698</v>
      </c>
    </row>
    <row r="364" spans="1:7">
      <c r="A364" s="175" t="s">
        <v>2699</v>
      </c>
      <c r="B364" s="217" t="str">
        <f t="shared" si="5"/>
        <v>52112874[kg]</v>
      </c>
      <c r="C364" s="216">
        <v>52112874</v>
      </c>
      <c r="D364" s="175" t="s">
        <v>279</v>
      </c>
      <c r="E364" s="175">
        <v>1.8315017999999999E-2</v>
      </c>
      <c r="F364" s="175" t="s">
        <v>235</v>
      </c>
      <c r="G364" s="175" t="s">
        <v>2700</v>
      </c>
    </row>
    <row r="365" spans="1:7">
      <c r="A365" s="175" t="s">
        <v>2701</v>
      </c>
      <c r="B365" s="217" t="str">
        <f t="shared" si="5"/>
        <v>52112875[kg]</v>
      </c>
      <c r="C365" s="216">
        <v>52112875</v>
      </c>
      <c r="D365" s="175" t="s">
        <v>279</v>
      </c>
      <c r="E365" s="175">
        <v>1.8315017999999999E-2</v>
      </c>
      <c r="F365" s="175" t="s">
        <v>235</v>
      </c>
      <c r="G365" s="175" t="s">
        <v>2702</v>
      </c>
    </row>
    <row r="366" spans="1:7">
      <c r="A366" s="175" t="s">
        <v>2703</v>
      </c>
      <c r="B366" s="217" t="str">
        <f t="shared" si="5"/>
        <v>52112896[Nm3]</v>
      </c>
      <c r="C366" s="216">
        <v>52112896</v>
      </c>
      <c r="D366" s="175" t="s">
        <v>279</v>
      </c>
      <c r="E366" s="175">
        <v>2.2988505747126398E-2</v>
      </c>
      <c r="F366" s="175" t="s">
        <v>402</v>
      </c>
      <c r="G366" s="175" t="s">
        <v>2704</v>
      </c>
    </row>
    <row r="367" spans="1:7">
      <c r="A367" s="175" t="s">
        <v>2705</v>
      </c>
      <c r="B367" s="217" t="str">
        <f t="shared" si="5"/>
        <v>53111000[円]</v>
      </c>
      <c r="C367" s="216">
        <v>53111000</v>
      </c>
      <c r="D367" s="175" t="s">
        <v>235</v>
      </c>
      <c r="E367" s="175">
        <v>10.606999999999999</v>
      </c>
      <c r="F367" s="175" t="s">
        <v>265</v>
      </c>
      <c r="G367" s="175" t="s">
        <v>404</v>
      </c>
    </row>
    <row r="368" spans="1:7">
      <c r="A368" s="175" t="s">
        <v>2706</v>
      </c>
      <c r="B368" s="217" t="str">
        <f t="shared" si="5"/>
        <v>53112000[円]</v>
      </c>
      <c r="C368" s="216">
        <v>53112000</v>
      </c>
      <c r="D368" s="175" t="s">
        <v>235</v>
      </c>
      <c r="E368" s="175">
        <v>7.5380000000000003</v>
      </c>
      <c r="F368" s="175" t="s">
        <v>265</v>
      </c>
      <c r="G368" s="175" t="s">
        <v>405</v>
      </c>
    </row>
    <row r="369" spans="1:7">
      <c r="A369" s="175" t="s">
        <v>2707</v>
      </c>
      <c r="B369" s="217" t="str">
        <f t="shared" si="5"/>
        <v>53113000[円]</v>
      </c>
      <c r="C369" s="216">
        <v>53113000</v>
      </c>
      <c r="D369" s="175" t="s">
        <v>235</v>
      </c>
      <c r="E369" s="175">
        <v>207.43100000000001</v>
      </c>
      <c r="F369" s="175" t="s">
        <v>265</v>
      </c>
      <c r="G369" s="175" t="s">
        <v>2708</v>
      </c>
    </row>
    <row r="370" spans="1:7">
      <c r="A370" s="175" t="s">
        <v>2709</v>
      </c>
      <c r="B370" s="217" t="str">
        <f t="shared" si="5"/>
        <v>53114000[円]</v>
      </c>
      <c r="C370" s="216">
        <v>53114000</v>
      </c>
      <c r="D370" s="175" t="s">
        <v>235</v>
      </c>
      <c r="E370" s="175">
        <v>215.90700000000001</v>
      </c>
      <c r="F370" s="175" t="s">
        <v>265</v>
      </c>
      <c r="G370" s="175" t="s">
        <v>2710</v>
      </c>
    </row>
    <row r="371" spans="1:7">
      <c r="A371" s="175" t="s">
        <v>2711</v>
      </c>
      <c r="B371" s="217" t="str">
        <f t="shared" si="5"/>
        <v>53115000[円]</v>
      </c>
      <c r="C371" s="216">
        <v>53115000</v>
      </c>
      <c r="D371" s="175" t="s">
        <v>235</v>
      </c>
      <c r="E371" s="175">
        <v>65.445999999999998</v>
      </c>
      <c r="F371" s="175" t="s">
        <v>265</v>
      </c>
      <c r="G371" s="175" t="s">
        <v>2712</v>
      </c>
    </row>
    <row r="372" spans="1:7">
      <c r="A372" s="175" t="s">
        <v>2713</v>
      </c>
      <c r="B372" s="217" t="str">
        <f t="shared" si="5"/>
        <v>53125000[円]</v>
      </c>
      <c r="C372" s="216">
        <v>53125000</v>
      </c>
      <c r="D372" s="175" t="s">
        <v>235</v>
      </c>
      <c r="E372" s="175">
        <v>741.13199999999995</v>
      </c>
      <c r="F372" s="175" t="s">
        <v>265</v>
      </c>
      <c r="G372" s="175" t="s">
        <v>2714</v>
      </c>
    </row>
    <row r="373" spans="1:7">
      <c r="A373" s="175" t="s">
        <v>2715</v>
      </c>
      <c r="B373" s="217" t="str">
        <f t="shared" si="5"/>
        <v>53129000[円]</v>
      </c>
      <c r="C373" s="216">
        <v>53129000</v>
      </c>
      <c r="D373" s="175" t="s">
        <v>235</v>
      </c>
      <c r="E373" s="175">
        <v>43.453000000000003</v>
      </c>
      <c r="F373" s="175" t="s">
        <v>265</v>
      </c>
      <c r="G373" s="175" t="s">
        <v>2716</v>
      </c>
    </row>
    <row r="374" spans="1:7">
      <c r="A374" s="175" t="s">
        <v>2717</v>
      </c>
      <c r="B374" s="217" t="str">
        <f t="shared" si="5"/>
        <v>53129104[円]</v>
      </c>
      <c r="C374" s="216">
        <v>53129104</v>
      </c>
      <c r="D374" s="175" t="s">
        <v>235</v>
      </c>
      <c r="E374" s="175">
        <v>43.453000000000003</v>
      </c>
      <c r="F374" s="175" t="s">
        <v>265</v>
      </c>
      <c r="G374" s="175" t="s">
        <v>2718</v>
      </c>
    </row>
    <row r="375" spans="1:7">
      <c r="A375" s="175" t="s">
        <v>2719</v>
      </c>
      <c r="B375" s="217" t="str">
        <f t="shared" si="5"/>
        <v>53129105[円]</v>
      </c>
      <c r="C375" s="216">
        <v>53129105</v>
      </c>
      <c r="D375" s="175" t="s">
        <v>235</v>
      </c>
      <c r="E375" s="175">
        <v>43.453000000000003</v>
      </c>
      <c r="F375" s="175" t="s">
        <v>265</v>
      </c>
      <c r="G375" s="175" t="s">
        <v>2720</v>
      </c>
    </row>
    <row r="376" spans="1:7">
      <c r="A376" s="175" t="s">
        <v>2721</v>
      </c>
      <c r="B376" s="217" t="str">
        <f t="shared" si="5"/>
        <v>53129106[円]</v>
      </c>
      <c r="C376" s="216">
        <v>53129106</v>
      </c>
      <c r="D376" s="175" t="s">
        <v>235</v>
      </c>
      <c r="E376" s="175">
        <v>43.453000000000003</v>
      </c>
      <c r="F376" s="175" t="s">
        <v>265</v>
      </c>
      <c r="G376" s="175" t="s">
        <v>2722</v>
      </c>
    </row>
    <row r="377" spans="1:7">
      <c r="A377" s="175" t="s">
        <v>2723</v>
      </c>
      <c r="B377" s="217" t="str">
        <f t="shared" si="5"/>
        <v>53129108[円]</v>
      </c>
      <c r="C377" s="216">
        <v>53129108</v>
      </c>
      <c r="D377" s="175" t="s">
        <v>235</v>
      </c>
      <c r="E377" s="175">
        <v>43.453000000000003</v>
      </c>
      <c r="F377" s="175" t="s">
        <v>265</v>
      </c>
      <c r="G377" s="175" t="s">
        <v>2724</v>
      </c>
    </row>
    <row r="378" spans="1:7">
      <c r="A378" s="175" t="s">
        <v>2725</v>
      </c>
      <c r="B378" s="217" t="str">
        <f t="shared" si="5"/>
        <v>53129110[円]</v>
      </c>
      <c r="C378" s="216">
        <v>53129110</v>
      </c>
      <c r="D378" s="175" t="s">
        <v>235</v>
      </c>
      <c r="E378" s="175">
        <v>43.453000000000003</v>
      </c>
      <c r="F378" s="175" t="s">
        <v>265</v>
      </c>
      <c r="G378" s="175" t="s">
        <v>2726</v>
      </c>
    </row>
    <row r="379" spans="1:7">
      <c r="A379" s="175" t="s">
        <v>2727</v>
      </c>
      <c r="B379" s="217" t="str">
        <f t="shared" si="5"/>
        <v>53129111[円]</v>
      </c>
      <c r="C379" s="216">
        <v>53129111</v>
      </c>
      <c r="D379" s="175" t="s">
        <v>235</v>
      </c>
      <c r="E379" s="175">
        <v>43.453000000000003</v>
      </c>
      <c r="F379" s="175" t="s">
        <v>265</v>
      </c>
      <c r="G379" s="175" t="s">
        <v>2728</v>
      </c>
    </row>
    <row r="380" spans="1:7">
      <c r="A380" s="175" t="s">
        <v>2729</v>
      </c>
      <c r="B380" s="217" t="str">
        <f t="shared" si="5"/>
        <v>53129112[円]</v>
      </c>
      <c r="C380" s="216">
        <v>53129112</v>
      </c>
      <c r="D380" s="175" t="s">
        <v>235</v>
      </c>
      <c r="E380" s="175">
        <v>43.453000000000003</v>
      </c>
      <c r="F380" s="175" t="s">
        <v>265</v>
      </c>
      <c r="G380" s="175" t="s">
        <v>406</v>
      </c>
    </row>
    <row r="381" spans="1:7">
      <c r="A381" s="175" t="s">
        <v>2730</v>
      </c>
      <c r="B381" s="217" t="str">
        <f t="shared" si="5"/>
        <v>54100000[円]</v>
      </c>
      <c r="C381" s="216">
        <v>54100000</v>
      </c>
      <c r="D381" s="175" t="s">
        <v>235</v>
      </c>
      <c r="E381" s="175">
        <v>1.21550002236074</v>
      </c>
      <c r="F381" s="175" t="s">
        <v>265</v>
      </c>
      <c r="G381" s="175" t="s">
        <v>2731</v>
      </c>
    </row>
    <row r="382" spans="1:7">
      <c r="A382" s="175" t="s">
        <v>2732</v>
      </c>
      <c r="B382" s="217" t="str">
        <f t="shared" si="5"/>
        <v>54111000[円]</v>
      </c>
      <c r="C382" s="216">
        <v>54111000</v>
      </c>
      <c r="D382" s="175" t="s">
        <v>235</v>
      </c>
      <c r="E382" s="175">
        <v>1.409938981</v>
      </c>
      <c r="F382" s="175" t="s">
        <v>265</v>
      </c>
      <c r="G382" s="175" t="s">
        <v>2733</v>
      </c>
    </row>
    <row r="383" spans="1:7">
      <c r="A383" s="175" t="s">
        <v>2734</v>
      </c>
      <c r="B383" s="217" t="str">
        <f t="shared" si="5"/>
        <v>54111202[円]</v>
      </c>
      <c r="C383" s="216">
        <v>54111202</v>
      </c>
      <c r="D383" s="175" t="s">
        <v>235</v>
      </c>
      <c r="E383" s="175">
        <v>0.76605631900000004</v>
      </c>
      <c r="F383" s="175" t="s">
        <v>265</v>
      </c>
      <c r="G383" s="175" t="s">
        <v>407</v>
      </c>
    </row>
    <row r="384" spans="1:7">
      <c r="A384" s="175" t="s">
        <v>2735</v>
      </c>
      <c r="B384" s="217" t="str">
        <f t="shared" si="5"/>
        <v>54111203[円]</v>
      </c>
      <c r="C384" s="216">
        <v>54111203</v>
      </c>
      <c r="D384" s="175" t="s">
        <v>235</v>
      </c>
      <c r="E384" s="175">
        <v>6.3917881809999999</v>
      </c>
      <c r="F384" s="175" t="s">
        <v>265</v>
      </c>
      <c r="G384" s="175" t="s">
        <v>281</v>
      </c>
    </row>
    <row r="385" spans="1:7">
      <c r="A385" s="175" t="s">
        <v>2736</v>
      </c>
      <c r="B385" s="217" t="str">
        <f t="shared" si="5"/>
        <v>54112000[円]</v>
      </c>
      <c r="C385" s="216">
        <v>54112000</v>
      </c>
      <c r="D385" s="175" t="s">
        <v>235</v>
      </c>
      <c r="E385" s="175">
        <v>1.220940205</v>
      </c>
      <c r="F385" s="175" t="s">
        <v>265</v>
      </c>
      <c r="G385" s="175" t="s">
        <v>282</v>
      </c>
    </row>
    <row r="386" spans="1:7">
      <c r="A386" s="175" t="s">
        <v>2737</v>
      </c>
      <c r="B386" s="217" t="str">
        <f t="shared" ref="B386:B449" si="6">C386&amp;"["&amp;F386&amp;"]"</f>
        <v>54113000[円]</v>
      </c>
      <c r="C386" s="216">
        <v>54113000</v>
      </c>
      <c r="D386" s="175" t="s">
        <v>235</v>
      </c>
      <c r="E386" s="175">
        <v>2.9064533539999999</v>
      </c>
      <c r="F386" s="175" t="s">
        <v>265</v>
      </c>
      <c r="G386" s="175" t="s">
        <v>283</v>
      </c>
    </row>
    <row r="387" spans="1:7">
      <c r="A387" s="175" t="s">
        <v>2738</v>
      </c>
      <c r="B387" s="217" t="str">
        <f t="shared" si="6"/>
        <v>54114000[円]</v>
      </c>
      <c r="C387" s="216">
        <v>54114000</v>
      </c>
      <c r="D387" s="175" t="s">
        <v>235</v>
      </c>
      <c r="E387" s="175">
        <v>0.60120620300000005</v>
      </c>
      <c r="F387" s="175" t="s">
        <v>265</v>
      </c>
      <c r="G387" s="175" t="s">
        <v>284</v>
      </c>
    </row>
    <row r="388" spans="1:7">
      <c r="A388" s="175" t="s">
        <v>2739</v>
      </c>
      <c r="B388" s="217" t="str">
        <f t="shared" si="6"/>
        <v>54115000[円]</v>
      </c>
      <c r="C388" s="216">
        <v>54115000</v>
      </c>
      <c r="D388" s="175" t="s">
        <v>235</v>
      </c>
      <c r="E388" s="175">
        <v>1.0117875359999999</v>
      </c>
      <c r="F388" s="175" t="s">
        <v>265</v>
      </c>
      <c r="G388" s="175" t="s">
        <v>408</v>
      </c>
    </row>
    <row r="389" spans="1:7">
      <c r="A389" s="175" t="s">
        <v>2740</v>
      </c>
      <c r="B389" s="217" t="str">
        <f t="shared" si="6"/>
        <v>54119000[円]</v>
      </c>
      <c r="C389" s="216">
        <v>54119000</v>
      </c>
      <c r="D389" s="175" t="s">
        <v>235</v>
      </c>
      <c r="E389" s="175">
        <v>3.1</v>
      </c>
      <c r="F389" s="175" t="s">
        <v>265</v>
      </c>
      <c r="G389" s="175" t="s">
        <v>409</v>
      </c>
    </row>
    <row r="390" spans="1:7">
      <c r="A390" s="175" t="s">
        <v>2741</v>
      </c>
      <c r="B390" s="217" t="str">
        <f t="shared" si="6"/>
        <v>54119200[円]</v>
      </c>
      <c r="C390" s="216">
        <v>54119200</v>
      </c>
      <c r="D390" s="175" t="s">
        <v>235</v>
      </c>
      <c r="E390" s="175">
        <v>23.452000000000002</v>
      </c>
      <c r="F390" s="175" t="s">
        <v>265</v>
      </c>
      <c r="G390" s="175" t="s">
        <v>410</v>
      </c>
    </row>
    <row r="391" spans="1:7">
      <c r="A391" s="175" t="s">
        <v>2742</v>
      </c>
      <c r="B391" s="217" t="str">
        <f t="shared" si="6"/>
        <v>54119201[円]</v>
      </c>
      <c r="C391" s="216">
        <v>54119201</v>
      </c>
      <c r="D391" s="175" t="s">
        <v>235</v>
      </c>
      <c r="E391" s="175">
        <v>5.3616662289999999</v>
      </c>
      <c r="F391" s="175" t="s">
        <v>265</v>
      </c>
      <c r="G391" s="175" t="s">
        <v>411</v>
      </c>
    </row>
    <row r="392" spans="1:7">
      <c r="A392" s="175" t="s">
        <v>2743</v>
      </c>
      <c r="B392" s="217" t="str">
        <f t="shared" si="6"/>
        <v>54119202[円]</v>
      </c>
      <c r="C392" s="216">
        <v>54119202</v>
      </c>
      <c r="D392" s="175" t="s">
        <v>235</v>
      </c>
      <c r="E392" s="175">
        <v>4.6279380259999998</v>
      </c>
      <c r="F392" s="175" t="s">
        <v>265</v>
      </c>
      <c r="G392" s="175" t="s">
        <v>412</v>
      </c>
    </row>
    <row r="393" spans="1:7">
      <c r="A393" s="175" t="s">
        <v>2744</v>
      </c>
      <c r="B393" s="217" t="str">
        <f t="shared" si="6"/>
        <v>54119203[円]</v>
      </c>
      <c r="C393" s="216">
        <v>54119203</v>
      </c>
      <c r="D393" s="175" t="s">
        <v>235</v>
      </c>
      <c r="E393" s="175">
        <v>10.35727142</v>
      </c>
      <c r="F393" s="175" t="s">
        <v>265</v>
      </c>
      <c r="G393" s="175" t="s">
        <v>413</v>
      </c>
    </row>
    <row r="394" spans="1:7">
      <c r="A394" s="175" t="s">
        <v>2745</v>
      </c>
      <c r="B394" s="217" t="str">
        <f t="shared" si="6"/>
        <v>54119204[円]</v>
      </c>
      <c r="C394" s="216">
        <v>54119204</v>
      </c>
      <c r="D394" s="175" t="s">
        <v>235</v>
      </c>
      <c r="E394" s="175">
        <v>7.2115178760000003</v>
      </c>
      <c r="F394" s="175" t="s">
        <v>265</v>
      </c>
      <c r="G394" s="175" t="s">
        <v>422</v>
      </c>
    </row>
    <row r="395" spans="1:7">
      <c r="A395" s="175" t="s">
        <v>2746</v>
      </c>
      <c r="B395" s="217" t="str">
        <f t="shared" si="6"/>
        <v>54129000[円]</v>
      </c>
      <c r="C395" s="216">
        <v>54129000</v>
      </c>
      <c r="D395" s="175" t="s">
        <v>235</v>
      </c>
      <c r="E395" s="175">
        <v>15.92358334</v>
      </c>
      <c r="F395" s="175" t="s">
        <v>265</v>
      </c>
      <c r="G395" s="175" t="s">
        <v>414</v>
      </c>
    </row>
    <row r="396" spans="1:7">
      <c r="A396" s="175" t="s">
        <v>2747</v>
      </c>
      <c r="B396" s="217" t="str">
        <f t="shared" si="6"/>
        <v>54129200[円]</v>
      </c>
      <c r="C396" s="216">
        <v>54129200</v>
      </c>
      <c r="D396" s="175" t="s">
        <v>235</v>
      </c>
      <c r="E396" s="175">
        <v>18.069248139999999</v>
      </c>
      <c r="F396" s="175" t="s">
        <v>265</v>
      </c>
      <c r="G396" s="175" t="s">
        <v>419</v>
      </c>
    </row>
    <row r="397" spans="1:7">
      <c r="A397" s="175" t="s">
        <v>2748</v>
      </c>
      <c r="B397" s="217" t="str">
        <f t="shared" si="6"/>
        <v>54129202[円]</v>
      </c>
      <c r="C397" s="216">
        <v>54129202</v>
      </c>
      <c r="D397" s="175" t="s">
        <v>235</v>
      </c>
      <c r="E397" s="175">
        <v>3.5262149319999998</v>
      </c>
      <c r="F397" s="175" t="s">
        <v>265</v>
      </c>
      <c r="G397" s="175" t="s">
        <v>420</v>
      </c>
    </row>
    <row r="398" spans="1:7">
      <c r="A398" s="175" t="s">
        <v>2749</v>
      </c>
      <c r="B398" s="217" t="str">
        <f t="shared" si="6"/>
        <v>54129205[円]</v>
      </c>
      <c r="C398" s="216">
        <v>54129205</v>
      </c>
      <c r="D398" s="175" t="s">
        <v>235</v>
      </c>
      <c r="E398" s="175">
        <v>16.53393586</v>
      </c>
      <c r="F398" s="175" t="s">
        <v>265</v>
      </c>
      <c r="G398" s="175" t="s">
        <v>423</v>
      </c>
    </row>
    <row r="399" spans="1:7">
      <c r="A399" s="175" t="s">
        <v>2750</v>
      </c>
      <c r="B399" s="217" t="str">
        <f t="shared" si="6"/>
        <v>54129206[円]</v>
      </c>
      <c r="C399" s="216">
        <v>54129206</v>
      </c>
      <c r="D399" s="175" t="s">
        <v>235</v>
      </c>
      <c r="E399" s="175">
        <v>15.87823354</v>
      </c>
      <c r="F399" s="175" t="s">
        <v>265</v>
      </c>
      <c r="G399" s="175" t="s">
        <v>424</v>
      </c>
    </row>
    <row r="400" spans="1:7">
      <c r="A400" s="175" t="s">
        <v>2751</v>
      </c>
      <c r="B400" s="217" t="str">
        <f t="shared" si="6"/>
        <v>54129207[ct]</v>
      </c>
      <c r="C400" s="216">
        <v>54129207</v>
      </c>
      <c r="D400" s="175" t="s">
        <v>235</v>
      </c>
      <c r="E400" s="175">
        <v>5000</v>
      </c>
      <c r="F400" s="175" t="s">
        <v>2020</v>
      </c>
      <c r="G400" s="175" t="s">
        <v>2752</v>
      </c>
    </row>
    <row r="401" spans="1:7">
      <c r="A401" s="175" t="s">
        <v>2751</v>
      </c>
      <c r="B401" s="217" t="str">
        <f t="shared" si="6"/>
        <v>54129207[円]</v>
      </c>
      <c r="C401" s="216">
        <v>54129207</v>
      </c>
      <c r="D401" s="175" t="s">
        <v>235</v>
      </c>
      <c r="E401" s="175">
        <v>29000000000</v>
      </c>
      <c r="F401" s="175" t="s">
        <v>265</v>
      </c>
      <c r="G401" s="175" t="s">
        <v>2752</v>
      </c>
    </row>
    <row r="402" spans="1:7">
      <c r="A402" s="175" t="s">
        <v>2753</v>
      </c>
      <c r="B402" s="217" t="str">
        <f t="shared" si="6"/>
        <v>54129208[ct]</v>
      </c>
      <c r="C402" s="216">
        <v>54129208</v>
      </c>
      <c r="D402" s="175" t="s">
        <v>235</v>
      </c>
      <c r="E402" s="175">
        <v>5000</v>
      </c>
      <c r="F402" s="175" t="s">
        <v>2020</v>
      </c>
      <c r="G402" s="175" t="s">
        <v>2754</v>
      </c>
    </row>
    <row r="403" spans="1:7">
      <c r="A403" s="175" t="s">
        <v>2753</v>
      </c>
      <c r="B403" s="217" t="str">
        <f t="shared" si="6"/>
        <v>54129208[円]</v>
      </c>
      <c r="C403" s="216">
        <v>54129208</v>
      </c>
      <c r="D403" s="175" t="s">
        <v>235</v>
      </c>
      <c r="E403" s="175">
        <v>5800000</v>
      </c>
      <c r="F403" s="175" t="s">
        <v>265</v>
      </c>
      <c r="G403" s="175" t="s">
        <v>2754</v>
      </c>
    </row>
    <row r="404" spans="1:7">
      <c r="A404" s="175" t="s">
        <v>2755</v>
      </c>
      <c r="B404" s="217" t="str">
        <f t="shared" si="6"/>
        <v>61100000[円]</v>
      </c>
      <c r="C404" s="216">
        <v>61100000</v>
      </c>
      <c r="D404" s="175" t="s">
        <v>425</v>
      </c>
      <c r="E404" s="175">
        <v>187147</v>
      </c>
      <c r="F404" s="175" t="s">
        <v>265</v>
      </c>
      <c r="G404" s="175" t="s">
        <v>2756</v>
      </c>
    </row>
    <row r="405" spans="1:7">
      <c r="A405" s="175" t="s">
        <v>2757</v>
      </c>
      <c r="B405" s="217" t="str">
        <f t="shared" si="6"/>
        <v>61111000[円]</v>
      </c>
      <c r="C405" s="216">
        <v>61111000</v>
      </c>
      <c r="D405" s="175" t="s">
        <v>425</v>
      </c>
      <c r="E405" s="175">
        <v>187147</v>
      </c>
      <c r="F405" s="175" t="s">
        <v>265</v>
      </c>
      <c r="G405" s="175" t="s">
        <v>426</v>
      </c>
    </row>
    <row r="406" spans="1:7">
      <c r="A406" s="175" t="s">
        <v>2758</v>
      </c>
      <c r="B406" s="217" t="str">
        <f t="shared" si="6"/>
        <v>61112000[円]</v>
      </c>
      <c r="C406" s="216">
        <v>61112000</v>
      </c>
      <c r="D406" s="175" t="s">
        <v>425</v>
      </c>
      <c r="E406" s="175">
        <v>30920</v>
      </c>
      <c r="F406" s="175" t="s">
        <v>265</v>
      </c>
      <c r="G406" s="175" t="s">
        <v>427</v>
      </c>
    </row>
    <row r="407" spans="1:7">
      <c r="A407" s="175" t="s">
        <v>2759</v>
      </c>
      <c r="B407" s="217" t="str">
        <f t="shared" si="6"/>
        <v>62100000[円]</v>
      </c>
      <c r="C407" s="216">
        <v>62100000</v>
      </c>
      <c r="D407" s="175" t="s">
        <v>425</v>
      </c>
      <c r="E407" s="175">
        <v>223834</v>
      </c>
      <c r="F407" s="175" t="s">
        <v>265</v>
      </c>
      <c r="G407" s="175" t="s">
        <v>2760</v>
      </c>
    </row>
    <row r="408" spans="1:7">
      <c r="A408" s="175" t="s">
        <v>2761</v>
      </c>
      <c r="B408" s="217" t="str">
        <f t="shared" si="6"/>
        <v>62111000[円]</v>
      </c>
      <c r="C408" s="216">
        <v>62111000</v>
      </c>
      <c r="D408" s="175" t="s">
        <v>425</v>
      </c>
      <c r="E408" s="175">
        <v>223834</v>
      </c>
      <c r="F408" s="175" t="s">
        <v>265</v>
      </c>
      <c r="G408" s="175" t="s">
        <v>428</v>
      </c>
    </row>
    <row r="409" spans="1:7">
      <c r="A409" s="175" t="s">
        <v>2762</v>
      </c>
      <c r="B409" s="217" t="str">
        <f t="shared" si="6"/>
        <v>62200000[円]</v>
      </c>
      <c r="C409" s="216">
        <v>62200000</v>
      </c>
      <c r="D409" s="175" t="s">
        <v>425</v>
      </c>
      <c r="E409" s="175">
        <v>171269</v>
      </c>
      <c r="F409" s="175" t="s">
        <v>265</v>
      </c>
      <c r="G409" s="175" t="s">
        <v>2763</v>
      </c>
    </row>
    <row r="410" spans="1:7">
      <c r="A410" s="175" t="s">
        <v>2764</v>
      </c>
      <c r="B410" s="217" t="str">
        <f t="shared" si="6"/>
        <v>62211000[円]</v>
      </c>
      <c r="C410" s="216">
        <v>62211000</v>
      </c>
      <c r="D410" s="175" t="s">
        <v>425</v>
      </c>
      <c r="E410" s="175">
        <v>171269</v>
      </c>
      <c r="F410" s="175" t="s">
        <v>265</v>
      </c>
      <c r="G410" s="175" t="s">
        <v>429</v>
      </c>
    </row>
    <row r="411" spans="1:7">
      <c r="A411" s="175" t="s">
        <v>2765</v>
      </c>
      <c r="B411" s="217" t="str">
        <f t="shared" si="6"/>
        <v>62212000[円]</v>
      </c>
      <c r="C411" s="216">
        <v>62212000</v>
      </c>
      <c r="D411" s="175" t="s">
        <v>425</v>
      </c>
      <c r="E411" s="175">
        <v>167710</v>
      </c>
      <c r="F411" s="175" t="s">
        <v>265</v>
      </c>
      <c r="G411" s="175" t="s">
        <v>430</v>
      </c>
    </row>
    <row r="412" spans="1:7">
      <c r="A412" s="175" t="s">
        <v>2766</v>
      </c>
      <c r="B412" s="217" t="str">
        <f t="shared" si="6"/>
        <v>62300000[円]</v>
      </c>
      <c r="C412" s="216">
        <v>62300000</v>
      </c>
      <c r="D412" s="175" t="s">
        <v>425</v>
      </c>
      <c r="E412" s="175">
        <v>213214</v>
      </c>
      <c r="F412" s="175" t="s">
        <v>265</v>
      </c>
      <c r="G412" s="175" t="s">
        <v>2767</v>
      </c>
    </row>
    <row r="413" spans="1:7">
      <c r="A413" s="175" t="s">
        <v>2768</v>
      </c>
      <c r="B413" s="217" t="str">
        <f t="shared" si="6"/>
        <v>62311000[円]</v>
      </c>
      <c r="C413" s="216">
        <v>62311000</v>
      </c>
      <c r="D413" s="175" t="s">
        <v>425</v>
      </c>
      <c r="E413" s="175">
        <v>213214</v>
      </c>
      <c r="F413" s="175" t="s">
        <v>265</v>
      </c>
      <c r="G413" s="175" t="s">
        <v>431</v>
      </c>
    </row>
    <row r="414" spans="1:7">
      <c r="A414" s="175" t="s">
        <v>2769</v>
      </c>
      <c r="B414" s="217" t="str">
        <f t="shared" si="6"/>
        <v>62312000[円]</v>
      </c>
      <c r="C414" s="216">
        <v>62312000</v>
      </c>
      <c r="D414" s="175" t="s">
        <v>425</v>
      </c>
      <c r="E414" s="175">
        <v>178599</v>
      </c>
      <c r="F414" s="175" t="s">
        <v>265</v>
      </c>
      <c r="G414" s="175" t="s">
        <v>432</v>
      </c>
    </row>
    <row r="415" spans="1:7">
      <c r="A415" s="175" t="s">
        <v>2770</v>
      </c>
      <c r="B415" s="217" t="str">
        <f t="shared" si="6"/>
        <v>62400000[円]</v>
      </c>
      <c r="C415" s="216">
        <v>62400000</v>
      </c>
      <c r="D415" s="175" t="s">
        <v>425</v>
      </c>
      <c r="E415" s="175">
        <v>187014</v>
      </c>
      <c r="F415" s="175" t="s">
        <v>265</v>
      </c>
      <c r="G415" s="175" t="s">
        <v>2771</v>
      </c>
    </row>
    <row r="416" spans="1:7">
      <c r="A416" s="175" t="s">
        <v>2772</v>
      </c>
      <c r="B416" s="217" t="str">
        <f t="shared" si="6"/>
        <v>62411000[円]</v>
      </c>
      <c r="C416" s="216">
        <v>62411000</v>
      </c>
      <c r="D416" s="175" t="s">
        <v>425</v>
      </c>
      <c r="E416" s="175">
        <v>187014</v>
      </c>
      <c r="F416" s="175" t="s">
        <v>265</v>
      </c>
      <c r="G416" s="175" t="s">
        <v>433</v>
      </c>
    </row>
    <row r="417" spans="1:7">
      <c r="A417" s="175" t="s">
        <v>2773</v>
      </c>
      <c r="B417" s="217" t="str">
        <f t="shared" si="6"/>
        <v>63100000[円]</v>
      </c>
      <c r="C417" s="216">
        <v>63100000</v>
      </c>
      <c r="D417" s="175" t="s">
        <v>425</v>
      </c>
      <c r="E417" s="175">
        <v>75818</v>
      </c>
      <c r="F417" s="175" t="s">
        <v>265</v>
      </c>
      <c r="G417" s="175" t="s">
        <v>2774</v>
      </c>
    </row>
    <row r="418" spans="1:7">
      <c r="A418" s="175" t="s">
        <v>2775</v>
      </c>
      <c r="B418" s="217" t="str">
        <f t="shared" si="6"/>
        <v>63111000[円]</v>
      </c>
      <c r="C418" s="216">
        <v>63111000</v>
      </c>
      <c r="D418" s="175" t="s">
        <v>425</v>
      </c>
      <c r="E418" s="175">
        <v>75818</v>
      </c>
      <c r="F418" s="175" t="s">
        <v>265</v>
      </c>
      <c r="G418" s="175" t="s">
        <v>434</v>
      </c>
    </row>
    <row r="419" spans="1:7">
      <c r="A419" s="175" t="s">
        <v>2776</v>
      </c>
      <c r="B419" s="217" t="str">
        <f t="shared" si="6"/>
        <v>63200000[円]</v>
      </c>
      <c r="C419" s="216">
        <v>63200000</v>
      </c>
      <c r="D419" s="175" t="s">
        <v>425</v>
      </c>
      <c r="E419" s="175">
        <v>139677</v>
      </c>
      <c r="F419" s="175" t="s">
        <v>265</v>
      </c>
      <c r="G419" s="175" t="s">
        <v>2777</v>
      </c>
    </row>
    <row r="420" spans="1:7">
      <c r="A420" s="175" t="s">
        <v>2778</v>
      </c>
      <c r="B420" s="217" t="str">
        <f t="shared" si="6"/>
        <v>63211000[円]</v>
      </c>
      <c r="C420" s="216">
        <v>63211000</v>
      </c>
      <c r="D420" s="175" t="s">
        <v>425</v>
      </c>
      <c r="E420" s="175">
        <v>139677</v>
      </c>
      <c r="F420" s="175" t="s">
        <v>265</v>
      </c>
      <c r="G420" s="175" t="s">
        <v>435</v>
      </c>
    </row>
    <row r="421" spans="1:7">
      <c r="A421" s="175" t="s">
        <v>2779</v>
      </c>
      <c r="B421" s="217" t="str">
        <f t="shared" si="6"/>
        <v>64100000[円]</v>
      </c>
      <c r="C421" s="216">
        <v>64100000</v>
      </c>
      <c r="D421" s="175" t="s">
        <v>425</v>
      </c>
      <c r="E421" s="175">
        <v>94609</v>
      </c>
      <c r="F421" s="175" t="s">
        <v>265</v>
      </c>
      <c r="G421" s="175" t="s">
        <v>2780</v>
      </c>
    </row>
    <row r="422" spans="1:7">
      <c r="A422" s="175" t="s">
        <v>2781</v>
      </c>
      <c r="B422" s="217" t="str">
        <f t="shared" si="6"/>
        <v>64111000[円]</v>
      </c>
      <c r="C422" s="216">
        <v>64111000</v>
      </c>
      <c r="D422" s="175" t="s">
        <v>425</v>
      </c>
      <c r="E422" s="175">
        <v>94609</v>
      </c>
      <c r="F422" s="175" t="s">
        <v>265</v>
      </c>
      <c r="G422" s="175" t="s">
        <v>436</v>
      </c>
    </row>
    <row r="423" spans="1:7">
      <c r="A423" s="175" t="s">
        <v>2782</v>
      </c>
      <c r="B423" s="217" t="str">
        <f t="shared" si="6"/>
        <v>64200000[円]</v>
      </c>
      <c r="C423" s="216">
        <v>64200000</v>
      </c>
      <c r="D423" s="175" t="s">
        <v>425</v>
      </c>
      <c r="E423" s="175">
        <v>234383</v>
      </c>
      <c r="F423" s="175" t="s">
        <v>265</v>
      </c>
      <c r="G423" s="175" t="s">
        <v>2783</v>
      </c>
    </row>
    <row r="424" spans="1:7">
      <c r="A424" s="175" t="s">
        <v>2784</v>
      </c>
      <c r="B424" s="217" t="str">
        <f t="shared" si="6"/>
        <v>64211000[円]</v>
      </c>
      <c r="C424" s="216">
        <v>64211000</v>
      </c>
      <c r="D424" s="175" t="s">
        <v>425</v>
      </c>
      <c r="E424" s="175">
        <v>234383</v>
      </c>
      <c r="F424" s="175" t="s">
        <v>265</v>
      </c>
      <c r="G424" s="175" t="s">
        <v>437</v>
      </c>
    </row>
    <row r="425" spans="1:7">
      <c r="A425" s="175" t="s">
        <v>2785</v>
      </c>
      <c r="B425" s="217" t="str">
        <f t="shared" si="6"/>
        <v>64300000[円]</v>
      </c>
      <c r="C425" s="216">
        <v>64300000</v>
      </c>
      <c r="D425" s="175" t="s">
        <v>425</v>
      </c>
      <c r="E425" s="175">
        <v>113899</v>
      </c>
      <c r="F425" s="175" t="s">
        <v>265</v>
      </c>
      <c r="G425" s="175" t="s">
        <v>2786</v>
      </c>
    </row>
    <row r="426" spans="1:7">
      <c r="A426" s="175" t="s">
        <v>2787</v>
      </c>
      <c r="B426" s="217" t="str">
        <f t="shared" si="6"/>
        <v>64311000[円]</v>
      </c>
      <c r="C426" s="216">
        <v>64311000</v>
      </c>
      <c r="D426" s="175" t="s">
        <v>425</v>
      </c>
      <c r="E426" s="175">
        <v>113899</v>
      </c>
      <c r="F426" s="175" t="s">
        <v>265</v>
      </c>
      <c r="G426" s="175" t="s">
        <v>438</v>
      </c>
    </row>
    <row r="427" spans="1:7">
      <c r="A427" s="175" t="s">
        <v>2788</v>
      </c>
      <c r="B427" s="217" t="str">
        <f t="shared" si="6"/>
        <v>64400000[円]</v>
      </c>
      <c r="C427" s="216">
        <v>64400000</v>
      </c>
      <c r="D427" s="175" t="s">
        <v>425</v>
      </c>
      <c r="E427" s="175">
        <v>192829</v>
      </c>
      <c r="F427" s="175" t="s">
        <v>265</v>
      </c>
      <c r="G427" s="175" t="s">
        <v>2789</v>
      </c>
    </row>
    <row r="428" spans="1:7">
      <c r="A428" s="175" t="s">
        <v>2790</v>
      </c>
      <c r="B428" s="217" t="str">
        <f t="shared" si="6"/>
        <v>64411000[円]</v>
      </c>
      <c r="C428" s="216">
        <v>64411000</v>
      </c>
      <c r="D428" s="175" t="s">
        <v>425</v>
      </c>
      <c r="E428" s="175">
        <v>192829</v>
      </c>
      <c r="F428" s="175" t="s">
        <v>265</v>
      </c>
      <c r="G428" s="175" t="s">
        <v>440</v>
      </c>
    </row>
    <row r="429" spans="1:7">
      <c r="A429" s="175" t="s">
        <v>2791</v>
      </c>
      <c r="B429" s="217" t="str">
        <f t="shared" si="6"/>
        <v>64500000[円]</v>
      </c>
      <c r="C429" s="216">
        <v>64500000</v>
      </c>
      <c r="D429" s="175" t="s">
        <v>425</v>
      </c>
      <c r="E429" s="175">
        <v>210105</v>
      </c>
      <c r="F429" s="175" t="s">
        <v>265</v>
      </c>
      <c r="G429" s="175" t="s">
        <v>2792</v>
      </c>
    </row>
    <row r="430" spans="1:7">
      <c r="A430" s="175" t="s">
        <v>2793</v>
      </c>
      <c r="B430" s="217" t="str">
        <f t="shared" si="6"/>
        <v>64511000[円]</v>
      </c>
      <c r="C430" s="216">
        <v>64511000</v>
      </c>
      <c r="D430" s="175" t="s">
        <v>425</v>
      </c>
      <c r="E430" s="175">
        <v>210105</v>
      </c>
      <c r="F430" s="175" t="s">
        <v>265</v>
      </c>
      <c r="G430" s="175" t="s">
        <v>439</v>
      </c>
    </row>
    <row r="431" spans="1:7">
      <c r="A431" s="175" t="s">
        <v>2794</v>
      </c>
      <c r="B431" s="217" t="str">
        <f t="shared" si="6"/>
        <v>64600000[円]</v>
      </c>
      <c r="C431" s="216">
        <v>64600000</v>
      </c>
      <c r="D431" s="175" t="s">
        <v>425</v>
      </c>
      <c r="E431" s="175">
        <v>100181</v>
      </c>
      <c r="F431" s="175" t="s">
        <v>265</v>
      </c>
      <c r="G431" s="175" t="s">
        <v>2795</v>
      </c>
    </row>
    <row r="432" spans="1:7">
      <c r="A432" s="175" t="s">
        <v>2796</v>
      </c>
      <c r="B432" s="217" t="str">
        <f t="shared" si="6"/>
        <v>64611000[円]</v>
      </c>
      <c r="C432" s="216">
        <v>64611000</v>
      </c>
      <c r="D432" s="175" t="s">
        <v>425</v>
      </c>
      <c r="E432" s="175">
        <v>100181</v>
      </c>
      <c r="F432" s="175" t="s">
        <v>265</v>
      </c>
      <c r="G432" s="175" t="s">
        <v>441</v>
      </c>
    </row>
    <row r="433" spans="1:7">
      <c r="A433" s="175" t="s">
        <v>2797</v>
      </c>
      <c r="B433" s="217" t="str">
        <f t="shared" si="6"/>
        <v>64700000[円]</v>
      </c>
      <c r="C433" s="216">
        <v>64700000</v>
      </c>
      <c r="D433" s="175" t="s">
        <v>425</v>
      </c>
      <c r="E433" s="175">
        <v>144992</v>
      </c>
      <c r="F433" s="175" t="s">
        <v>265</v>
      </c>
      <c r="G433" s="175" t="s">
        <v>2798</v>
      </c>
    </row>
    <row r="434" spans="1:7">
      <c r="A434" s="175" t="s">
        <v>2799</v>
      </c>
      <c r="B434" s="217" t="str">
        <f t="shared" si="6"/>
        <v>64711000[円]</v>
      </c>
      <c r="C434" s="216">
        <v>64711000</v>
      </c>
      <c r="D434" s="175" t="s">
        <v>425</v>
      </c>
      <c r="E434" s="175">
        <v>144992</v>
      </c>
      <c r="F434" s="175" t="s">
        <v>265</v>
      </c>
      <c r="G434" s="175" t="s">
        <v>442</v>
      </c>
    </row>
    <row r="435" spans="1:7">
      <c r="A435" s="175" t="s">
        <v>2800</v>
      </c>
      <c r="B435" s="217" t="str">
        <f t="shared" si="6"/>
        <v>64800000[円]</v>
      </c>
      <c r="C435" s="216">
        <v>64800000</v>
      </c>
      <c r="D435" s="175" t="s">
        <v>425</v>
      </c>
      <c r="E435" s="175">
        <v>142560</v>
      </c>
      <c r="F435" s="175" t="s">
        <v>265</v>
      </c>
      <c r="G435" s="175" t="s">
        <v>2801</v>
      </c>
    </row>
    <row r="436" spans="1:7">
      <c r="A436" s="175" t="s">
        <v>2802</v>
      </c>
      <c r="B436" s="217" t="str">
        <f t="shared" si="6"/>
        <v>64811000[円]</v>
      </c>
      <c r="C436" s="216">
        <v>64811000</v>
      </c>
      <c r="D436" s="175" t="s">
        <v>425</v>
      </c>
      <c r="E436" s="175">
        <v>142560</v>
      </c>
      <c r="F436" s="175" t="s">
        <v>265</v>
      </c>
      <c r="G436" s="175" t="s">
        <v>443</v>
      </c>
    </row>
    <row r="437" spans="1:7">
      <c r="A437" s="175" t="s">
        <v>2803</v>
      </c>
      <c r="B437" s="217" t="str">
        <f t="shared" si="6"/>
        <v>79900000[kg]</v>
      </c>
      <c r="C437" s="216">
        <v>79900000</v>
      </c>
      <c r="D437" s="175" t="s">
        <v>265</v>
      </c>
      <c r="E437" s="175">
        <v>3.8022813688212902E-3</v>
      </c>
      <c r="F437" s="175" t="s">
        <v>235</v>
      </c>
      <c r="G437" s="175" t="s">
        <v>2804</v>
      </c>
    </row>
    <row r="438" spans="1:7">
      <c r="A438" s="175" t="s">
        <v>2805</v>
      </c>
      <c r="B438" s="217" t="str">
        <f t="shared" si="6"/>
        <v>79911000[kg]</v>
      </c>
      <c r="C438" s="216">
        <v>79911000</v>
      </c>
      <c r="D438" s="175" t="s">
        <v>265</v>
      </c>
      <c r="E438" s="175">
        <v>3.8022813688212902E-3</v>
      </c>
      <c r="F438" s="175" t="s">
        <v>235</v>
      </c>
      <c r="G438" s="175" t="s">
        <v>457</v>
      </c>
    </row>
    <row r="439" spans="1:7">
      <c r="A439" s="175" t="s">
        <v>2806</v>
      </c>
      <c r="B439" s="217" t="str">
        <f t="shared" si="6"/>
        <v>91100000[円]</v>
      </c>
      <c r="C439" s="216">
        <v>91100000</v>
      </c>
      <c r="D439" s="175" t="s">
        <v>235</v>
      </c>
      <c r="E439" s="175">
        <v>967.05556390818504</v>
      </c>
      <c r="F439" s="175" t="s">
        <v>265</v>
      </c>
      <c r="G439" s="175" t="s">
        <v>2807</v>
      </c>
    </row>
    <row r="440" spans="1:7">
      <c r="A440" s="175" t="s">
        <v>2808</v>
      </c>
      <c r="B440" s="217" t="str">
        <f t="shared" si="6"/>
        <v>91111000[円]</v>
      </c>
      <c r="C440" s="216">
        <v>91111000</v>
      </c>
      <c r="D440" s="175" t="s">
        <v>235</v>
      </c>
      <c r="E440" s="175">
        <v>889.6</v>
      </c>
      <c r="F440" s="175" t="s">
        <v>265</v>
      </c>
      <c r="G440" s="175" t="s">
        <v>2809</v>
      </c>
    </row>
    <row r="441" spans="1:7">
      <c r="A441" s="175" t="s">
        <v>2810</v>
      </c>
      <c r="B441" s="217" t="str">
        <f t="shared" si="6"/>
        <v>91111200[円]</v>
      </c>
      <c r="C441" s="216">
        <v>91111200</v>
      </c>
      <c r="D441" s="175" t="s">
        <v>235</v>
      </c>
      <c r="E441" s="175">
        <v>2739.67061542907</v>
      </c>
      <c r="F441" s="175" t="s">
        <v>265</v>
      </c>
      <c r="G441" s="175" t="s">
        <v>2811</v>
      </c>
    </row>
    <row r="442" spans="1:7">
      <c r="A442" s="175" t="s">
        <v>2812</v>
      </c>
      <c r="B442" s="217" t="str">
        <f t="shared" si="6"/>
        <v>91111201[円]</v>
      </c>
      <c r="C442" s="216">
        <v>91111201</v>
      </c>
      <c r="D442" s="175" t="s">
        <v>235</v>
      </c>
      <c r="E442" s="175">
        <v>1295.1129851875901</v>
      </c>
      <c r="F442" s="175" t="s">
        <v>265</v>
      </c>
      <c r="G442" s="175" t="s">
        <v>2813</v>
      </c>
    </row>
    <row r="443" spans="1:7">
      <c r="A443" s="175" t="s">
        <v>2814</v>
      </c>
      <c r="B443" s="217" t="str">
        <f t="shared" si="6"/>
        <v>91111202[円]</v>
      </c>
      <c r="C443" s="216">
        <v>91111202</v>
      </c>
      <c r="D443" s="175" t="s">
        <v>235</v>
      </c>
      <c r="E443" s="175">
        <v>377</v>
      </c>
      <c r="F443" s="175" t="s">
        <v>265</v>
      </c>
      <c r="G443" s="175" t="s">
        <v>2815</v>
      </c>
    </row>
    <row r="444" spans="1:7">
      <c r="A444" s="175" t="s">
        <v>2816</v>
      </c>
      <c r="B444" s="217" t="str">
        <f t="shared" si="6"/>
        <v>91111203[円]</v>
      </c>
      <c r="C444" s="216">
        <v>91111203</v>
      </c>
      <c r="D444" s="175" t="s">
        <v>235</v>
      </c>
      <c r="E444" s="175">
        <v>1330</v>
      </c>
      <c r="F444" s="175" t="s">
        <v>265</v>
      </c>
      <c r="G444" s="175" t="s">
        <v>2817</v>
      </c>
    </row>
    <row r="445" spans="1:7">
      <c r="A445" s="175" t="s">
        <v>2818</v>
      </c>
      <c r="B445" s="217" t="str">
        <f t="shared" si="6"/>
        <v>91111204[円]</v>
      </c>
      <c r="C445" s="216">
        <v>91111204</v>
      </c>
      <c r="D445" s="175" t="s">
        <v>235</v>
      </c>
      <c r="E445" s="175">
        <v>1345.2102803738301</v>
      </c>
      <c r="F445" s="175" t="s">
        <v>265</v>
      </c>
      <c r="G445" s="175" t="s">
        <v>2819</v>
      </c>
    </row>
    <row r="446" spans="1:7">
      <c r="A446" s="175" t="s">
        <v>2820</v>
      </c>
      <c r="B446" s="217" t="str">
        <f t="shared" si="6"/>
        <v>91112000[円]</v>
      </c>
      <c r="C446" s="216">
        <v>91112000</v>
      </c>
      <c r="D446" s="175" t="s">
        <v>235</v>
      </c>
      <c r="E446" s="175">
        <v>1021.11355311355</v>
      </c>
      <c r="F446" s="175" t="s">
        <v>265</v>
      </c>
      <c r="G446" s="175" t="s">
        <v>2821</v>
      </c>
    </row>
    <row r="447" spans="1:7">
      <c r="A447" s="175" t="s">
        <v>2822</v>
      </c>
      <c r="B447" s="217" t="str">
        <f t="shared" si="6"/>
        <v>91113000[円]</v>
      </c>
      <c r="C447" s="216">
        <v>91113000</v>
      </c>
      <c r="D447" s="175" t="s">
        <v>235</v>
      </c>
      <c r="E447" s="175">
        <v>1464.1691150896499</v>
      </c>
      <c r="F447" s="175" t="s">
        <v>265</v>
      </c>
      <c r="G447" s="175" t="s">
        <v>459</v>
      </c>
    </row>
    <row r="448" spans="1:7">
      <c r="A448" s="175" t="s">
        <v>2823</v>
      </c>
      <c r="B448" s="217" t="str">
        <f t="shared" si="6"/>
        <v>91200000[kg]</v>
      </c>
      <c r="C448" s="216">
        <v>91200000</v>
      </c>
      <c r="D448" s="175" t="s">
        <v>265</v>
      </c>
      <c r="E448" s="175">
        <v>2.4748436310628799E-3</v>
      </c>
      <c r="F448" s="175" t="s">
        <v>235</v>
      </c>
      <c r="G448" s="175" t="s">
        <v>2824</v>
      </c>
    </row>
    <row r="449" spans="1:7">
      <c r="A449" s="175" t="s">
        <v>2825</v>
      </c>
      <c r="B449" s="217" t="str">
        <f t="shared" si="6"/>
        <v>91211000[円]</v>
      </c>
      <c r="C449" s="216">
        <v>91211000</v>
      </c>
      <c r="D449" s="175" t="s">
        <v>235</v>
      </c>
      <c r="E449" s="175">
        <v>564.68835996716996</v>
      </c>
      <c r="F449" s="175" t="s">
        <v>265</v>
      </c>
      <c r="G449" s="175" t="s">
        <v>460</v>
      </c>
    </row>
    <row r="450" spans="1:7">
      <c r="A450" s="175" t="s">
        <v>2826</v>
      </c>
      <c r="B450" s="217" t="str">
        <f t="shared" ref="B450:B513" si="7">C450&amp;"["&amp;F450&amp;"]"</f>
        <v>91212000[円]</v>
      </c>
      <c r="C450" s="216">
        <v>91212000</v>
      </c>
      <c r="D450" s="175" t="s">
        <v>235</v>
      </c>
      <c r="E450" s="175">
        <v>1100.2296012332699</v>
      </c>
      <c r="F450" s="175" t="s">
        <v>265</v>
      </c>
      <c r="G450" s="175" t="s">
        <v>461</v>
      </c>
    </row>
    <row r="451" spans="1:7">
      <c r="A451" s="175" t="s">
        <v>2827</v>
      </c>
      <c r="B451" s="217" t="str">
        <f t="shared" si="7"/>
        <v>91213000[円]</v>
      </c>
      <c r="C451" s="216">
        <v>91213000</v>
      </c>
      <c r="D451" s="175" t="s">
        <v>235</v>
      </c>
      <c r="E451" s="175">
        <v>882.38738343710702</v>
      </c>
      <c r="F451" s="175" t="s">
        <v>265</v>
      </c>
      <c r="G451" s="175" t="s">
        <v>462</v>
      </c>
    </row>
    <row r="452" spans="1:7">
      <c r="A452" s="175" t="s">
        <v>2828</v>
      </c>
      <c r="B452" s="217" t="str">
        <f t="shared" si="7"/>
        <v>91214000[kg]</v>
      </c>
      <c r="C452" s="216">
        <v>91214000</v>
      </c>
      <c r="D452" s="175" t="s">
        <v>400</v>
      </c>
      <c r="E452" s="175">
        <v>1.032</v>
      </c>
      <c r="F452" s="175" t="s">
        <v>235</v>
      </c>
      <c r="G452" s="175" t="s">
        <v>463</v>
      </c>
    </row>
    <row r="453" spans="1:7">
      <c r="A453" s="175" t="s">
        <v>2828</v>
      </c>
      <c r="B453" s="217" t="str">
        <f t="shared" si="7"/>
        <v>91214000[円]</v>
      </c>
      <c r="C453" s="216">
        <v>91214000</v>
      </c>
      <c r="D453" s="175" t="s">
        <v>400</v>
      </c>
      <c r="E453" s="175">
        <v>149.97018899165101</v>
      </c>
      <c r="F453" s="175" t="s">
        <v>265</v>
      </c>
      <c r="G453" s="175" t="s">
        <v>463</v>
      </c>
    </row>
    <row r="454" spans="1:7">
      <c r="A454" s="175" t="s">
        <v>2829</v>
      </c>
      <c r="B454" s="217" t="str">
        <f t="shared" si="7"/>
        <v>91215000[円]</v>
      </c>
      <c r="C454" s="216">
        <v>91215000</v>
      </c>
      <c r="D454" s="175" t="s">
        <v>235</v>
      </c>
      <c r="E454" s="175">
        <v>528.71381897584899</v>
      </c>
      <c r="F454" s="175" t="s">
        <v>265</v>
      </c>
      <c r="G454" s="175" t="s">
        <v>2830</v>
      </c>
    </row>
    <row r="455" spans="1:7">
      <c r="A455" s="175" t="s">
        <v>2831</v>
      </c>
      <c r="B455" s="217" t="str">
        <f t="shared" si="7"/>
        <v>91216000[円]</v>
      </c>
      <c r="C455" s="216">
        <v>91216000</v>
      </c>
      <c r="D455" s="175" t="s">
        <v>400</v>
      </c>
      <c r="E455" s="175">
        <v>476.29955947136602</v>
      </c>
      <c r="F455" s="175" t="s">
        <v>265</v>
      </c>
      <c r="G455" s="175" t="s">
        <v>464</v>
      </c>
    </row>
    <row r="456" spans="1:7">
      <c r="A456" s="175" t="s">
        <v>2831</v>
      </c>
      <c r="B456" s="217" t="str">
        <f t="shared" si="7"/>
        <v>91216000[kg]</v>
      </c>
      <c r="C456" s="216">
        <v>91216000</v>
      </c>
      <c r="D456" s="175" t="s">
        <v>400</v>
      </c>
      <c r="E456" s="175">
        <v>1.032</v>
      </c>
      <c r="F456" s="175" t="s">
        <v>235</v>
      </c>
      <c r="G456" s="175" t="s">
        <v>464</v>
      </c>
    </row>
    <row r="457" spans="1:7">
      <c r="A457" s="175" t="s">
        <v>2832</v>
      </c>
      <c r="B457" s="217" t="str">
        <f t="shared" si="7"/>
        <v>91217000[kg]</v>
      </c>
      <c r="C457" s="216">
        <v>91217000</v>
      </c>
      <c r="D457" s="175" t="s">
        <v>400</v>
      </c>
      <c r="E457" s="175">
        <v>1.0760000000000001</v>
      </c>
      <c r="F457" s="175" t="s">
        <v>235</v>
      </c>
      <c r="G457" s="175" t="s">
        <v>465</v>
      </c>
    </row>
    <row r="458" spans="1:7">
      <c r="A458" s="175" t="s">
        <v>2832</v>
      </c>
      <c r="B458" s="217" t="str">
        <f t="shared" si="7"/>
        <v>91217000[円]</v>
      </c>
      <c r="C458" s="216">
        <v>91217000</v>
      </c>
      <c r="D458" s="175" t="s">
        <v>400</v>
      </c>
      <c r="E458" s="175">
        <v>245.920987587003</v>
      </c>
      <c r="F458" s="175" t="s">
        <v>265</v>
      </c>
      <c r="G458" s="175" t="s">
        <v>465</v>
      </c>
    </row>
    <row r="459" spans="1:7">
      <c r="A459" s="175" t="s">
        <v>2833</v>
      </c>
      <c r="B459" s="217" t="str">
        <f t="shared" si="7"/>
        <v>91219000[円]</v>
      </c>
      <c r="C459" s="216">
        <v>91219000</v>
      </c>
      <c r="D459" s="175" t="s">
        <v>235</v>
      </c>
      <c r="E459" s="175">
        <v>396.43172577159299</v>
      </c>
      <c r="F459" s="175" t="s">
        <v>265</v>
      </c>
      <c r="G459" s="175" t="s">
        <v>466</v>
      </c>
    </row>
    <row r="460" spans="1:7">
      <c r="A460" s="175" t="s">
        <v>2834</v>
      </c>
      <c r="B460" s="217" t="str">
        <f t="shared" si="7"/>
        <v>91900000[円]</v>
      </c>
      <c r="C460" s="216">
        <v>91900000</v>
      </c>
      <c r="D460" s="175" t="s">
        <v>235</v>
      </c>
      <c r="E460" s="175">
        <v>344.69078848036298</v>
      </c>
      <c r="F460" s="175" t="s">
        <v>265</v>
      </c>
      <c r="G460" s="175" t="s">
        <v>2835</v>
      </c>
    </row>
    <row r="461" spans="1:7">
      <c r="A461" s="175" t="s">
        <v>2836</v>
      </c>
      <c r="B461" s="217" t="str">
        <f t="shared" si="7"/>
        <v>91911000[円]</v>
      </c>
      <c r="C461" s="216">
        <v>91911000</v>
      </c>
      <c r="D461" s="175" t="s">
        <v>235</v>
      </c>
      <c r="E461" s="175">
        <v>200</v>
      </c>
      <c r="F461" s="175" t="s">
        <v>265</v>
      </c>
      <c r="G461" s="175" t="s">
        <v>467</v>
      </c>
    </row>
    <row r="462" spans="1:7">
      <c r="A462" s="175" t="s">
        <v>2837</v>
      </c>
      <c r="B462" s="217" t="str">
        <f t="shared" si="7"/>
        <v>91919000[円]</v>
      </c>
      <c r="C462" s="216">
        <v>91919000</v>
      </c>
      <c r="D462" s="175" t="s">
        <v>235</v>
      </c>
      <c r="E462" s="175">
        <v>1182.9907149824801</v>
      </c>
      <c r="F462" s="175" t="s">
        <v>265</v>
      </c>
      <c r="G462" s="175" t="s">
        <v>2838</v>
      </c>
    </row>
    <row r="463" spans="1:7">
      <c r="A463" s="175" t="s">
        <v>2839</v>
      </c>
      <c r="B463" s="217" t="str">
        <f t="shared" si="7"/>
        <v>92100000[円]</v>
      </c>
      <c r="C463" s="216">
        <v>92100000</v>
      </c>
      <c r="D463" s="175" t="s">
        <v>235</v>
      </c>
      <c r="E463" s="175">
        <v>741.96262581559904</v>
      </c>
      <c r="F463" s="175" t="s">
        <v>265</v>
      </c>
      <c r="G463" s="175" t="s">
        <v>2840</v>
      </c>
    </row>
    <row r="464" spans="1:7">
      <c r="A464" s="175" t="s">
        <v>2841</v>
      </c>
      <c r="B464" s="217" t="str">
        <f t="shared" si="7"/>
        <v>92111000[円]</v>
      </c>
      <c r="C464" s="216">
        <v>92111000</v>
      </c>
      <c r="D464" s="175" t="s">
        <v>235</v>
      </c>
      <c r="E464" s="175">
        <v>645.52893055918696</v>
      </c>
      <c r="F464" s="175" t="s">
        <v>265</v>
      </c>
      <c r="G464" s="175" t="s">
        <v>468</v>
      </c>
    </row>
    <row r="465" spans="1:7">
      <c r="A465" s="175" t="s">
        <v>2842</v>
      </c>
      <c r="B465" s="217" t="str">
        <f t="shared" si="7"/>
        <v>92112000[円]</v>
      </c>
      <c r="C465" s="216">
        <v>92112000</v>
      </c>
      <c r="D465" s="175" t="s">
        <v>235</v>
      </c>
      <c r="E465" s="175">
        <v>306.886489380689</v>
      </c>
      <c r="F465" s="175" t="s">
        <v>265</v>
      </c>
      <c r="G465" s="175" t="s">
        <v>469</v>
      </c>
    </row>
    <row r="466" spans="1:7">
      <c r="A466" s="175" t="s">
        <v>2843</v>
      </c>
      <c r="B466" s="217" t="str">
        <f t="shared" si="7"/>
        <v>92119000[円]</v>
      </c>
      <c r="C466" s="216">
        <v>92119000</v>
      </c>
      <c r="D466" s="175" t="s">
        <v>235</v>
      </c>
      <c r="E466" s="175">
        <v>1001.40476354297</v>
      </c>
      <c r="F466" s="175" t="s">
        <v>265</v>
      </c>
      <c r="G466" s="175" t="s">
        <v>2844</v>
      </c>
    </row>
    <row r="467" spans="1:7">
      <c r="A467" s="175" t="s">
        <v>2845</v>
      </c>
      <c r="B467" s="217" t="str">
        <f t="shared" si="7"/>
        <v>92200000[kg]</v>
      </c>
      <c r="C467" s="216">
        <v>92200000</v>
      </c>
      <c r="D467" s="175" t="s">
        <v>265</v>
      </c>
      <c r="E467" s="175">
        <v>2.7973358173675401E-2</v>
      </c>
      <c r="F467" s="175" t="s">
        <v>235</v>
      </c>
      <c r="G467" s="175" t="s">
        <v>2846</v>
      </c>
    </row>
    <row r="468" spans="1:7">
      <c r="A468" s="175" t="s">
        <v>2847</v>
      </c>
      <c r="B468" s="217" t="str">
        <f t="shared" si="7"/>
        <v>92211000[円]</v>
      </c>
      <c r="C468" s="216">
        <v>92211000</v>
      </c>
      <c r="D468" s="175" t="s">
        <v>235</v>
      </c>
      <c r="E468" s="175">
        <v>3634.43861741003</v>
      </c>
      <c r="F468" s="175" t="s">
        <v>265</v>
      </c>
      <c r="G468" s="175" t="s">
        <v>470</v>
      </c>
    </row>
    <row r="469" spans="1:7">
      <c r="A469" s="175" t="s">
        <v>2848</v>
      </c>
      <c r="B469" s="217" t="str">
        <f t="shared" si="7"/>
        <v>92300000[円]</v>
      </c>
      <c r="C469" s="216">
        <v>92300000</v>
      </c>
      <c r="D469" s="175" t="s">
        <v>235</v>
      </c>
      <c r="E469" s="175">
        <v>635.18725214522897</v>
      </c>
      <c r="F469" s="175" t="s">
        <v>265</v>
      </c>
      <c r="G469" s="175" t="s">
        <v>2849</v>
      </c>
    </row>
    <row r="470" spans="1:7">
      <c r="A470" s="175" t="s">
        <v>2850</v>
      </c>
      <c r="B470" s="217" t="str">
        <f t="shared" si="7"/>
        <v>92311000[円]</v>
      </c>
      <c r="C470" s="216">
        <v>92311000</v>
      </c>
      <c r="D470" s="175" t="s">
        <v>235</v>
      </c>
      <c r="E470" s="175">
        <v>543.54244766612499</v>
      </c>
      <c r="F470" s="175" t="s">
        <v>265</v>
      </c>
      <c r="G470" s="175" t="s">
        <v>471</v>
      </c>
    </row>
    <row r="471" spans="1:7">
      <c r="A471" s="175" t="s">
        <v>2851</v>
      </c>
      <c r="B471" s="217" t="str">
        <f t="shared" si="7"/>
        <v>92312000[円]</v>
      </c>
      <c r="C471" s="216">
        <v>92312000</v>
      </c>
      <c r="D471" s="175" t="s">
        <v>235</v>
      </c>
      <c r="E471" s="175">
        <v>647.85289525983103</v>
      </c>
      <c r="F471" s="175" t="s">
        <v>265</v>
      </c>
      <c r="G471" s="175" t="s">
        <v>2852</v>
      </c>
    </row>
    <row r="472" spans="1:7">
      <c r="A472" s="175" t="s">
        <v>2853</v>
      </c>
      <c r="B472" s="217" t="str">
        <f t="shared" si="7"/>
        <v>92400000[円]</v>
      </c>
      <c r="C472" s="216">
        <v>92400000</v>
      </c>
      <c r="D472" s="175" t="s">
        <v>235</v>
      </c>
      <c r="E472" s="175">
        <v>941</v>
      </c>
      <c r="F472" s="175" t="s">
        <v>265</v>
      </c>
      <c r="G472" s="175" t="s">
        <v>2854</v>
      </c>
    </row>
    <row r="473" spans="1:7">
      <c r="A473" s="175" t="s">
        <v>2855</v>
      </c>
      <c r="B473" s="217" t="str">
        <f t="shared" si="7"/>
        <v>92411000[円]</v>
      </c>
      <c r="C473" s="216">
        <v>92411000</v>
      </c>
      <c r="D473" s="175" t="s">
        <v>235</v>
      </c>
      <c r="E473" s="175">
        <v>941</v>
      </c>
      <c r="F473" s="175" t="s">
        <v>265</v>
      </c>
      <c r="G473" s="175" t="s">
        <v>472</v>
      </c>
    </row>
    <row r="474" spans="1:7">
      <c r="A474" s="175" t="s">
        <v>2856</v>
      </c>
      <c r="B474" s="217" t="str">
        <f t="shared" si="7"/>
        <v>92500000[円]</v>
      </c>
      <c r="C474" s="216">
        <v>92500000</v>
      </c>
      <c r="D474" s="175" t="s">
        <v>235</v>
      </c>
      <c r="E474" s="175">
        <v>541.09056737286596</v>
      </c>
      <c r="F474" s="175" t="s">
        <v>265</v>
      </c>
      <c r="G474" s="175" t="s">
        <v>2857</v>
      </c>
    </row>
    <row r="475" spans="1:7">
      <c r="A475" s="175" t="s">
        <v>2858</v>
      </c>
      <c r="B475" s="217" t="str">
        <f t="shared" si="7"/>
        <v>92511000[円]</v>
      </c>
      <c r="C475" s="216">
        <v>92511000</v>
      </c>
      <c r="D475" s="175" t="s">
        <v>235</v>
      </c>
      <c r="E475" s="175">
        <v>541.09056737286596</v>
      </c>
      <c r="F475" s="175" t="s">
        <v>265</v>
      </c>
      <c r="G475" s="175" t="s">
        <v>473</v>
      </c>
    </row>
    <row r="476" spans="1:7">
      <c r="A476" s="175" t="s">
        <v>2859</v>
      </c>
      <c r="B476" s="217" t="str">
        <f t="shared" si="7"/>
        <v>92600000[円]</v>
      </c>
      <c r="C476" s="216">
        <v>92600000</v>
      </c>
      <c r="D476" s="175" t="s">
        <v>235</v>
      </c>
      <c r="E476" s="175">
        <v>814.58820774155504</v>
      </c>
      <c r="F476" s="175" t="s">
        <v>265</v>
      </c>
      <c r="G476" s="175" t="s">
        <v>2860</v>
      </c>
    </row>
    <row r="477" spans="1:7">
      <c r="A477" s="175" t="s">
        <v>2861</v>
      </c>
      <c r="B477" s="217" t="str">
        <f t="shared" si="7"/>
        <v>92611000[円]</v>
      </c>
      <c r="C477" s="216">
        <v>92611000</v>
      </c>
      <c r="D477" s="175" t="s">
        <v>235</v>
      </c>
      <c r="E477" s="175">
        <v>814.58820774155504</v>
      </c>
      <c r="F477" s="175" t="s">
        <v>265</v>
      </c>
      <c r="G477" s="175" t="s">
        <v>474</v>
      </c>
    </row>
    <row r="478" spans="1:7">
      <c r="A478" s="175" t="s">
        <v>2862</v>
      </c>
      <c r="B478" s="217" t="str">
        <f t="shared" si="7"/>
        <v>92900000[円]</v>
      </c>
      <c r="C478" s="216">
        <v>92900000</v>
      </c>
      <c r="D478" s="175" t="s">
        <v>235</v>
      </c>
      <c r="E478" s="175">
        <v>1228.6793130711901</v>
      </c>
      <c r="F478" s="175" t="s">
        <v>265</v>
      </c>
      <c r="G478" s="175" t="s">
        <v>2863</v>
      </c>
    </row>
    <row r="479" spans="1:7">
      <c r="A479" s="175" t="s">
        <v>2864</v>
      </c>
      <c r="B479" s="217" t="str">
        <f t="shared" si="7"/>
        <v>92911000[円]</v>
      </c>
      <c r="C479" s="216">
        <v>92911000</v>
      </c>
      <c r="D479" s="175" t="s">
        <v>235</v>
      </c>
      <c r="E479" s="175">
        <v>1473.3691076216301</v>
      </c>
      <c r="F479" s="175" t="s">
        <v>265</v>
      </c>
      <c r="G479" s="175" t="s">
        <v>2865</v>
      </c>
    </row>
    <row r="480" spans="1:7">
      <c r="A480" s="175" t="s">
        <v>2866</v>
      </c>
      <c r="B480" s="217" t="str">
        <f t="shared" si="7"/>
        <v>92919000[円]</v>
      </c>
      <c r="C480" s="216">
        <v>92919000</v>
      </c>
      <c r="D480" s="175" t="s">
        <v>235</v>
      </c>
      <c r="E480" s="175">
        <v>1187.7371653390601</v>
      </c>
      <c r="F480" s="175" t="s">
        <v>265</v>
      </c>
      <c r="G480" s="175" t="s">
        <v>2867</v>
      </c>
    </row>
    <row r="481" spans="1:7">
      <c r="A481" s="175" t="s">
        <v>2868</v>
      </c>
      <c r="B481" s="217" t="str">
        <f t="shared" si="7"/>
        <v>93100000[円]</v>
      </c>
      <c r="C481" s="216">
        <v>93100000</v>
      </c>
      <c r="D481" s="175" t="s">
        <v>235</v>
      </c>
      <c r="E481" s="175">
        <v>411.05867060646699</v>
      </c>
      <c r="F481" s="175" t="s">
        <v>265</v>
      </c>
      <c r="G481" s="175" t="s">
        <v>2869</v>
      </c>
    </row>
    <row r="482" spans="1:7">
      <c r="A482" s="175" t="s">
        <v>2870</v>
      </c>
      <c r="B482" s="217" t="str">
        <f t="shared" si="7"/>
        <v>93111000[円]</v>
      </c>
      <c r="C482" s="216">
        <v>93111000</v>
      </c>
      <c r="D482" s="175" t="s">
        <v>235</v>
      </c>
      <c r="E482" s="175">
        <v>377.96723058478801</v>
      </c>
      <c r="F482" s="175" t="s">
        <v>265</v>
      </c>
      <c r="G482" s="175" t="s">
        <v>2871</v>
      </c>
    </row>
    <row r="483" spans="1:7">
      <c r="A483" s="175" t="s">
        <v>2872</v>
      </c>
      <c r="B483" s="217" t="str">
        <f t="shared" si="7"/>
        <v>93112000[円]</v>
      </c>
      <c r="C483" s="216">
        <v>93112000</v>
      </c>
      <c r="D483" s="175" t="s">
        <v>235</v>
      </c>
      <c r="E483" s="175">
        <v>430.42549696073598</v>
      </c>
      <c r="F483" s="175" t="s">
        <v>265</v>
      </c>
      <c r="G483" s="175" t="s">
        <v>2873</v>
      </c>
    </row>
    <row r="484" spans="1:7">
      <c r="A484" s="175" t="s">
        <v>2874</v>
      </c>
      <c r="B484" s="217" t="str">
        <f t="shared" si="7"/>
        <v>93119000[円]</v>
      </c>
      <c r="C484" s="216">
        <v>93119000</v>
      </c>
      <c r="D484" s="175" t="s">
        <v>235</v>
      </c>
      <c r="E484" s="175">
        <v>519.19677107308496</v>
      </c>
      <c r="F484" s="175" t="s">
        <v>265</v>
      </c>
      <c r="G484" s="175" t="s">
        <v>2875</v>
      </c>
    </row>
    <row r="485" spans="1:7">
      <c r="A485" s="175" t="s">
        <v>2876</v>
      </c>
      <c r="B485" s="217" t="str">
        <f t="shared" si="7"/>
        <v>93121000[円]</v>
      </c>
      <c r="C485" s="216">
        <v>93121000</v>
      </c>
      <c r="D485" s="175" t="s">
        <v>235</v>
      </c>
      <c r="E485" s="175">
        <v>263.36619034552598</v>
      </c>
      <c r="F485" s="175" t="s">
        <v>265</v>
      </c>
      <c r="G485" s="175" t="s">
        <v>475</v>
      </c>
    </row>
    <row r="486" spans="1:7">
      <c r="A486" s="175" t="s">
        <v>2877</v>
      </c>
      <c r="B486" s="217" t="str">
        <f t="shared" si="7"/>
        <v>93129000[円]</v>
      </c>
      <c r="C486" s="216">
        <v>93129000</v>
      </c>
      <c r="D486" s="175" t="s">
        <v>235</v>
      </c>
      <c r="E486" s="175">
        <v>452.53782965845198</v>
      </c>
      <c r="F486" s="175" t="s">
        <v>265</v>
      </c>
      <c r="G486" s="175" t="s">
        <v>476</v>
      </c>
    </row>
    <row r="487" spans="1:7">
      <c r="A487" s="175" t="s">
        <v>2878</v>
      </c>
      <c r="B487" s="217" t="str">
        <f t="shared" si="7"/>
        <v>93200000[円]</v>
      </c>
      <c r="C487" s="216">
        <v>93200000</v>
      </c>
      <c r="D487" s="175" t="s">
        <v>235</v>
      </c>
      <c r="E487" s="175">
        <v>439.488793874642</v>
      </c>
      <c r="F487" s="175" t="s">
        <v>265</v>
      </c>
      <c r="G487" s="175" t="s">
        <v>2879</v>
      </c>
    </row>
    <row r="488" spans="1:7">
      <c r="A488" s="175" t="s">
        <v>2880</v>
      </c>
      <c r="B488" s="217" t="str">
        <f t="shared" si="7"/>
        <v>93211000[円]</v>
      </c>
      <c r="C488" s="216">
        <v>93211000</v>
      </c>
      <c r="D488" s="175" t="s">
        <v>235</v>
      </c>
      <c r="E488" s="175">
        <v>439.488793874642</v>
      </c>
      <c r="F488" s="175" t="s">
        <v>265</v>
      </c>
      <c r="G488" s="175" t="s">
        <v>2881</v>
      </c>
    </row>
    <row r="489" spans="1:7">
      <c r="A489" s="175" t="s">
        <v>2882</v>
      </c>
      <c r="B489" s="217" t="str">
        <f t="shared" si="7"/>
        <v>94100000[円]</v>
      </c>
      <c r="C489" s="216">
        <v>94100000</v>
      </c>
      <c r="D489" s="175" t="s">
        <v>235</v>
      </c>
      <c r="E489" s="175">
        <v>252.95302520690799</v>
      </c>
      <c r="F489" s="175" t="s">
        <v>265</v>
      </c>
      <c r="G489" s="175" t="s">
        <v>2883</v>
      </c>
    </row>
    <row r="490" spans="1:7">
      <c r="A490" s="175" t="s">
        <v>2884</v>
      </c>
      <c r="B490" s="217" t="str">
        <f t="shared" si="7"/>
        <v>94111000[円]</v>
      </c>
      <c r="C490" s="216">
        <v>94111000</v>
      </c>
      <c r="D490" s="175" t="s">
        <v>235</v>
      </c>
      <c r="E490" s="175">
        <v>252.95302520690799</v>
      </c>
      <c r="F490" s="175" t="s">
        <v>265</v>
      </c>
      <c r="G490" s="175" t="s">
        <v>2885</v>
      </c>
    </row>
    <row r="491" spans="1:7">
      <c r="A491" s="175" t="s">
        <v>2886</v>
      </c>
      <c r="B491" s="217" t="str">
        <f t="shared" si="7"/>
        <v>94200000[円]</v>
      </c>
      <c r="C491" s="216">
        <v>94200000</v>
      </c>
      <c r="D491" s="175" t="s">
        <v>400</v>
      </c>
      <c r="E491" s="175">
        <v>189.48394065612101</v>
      </c>
      <c r="F491" s="175" t="s">
        <v>265</v>
      </c>
      <c r="G491" s="175" t="s">
        <v>2887</v>
      </c>
    </row>
    <row r="492" spans="1:7">
      <c r="A492" s="175" t="s">
        <v>2888</v>
      </c>
      <c r="B492" s="217" t="str">
        <f t="shared" si="7"/>
        <v>94211000[円]</v>
      </c>
      <c r="C492" s="216">
        <v>94211000</v>
      </c>
      <c r="D492" s="175" t="s">
        <v>400</v>
      </c>
      <c r="E492" s="175">
        <v>189.48394065612101</v>
      </c>
      <c r="F492" s="175" t="s">
        <v>265</v>
      </c>
      <c r="G492" s="175" t="s">
        <v>477</v>
      </c>
    </row>
    <row r="493" spans="1:7">
      <c r="A493" s="175" t="s">
        <v>2889</v>
      </c>
      <c r="B493" s="217" t="str">
        <f t="shared" si="7"/>
        <v>94211202[円]</v>
      </c>
      <c r="C493" s="216">
        <v>94211202</v>
      </c>
      <c r="D493" s="175" t="s">
        <v>235</v>
      </c>
      <c r="E493" s="175">
        <v>17685</v>
      </c>
      <c r="F493" s="175" t="s">
        <v>265</v>
      </c>
      <c r="G493" s="175" t="s">
        <v>2890</v>
      </c>
    </row>
    <row r="494" spans="1:7">
      <c r="A494" s="175" t="s">
        <v>2889</v>
      </c>
      <c r="B494" s="217" t="str">
        <f t="shared" si="7"/>
        <v>94211202[L]</v>
      </c>
      <c r="C494" s="216">
        <v>94211202</v>
      </c>
      <c r="D494" s="175" t="s">
        <v>235</v>
      </c>
      <c r="E494" s="175">
        <v>1</v>
      </c>
      <c r="F494" s="175" t="s">
        <v>400</v>
      </c>
      <c r="G494" s="175" t="s">
        <v>2890</v>
      </c>
    </row>
    <row r="495" spans="1:7">
      <c r="A495" s="175" t="s">
        <v>2891</v>
      </c>
      <c r="B495" s="217" t="str">
        <f t="shared" si="7"/>
        <v>94211203[kg]</v>
      </c>
      <c r="C495" s="216">
        <v>94211203</v>
      </c>
      <c r="D495" s="175" t="s">
        <v>400</v>
      </c>
      <c r="E495" s="175">
        <v>0.84745762711864403</v>
      </c>
      <c r="F495" s="175" t="s">
        <v>235</v>
      </c>
      <c r="G495" s="175" t="s">
        <v>478</v>
      </c>
    </row>
    <row r="496" spans="1:7">
      <c r="A496" s="175" t="s">
        <v>2891</v>
      </c>
      <c r="B496" s="217" t="str">
        <f t="shared" si="7"/>
        <v>94211203[円]</v>
      </c>
      <c r="C496" s="216">
        <v>94211203</v>
      </c>
      <c r="D496" s="175" t="s">
        <v>400</v>
      </c>
      <c r="E496" s="175">
        <v>203</v>
      </c>
      <c r="F496" s="175" t="s">
        <v>265</v>
      </c>
      <c r="G496" s="175" t="s">
        <v>478</v>
      </c>
    </row>
    <row r="497" spans="1:7">
      <c r="A497" s="175" t="s">
        <v>2892</v>
      </c>
      <c r="B497" s="217" t="str">
        <f t="shared" si="7"/>
        <v>94300000[円]</v>
      </c>
      <c r="C497" s="216">
        <v>94300000</v>
      </c>
      <c r="D497" s="175" t="s">
        <v>235</v>
      </c>
      <c r="E497" s="175">
        <v>457.06476373931099</v>
      </c>
      <c r="F497" s="175" t="s">
        <v>265</v>
      </c>
      <c r="G497" s="175" t="s">
        <v>2893</v>
      </c>
    </row>
    <row r="498" spans="1:7">
      <c r="A498" s="175" t="s">
        <v>2894</v>
      </c>
      <c r="B498" s="217" t="str">
        <f t="shared" si="7"/>
        <v>94311000[円]</v>
      </c>
      <c r="C498" s="216">
        <v>94311000</v>
      </c>
      <c r="D498" s="175" t="s">
        <v>235</v>
      </c>
      <c r="E498" s="175">
        <v>457.06476373931099</v>
      </c>
      <c r="F498" s="175" t="s">
        <v>265</v>
      </c>
      <c r="G498" s="175" t="s">
        <v>479</v>
      </c>
    </row>
    <row r="499" spans="1:7">
      <c r="A499" s="175" t="s">
        <v>2895</v>
      </c>
      <c r="B499" s="217" t="str">
        <f t="shared" si="7"/>
        <v>94400000[kg]</v>
      </c>
      <c r="C499" s="216">
        <v>94400000</v>
      </c>
      <c r="D499" s="175" t="s">
        <v>265</v>
      </c>
      <c r="E499" s="175">
        <v>2.2467462964865801E-3</v>
      </c>
      <c r="F499" s="175" t="s">
        <v>235</v>
      </c>
      <c r="G499" s="175" t="s">
        <v>2896</v>
      </c>
    </row>
    <row r="500" spans="1:7">
      <c r="A500" s="175" t="s">
        <v>2897</v>
      </c>
      <c r="B500" s="217" t="str">
        <f t="shared" si="7"/>
        <v>94411000[円]</v>
      </c>
      <c r="C500" s="216">
        <v>94411000</v>
      </c>
      <c r="D500" s="175" t="s">
        <v>400</v>
      </c>
      <c r="E500" s="175">
        <v>346.28257072753399</v>
      </c>
      <c r="F500" s="175" t="s">
        <v>265</v>
      </c>
      <c r="G500" s="175" t="s">
        <v>480</v>
      </c>
    </row>
    <row r="501" spans="1:7">
      <c r="A501" s="175" t="s">
        <v>2898</v>
      </c>
      <c r="B501" s="217" t="str">
        <f t="shared" si="7"/>
        <v>94419000[円]</v>
      </c>
      <c r="C501" s="216">
        <v>94419000</v>
      </c>
      <c r="D501" s="175" t="s">
        <v>235</v>
      </c>
      <c r="E501" s="175">
        <v>440.87524985756897</v>
      </c>
      <c r="F501" s="175" t="s">
        <v>265</v>
      </c>
      <c r="G501" s="175" t="s">
        <v>481</v>
      </c>
    </row>
    <row r="502" spans="1:7">
      <c r="A502" s="175" t="s">
        <v>2899</v>
      </c>
      <c r="B502" s="217" t="str">
        <f t="shared" si="7"/>
        <v>94500000[円]</v>
      </c>
      <c r="C502" s="216">
        <v>94500000</v>
      </c>
      <c r="D502" s="175" t="s">
        <v>400</v>
      </c>
      <c r="E502" s="175">
        <v>161.01272656519799</v>
      </c>
      <c r="F502" s="175" t="s">
        <v>265</v>
      </c>
      <c r="G502" s="175" t="s">
        <v>2900</v>
      </c>
    </row>
    <row r="503" spans="1:7">
      <c r="A503" s="175" t="s">
        <v>2901</v>
      </c>
      <c r="B503" s="217" t="str">
        <f t="shared" si="7"/>
        <v>94511000[円]</v>
      </c>
      <c r="C503" s="216">
        <v>94511000</v>
      </c>
      <c r="D503" s="175" t="s">
        <v>400</v>
      </c>
      <c r="E503" s="175">
        <v>161.01272656519799</v>
      </c>
      <c r="F503" s="175" t="s">
        <v>265</v>
      </c>
      <c r="G503" s="175" t="s">
        <v>483</v>
      </c>
    </row>
    <row r="504" spans="1:7">
      <c r="A504" s="175" t="s">
        <v>2902</v>
      </c>
      <c r="B504" s="217" t="str">
        <f t="shared" si="7"/>
        <v>94900000[円]</v>
      </c>
      <c r="C504" s="216">
        <v>94900000</v>
      </c>
      <c r="D504" s="175" t="s">
        <v>235</v>
      </c>
      <c r="E504" s="175">
        <v>605.56636695371196</v>
      </c>
      <c r="F504" s="175" t="s">
        <v>265</v>
      </c>
      <c r="G504" s="175" t="s">
        <v>2903</v>
      </c>
    </row>
    <row r="505" spans="1:7">
      <c r="A505" s="175" t="s">
        <v>2904</v>
      </c>
      <c r="B505" s="217" t="str">
        <f t="shared" si="7"/>
        <v>94911000[円]</v>
      </c>
      <c r="C505" s="216">
        <v>94911000</v>
      </c>
      <c r="D505" s="175" t="s">
        <v>235</v>
      </c>
      <c r="E505" s="175">
        <v>962.77495769881602</v>
      </c>
      <c r="F505" s="175" t="s">
        <v>265</v>
      </c>
      <c r="G505" s="175" t="s">
        <v>484</v>
      </c>
    </row>
    <row r="506" spans="1:7">
      <c r="A506" s="175" t="s">
        <v>2905</v>
      </c>
      <c r="B506" s="217" t="str">
        <f t="shared" si="7"/>
        <v>94912000[円]</v>
      </c>
      <c r="C506" s="216">
        <v>94912000</v>
      </c>
      <c r="D506" s="175" t="s">
        <v>235</v>
      </c>
      <c r="E506" s="175">
        <v>798.68595243932305</v>
      </c>
      <c r="F506" s="175" t="s">
        <v>265</v>
      </c>
      <c r="G506" s="175" t="s">
        <v>485</v>
      </c>
    </row>
    <row r="507" spans="1:7">
      <c r="A507" s="175" t="s">
        <v>2906</v>
      </c>
      <c r="B507" s="217" t="str">
        <f t="shared" si="7"/>
        <v>94919000[L]</v>
      </c>
      <c r="C507" s="216">
        <v>94919000</v>
      </c>
      <c r="D507" s="175" t="s">
        <v>235</v>
      </c>
      <c r="E507" s="175">
        <v>0.79400000000000004</v>
      </c>
      <c r="F507" s="175" t="s">
        <v>400</v>
      </c>
      <c r="G507" s="175" t="s">
        <v>2907</v>
      </c>
    </row>
    <row r="508" spans="1:7">
      <c r="A508" s="175" t="s">
        <v>2906</v>
      </c>
      <c r="B508" s="217" t="str">
        <f t="shared" si="7"/>
        <v>94919000[円]</v>
      </c>
      <c r="C508" s="216">
        <v>94919000</v>
      </c>
      <c r="D508" s="175" t="s">
        <v>235</v>
      </c>
      <c r="E508" s="175">
        <v>573.89674187437504</v>
      </c>
      <c r="F508" s="175" t="s">
        <v>265</v>
      </c>
      <c r="G508" s="175" t="s">
        <v>2907</v>
      </c>
    </row>
    <row r="509" spans="1:7">
      <c r="A509" s="175" t="s">
        <v>2908</v>
      </c>
      <c r="B509" s="217" t="str">
        <f t="shared" si="7"/>
        <v>95100000[円]</v>
      </c>
      <c r="C509" s="216">
        <v>95100000</v>
      </c>
      <c r="D509" s="175" t="s">
        <v>235</v>
      </c>
      <c r="E509" s="175">
        <v>51.28</v>
      </c>
      <c r="F509" s="175" t="s">
        <v>265</v>
      </c>
      <c r="G509" s="175" t="s">
        <v>2909</v>
      </c>
    </row>
    <row r="510" spans="1:7">
      <c r="A510" s="175" t="s">
        <v>2910</v>
      </c>
      <c r="B510" s="217" t="str">
        <f t="shared" si="7"/>
        <v>95111000[円]</v>
      </c>
      <c r="C510" s="216">
        <v>95111000</v>
      </c>
      <c r="D510" s="175" t="s">
        <v>235</v>
      </c>
      <c r="E510" s="175">
        <v>51.28</v>
      </c>
      <c r="F510" s="175" t="s">
        <v>265</v>
      </c>
      <c r="G510" s="175" t="s">
        <v>2911</v>
      </c>
    </row>
    <row r="511" spans="1:7">
      <c r="A511" s="175" t="s">
        <v>2912</v>
      </c>
      <c r="B511" s="217" t="str">
        <f t="shared" si="7"/>
        <v>95111200[円]</v>
      </c>
      <c r="C511" s="216">
        <v>95111200</v>
      </c>
      <c r="D511" s="175" t="s">
        <v>235</v>
      </c>
      <c r="E511" s="175">
        <v>20.6</v>
      </c>
      <c r="F511" s="175" t="s">
        <v>265</v>
      </c>
      <c r="G511" s="175" t="s">
        <v>2913</v>
      </c>
    </row>
    <row r="512" spans="1:7">
      <c r="A512" s="175" t="s">
        <v>2914</v>
      </c>
      <c r="B512" s="217" t="str">
        <f t="shared" si="7"/>
        <v>95111201[円]</v>
      </c>
      <c r="C512" s="216">
        <v>95111201</v>
      </c>
      <c r="D512" s="175" t="s">
        <v>235</v>
      </c>
      <c r="E512" s="175">
        <v>8.6999999999999993</v>
      </c>
      <c r="F512" s="175" t="s">
        <v>265</v>
      </c>
      <c r="G512" s="175" t="s">
        <v>2915</v>
      </c>
    </row>
    <row r="513" spans="1:7">
      <c r="A513" s="175" t="s">
        <v>2916</v>
      </c>
      <c r="B513" s="217" t="str">
        <f t="shared" si="7"/>
        <v>95200000[円]</v>
      </c>
      <c r="C513" s="216">
        <v>95200000</v>
      </c>
      <c r="D513" s="175" t="s">
        <v>235</v>
      </c>
      <c r="E513" s="175">
        <v>121.85610399762299</v>
      </c>
      <c r="F513" s="175" t="s">
        <v>265</v>
      </c>
      <c r="G513" s="175" t="s">
        <v>2917</v>
      </c>
    </row>
    <row r="514" spans="1:7">
      <c r="A514" s="175" t="s">
        <v>2918</v>
      </c>
      <c r="B514" s="217" t="str">
        <f t="shared" ref="B514:B577" si="8">C514&amp;"["&amp;F514&amp;"]"</f>
        <v>95211000[円]</v>
      </c>
      <c r="C514" s="216">
        <v>95211000</v>
      </c>
      <c r="D514" s="175" t="s">
        <v>235</v>
      </c>
      <c r="E514" s="175">
        <v>121.85610399762299</v>
      </c>
      <c r="F514" s="175" t="s">
        <v>265</v>
      </c>
      <c r="G514" s="175" t="s">
        <v>486</v>
      </c>
    </row>
    <row r="515" spans="1:7">
      <c r="A515" s="175" t="s">
        <v>2919</v>
      </c>
      <c r="B515" s="217" t="str">
        <f t="shared" si="8"/>
        <v>95300000[円]</v>
      </c>
      <c r="C515" s="216">
        <v>95300000</v>
      </c>
      <c r="D515" s="175" t="s">
        <v>235</v>
      </c>
      <c r="E515" s="175">
        <v>91.734196178361103</v>
      </c>
      <c r="F515" s="175" t="s">
        <v>265</v>
      </c>
      <c r="G515" s="175" t="s">
        <v>2920</v>
      </c>
    </row>
    <row r="516" spans="1:7">
      <c r="A516" s="175" t="s">
        <v>2921</v>
      </c>
      <c r="B516" s="217" t="str">
        <f t="shared" si="8"/>
        <v>95311000[円]</v>
      </c>
      <c r="C516" s="216">
        <v>95311000</v>
      </c>
      <c r="D516" s="175" t="s">
        <v>235</v>
      </c>
      <c r="E516" s="175">
        <v>68.668645095411307</v>
      </c>
      <c r="F516" s="175" t="s">
        <v>265</v>
      </c>
      <c r="G516" s="175" t="s">
        <v>487</v>
      </c>
    </row>
    <row r="517" spans="1:7">
      <c r="A517" s="175" t="s">
        <v>2922</v>
      </c>
      <c r="B517" s="217" t="str">
        <f t="shared" si="8"/>
        <v>95312000[円]</v>
      </c>
      <c r="C517" s="216">
        <v>95312000</v>
      </c>
      <c r="D517" s="175" t="s">
        <v>235</v>
      </c>
      <c r="E517" s="175">
        <v>77.132883305097096</v>
      </c>
      <c r="F517" s="175" t="s">
        <v>265</v>
      </c>
      <c r="G517" s="175" t="s">
        <v>488</v>
      </c>
    </row>
    <row r="518" spans="1:7">
      <c r="A518" s="175" t="s">
        <v>2923</v>
      </c>
      <c r="B518" s="217" t="str">
        <f t="shared" si="8"/>
        <v>95313000[円]</v>
      </c>
      <c r="C518" s="216">
        <v>95313000</v>
      </c>
      <c r="D518" s="175" t="s">
        <v>235</v>
      </c>
      <c r="E518" s="175">
        <v>112.966666666667</v>
      </c>
      <c r="F518" s="175" t="s">
        <v>265</v>
      </c>
      <c r="G518" s="175" t="s">
        <v>489</v>
      </c>
    </row>
    <row r="519" spans="1:7">
      <c r="A519" s="175" t="s">
        <v>2924</v>
      </c>
      <c r="B519" s="217" t="str">
        <f t="shared" si="8"/>
        <v>96100000[円]</v>
      </c>
      <c r="C519" s="216">
        <v>96100000</v>
      </c>
      <c r="D519" s="175" t="s">
        <v>235</v>
      </c>
      <c r="E519" s="175">
        <v>284.04820780718501</v>
      </c>
      <c r="F519" s="175" t="s">
        <v>265</v>
      </c>
      <c r="G519" s="175" t="s">
        <v>2925</v>
      </c>
    </row>
    <row r="520" spans="1:7">
      <c r="A520" s="175" t="s">
        <v>2926</v>
      </c>
      <c r="B520" s="217" t="str">
        <f t="shared" si="8"/>
        <v>96111000[円]</v>
      </c>
      <c r="C520" s="216">
        <v>96111000</v>
      </c>
      <c r="D520" s="175" t="s">
        <v>235</v>
      </c>
      <c r="E520" s="175">
        <v>284.04820780718501</v>
      </c>
      <c r="F520" s="175" t="s">
        <v>265</v>
      </c>
      <c r="G520" s="175" t="s">
        <v>490</v>
      </c>
    </row>
    <row r="521" spans="1:7">
      <c r="A521" s="175" t="s">
        <v>2927</v>
      </c>
      <c r="B521" s="217" t="str">
        <f t="shared" si="8"/>
        <v>96200000[円]</v>
      </c>
      <c r="C521" s="216">
        <v>96200000</v>
      </c>
      <c r="D521" s="175" t="s">
        <v>235</v>
      </c>
      <c r="E521" s="175">
        <v>89.423008619056603</v>
      </c>
      <c r="F521" s="175" t="s">
        <v>265</v>
      </c>
      <c r="G521" s="175" t="s">
        <v>2928</v>
      </c>
    </row>
    <row r="522" spans="1:7">
      <c r="A522" s="175" t="s">
        <v>2929</v>
      </c>
      <c r="B522" s="217" t="str">
        <f t="shared" si="8"/>
        <v>96211000[円]</v>
      </c>
      <c r="C522" s="216">
        <v>96211000</v>
      </c>
      <c r="D522" s="175" t="s">
        <v>235</v>
      </c>
      <c r="E522" s="175">
        <v>89.423008619056603</v>
      </c>
      <c r="F522" s="175" t="s">
        <v>265</v>
      </c>
      <c r="G522" s="175" t="s">
        <v>491</v>
      </c>
    </row>
    <row r="523" spans="1:7">
      <c r="A523" s="175" t="s">
        <v>2930</v>
      </c>
      <c r="B523" s="217" t="str">
        <f t="shared" si="8"/>
        <v>96300000[円]</v>
      </c>
      <c r="C523" s="216">
        <v>96300000</v>
      </c>
      <c r="D523" s="175" t="s">
        <v>235</v>
      </c>
      <c r="E523" s="175">
        <v>78.511074688144106</v>
      </c>
      <c r="F523" s="175" t="s">
        <v>265</v>
      </c>
      <c r="G523" s="175" t="s">
        <v>2931</v>
      </c>
    </row>
    <row r="524" spans="1:7">
      <c r="A524" s="175" t="s">
        <v>2932</v>
      </c>
      <c r="B524" s="217" t="str">
        <f t="shared" si="8"/>
        <v>96311000[円]</v>
      </c>
      <c r="C524" s="216">
        <v>96311000</v>
      </c>
      <c r="D524" s="175" t="s">
        <v>235</v>
      </c>
      <c r="E524" s="175">
        <v>78.511074688144106</v>
      </c>
      <c r="F524" s="175" t="s">
        <v>265</v>
      </c>
      <c r="G524" s="175" t="s">
        <v>492</v>
      </c>
    </row>
    <row r="525" spans="1:7">
      <c r="A525" s="175" t="s">
        <v>2933</v>
      </c>
      <c r="B525" s="217" t="str">
        <f t="shared" si="8"/>
        <v>96900000[円]</v>
      </c>
      <c r="C525" s="216">
        <v>96900000</v>
      </c>
      <c r="D525" s="175" t="s">
        <v>235</v>
      </c>
      <c r="E525" s="175">
        <v>393.32393890778201</v>
      </c>
      <c r="F525" s="175" t="s">
        <v>265</v>
      </c>
      <c r="G525" s="175" t="s">
        <v>2934</v>
      </c>
    </row>
    <row r="526" spans="1:7">
      <c r="A526" s="175" t="s">
        <v>2935</v>
      </c>
      <c r="B526" s="217" t="str">
        <f t="shared" si="8"/>
        <v>96911000[円]</v>
      </c>
      <c r="C526" s="216">
        <v>96911000</v>
      </c>
      <c r="D526" s="175" t="s">
        <v>235</v>
      </c>
      <c r="E526" s="175">
        <v>2442.62606819552</v>
      </c>
      <c r="F526" s="175" t="s">
        <v>265</v>
      </c>
      <c r="G526" s="175" t="s">
        <v>493</v>
      </c>
    </row>
    <row r="527" spans="1:7">
      <c r="A527" s="175" t="s">
        <v>2936</v>
      </c>
      <c r="B527" s="217" t="str">
        <f t="shared" si="8"/>
        <v>96919000[円]</v>
      </c>
      <c r="C527" s="216">
        <v>96919000</v>
      </c>
      <c r="D527" s="175" t="s">
        <v>235</v>
      </c>
      <c r="E527" s="175">
        <v>365.7630327</v>
      </c>
      <c r="F527" s="175" t="s">
        <v>265</v>
      </c>
      <c r="G527" s="175" t="s">
        <v>2937</v>
      </c>
    </row>
    <row r="528" spans="1:7">
      <c r="A528" s="175" t="s">
        <v>2938</v>
      </c>
      <c r="B528" s="217" t="str">
        <f t="shared" si="8"/>
        <v>97100000[円]</v>
      </c>
      <c r="C528" s="216">
        <v>97100000</v>
      </c>
      <c r="D528" s="175" t="s">
        <v>495</v>
      </c>
      <c r="E528" s="175">
        <v>700.51225207878394</v>
      </c>
      <c r="F528" s="175" t="s">
        <v>265</v>
      </c>
      <c r="G528" s="175" t="s">
        <v>2939</v>
      </c>
    </row>
    <row r="529" spans="1:7">
      <c r="A529" s="175" t="s">
        <v>2940</v>
      </c>
      <c r="B529" s="217" t="str">
        <f t="shared" si="8"/>
        <v>97111000[kg]</v>
      </c>
      <c r="C529" s="216">
        <v>97111000</v>
      </c>
      <c r="D529" s="175" t="s">
        <v>495</v>
      </c>
      <c r="E529" s="175">
        <v>1.5</v>
      </c>
      <c r="F529" s="175" t="s">
        <v>235</v>
      </c>
      <c r="G529" s="175" t="s">
        <v>494</v>
      </c>
    </row>
    <row r="530" spans="1:7">
      <c r="A530" s="175" t="s">
        <v>2940</v>
      </c>
      <c r="B530" s="217" t="str">
        <f t="shared" si="8"/>
        <v>97111000[円]</v>
      </c>
      <c r="C530" s="216">
        <v>97111000</v>
      </c>
      <c r="D530" s="175" t="s">
        <v>495</v>
      </c>
      <c r="E530" s="175">
        <v>471.80118633156002</v>
      </c>
      <c r="F530" s="175" t="s">
        <v>265</v>
      </c>
      <c r="G530" s="175" t="s">
        <v>494</v>
      </c>
    </row>
    <row r="531" spans="1:7">
      <c r="A531" s="175" t="s">
        <v>2940</v>
      </c>
      <c r="B531" s="217" t="str">
        <f t="shared" si="8"/>
        <v>97111000[斤]</v>
      </c>
      <c r="C531" s="216">
        <v>97111000</v>
      </c>
      <c r="D531" s="175" t="s">
        <v>495</v>
      </c>
      <c r="E531" s="175">
        <v>4</v>
      </c>
      <c r="F531" s="175" t="s">
        <v>2941</v>
      </c>
      <c r="G531" s="175" t="s">
        <v>494</v>
      </c>
    </row>
    <row r="532" spans="1:7">
      <c r="A532" s="175" t="s">
        <v>2942</v>
      </c>
      <c r="B532" s="217" t="str">
        <f t="shared" si="8"/>
        <v>97112000[円]</v>
      </c>
      <c r="C532" s="216">
        <v>97112000</v>
      </c>
      <c r="D532" s="175" t="s">
        <v>495</v>
      </c>
      <c r="E532" s="175">
        <v>1051.81244906652</v>
      </c>
      <c r="F532" s="175" t="s">
        <v>265</v>
      </c>
      <c r="G532" s="175" t="s">
        <v>496</v>
      </c>
    </row>
    <row r="533" spans="1:7">
      <c r="A533" s="175" t="s">
        <v>2942</v>
      </c>
      <c r="B533" s="217" t="str">
        <f t="shared" si="8"/>
        <v>97112000[kg]</v>
      </c>
      <c r="C533" s="216">
        <v>97112000</v>
      </c>
      <c r="D533" s="175" t="s">
        <v>495</v>
      </c>
      <c r="E533" s="175">
        <v>2.5499999999999998</v>
      </c>
      <c r="F533" s="175" t="s">
        <v>235</v>
      </c>
      <c r="G533" s="175" t="s">
        <v>496</v>
      </c>
    </row>
    <row r="534" spans="1:7">
      <c r="A534" s="175" t="s">
        <v>2943</v>
      </c>
      <c r="B534" s="217" t="str">
        <f t="shared" si="8"/>
        <v>97200000[円]</v>
      </c>
      <c r="C534" s="216">
        <v>97200000</v>
      </c>
      <c r="D534" s="175" t="s">
        <v>235</v>
      </c>
      <c r="E534" s="175">
        <v>1438.80735005201</v>
      </c>
      <c r="F534" s="175" t="s">
        <v>265</v>
      </c>
      <c r="G534" s="175" t="s">
        <v>2944</v>
      </c>
    </row>
    <row r="535" spans="1:7">
      <c r="A535" s="175" t="s">
        <v>2945</v>
      </c>
      <c r="B535" s="217" t="str">
        <f t="shared" si="8"/>
        <v>97211000[円]</v>
      </c>
      <c r="C535" s="216">
        <v>97211000</v>
      </c>
      <c r="D535" s="175" t="s">
        <v>235</v>
      </c>
      <c r="E535" s="175">
        <v>1724.7193717782</v>
      </c>
      <c r="F535" s="175" t="s">
        <v>265</v>
      </c>
      <c r="G535" s="175" t="s">
        <v>497</v>
      </c>
    </row>
    <row r="536" spans="1:7">
      <c r="A536" s="175" t="s">
        <v>2946</v>
      </c>
      <c r="B536" s="217" t="str">
        <f t="shared" si="8"/>
        <v>97212000[円]</v>
      </c>
      <c r="C536" s="216">
        <v>97212000</v>
      </c>
      <c r="D536" s="175" t="s">
        <v>235</v>
      </c>
      <c r="E536" s="175">
        <v>1248.3553159398</v>
      </c>
      <c r="F536" s="175" t="s">
        <v>265</v>
      </c>
      <c r="G536" s="175" t="s">
        <v>498</v>
      </c>
    </row>
    <row r="537" spans="1:7">
      <c r="A537" s="175" t="s">
        <v>2947</v>
      </c>
      <c r="B537" s="217" t="str">
        <f t="shared" si="8"/>
        <v>97300000[円]</v>
      </c>
      <c r="C537" s="216">
        <v>97300000</v>
      </c>
      <c r="D537" s="175" t="s">
        <v>235</v>
      </c>
      <c r="E537" s="175">
        <v>897.42489270386295</v>
      </c>
      <c r="F537" s="175" t="s">
        <v>265</v>
      </c>
      <c r="G537" s="175" t="s">
        <v>2948</v>
      </c>
    </row>
    <row r="538" spans="1:7">
      <c r="A538" s="175" t="s">
        <v>2949</v>
      </c>
      <c r="B538" s="217" t="str">
        <f t="shared" si="8"/>
        <v>97311000[円]</v>
      </c>
      <c r="C538" s="216">
        <v>97311000</v>
      </c>
      <c r="D538" s="175" t="s">
        <v>235</v>
      </c>
      <c r="E538" s="175">
        <v>897.42489270386295</v>
      </c>
      <c r="F538" s="175" t="s">
        <v>265</v>
      </c>
      <c r="G538" s="175" t="s">
        <v>499</v>
      </c>
    </row>
    <row r="539" spans="1:7">
      <c r="A539" s="175" t="s">
        <v>2950</v>
      </c>
      <c r="B539" s="217" t="str">
        <f t="shared" si="8"/>
        <v>97400000[円]</v>
      </c>
      <c r="C539" s="216">
        <v>97400000</v>
      </c>
      <c r="D539" s="175" t="s">
        <v>235</v>
      </c>
      <c r="E539" s="175">
        <v>1099.19697685404</v>
      </c>
      <c r="F539" s="175" t="s">
        <v>265</v>
      </c>
      <c r="G539" s="175" t="s">
        <v>2951</v>
      </c>
    </row>
    <row r="540" spans="1:7">
      <c r="A540" s="175" t="s">
        <v>2952</v>
      </c>
      <c r="B540" s="217" t="str">
        <f t="shared" si="8"/>
        <v>97411000[円]</v>
      </c>
      <c r="C540" s="216">
        <v>97411000</v>
      </c>
      <c r="D540" s="175" t="s">
        <v>235</v>
      </c>
      <c r="E540" s="175">
        <v>1099.19697685404</v>
      </c>
      <c r="F540" s="175" t="s">
        <v>265</v>
      </c>
      <c r="G540" s="175" t="s">
        <v>500</v>
      </c>
    </row>
    <row r="541" spans="1:7">
      <c r="A541" s="175" t="s">
        <v>2953</v>
      </c>
      <c r="B541" s="217" t="str">
        <f t="shared" si="8"/>
        <v>97900000[円]</v>
      </c>
      <c r="C541" s="216">
        <v>97900000</v>
      </c>
      <c r="D541" s="175" t="s">
        <v>235</v>
      </c>
      <c r="E541" s="175">
        <v>954.82009078734802</v>
      </c>
      <c r="F541" s="175" t="s">
        <v>265</v>
      </c>
      <c r="G541" s="175" t="s">
        <v>2954</v>
      </c>
    </row>
    <row r="542" spans="1:7">
      <c r="A542" s="175" t="s">
        <v>2955</v>
      </c>
      <c r="B542" s="217" t="str">
        <f t="shared" si="8"/>
        <v>97911000[円]</v>
      </c>
      <c r="C542" s="216">
        <v>97911000</v>
      </c>
      <c r="D542" s="175" t="s">
        <v>235</v>
      </c>
      <c r="E542" s="175">
        <v>1024.61362335432</v>
      </c>
      <c r="F542" s="175" t="s">
        <v>265</v>
      </c>
      <c r="G542" s="175" t="s">
        <v>501</v>
      </c>
    </row>
    <row r="543" spans="1:7">
      <c r="A543" s="175" t="s">
        <v>2956</v>
      </c>
      <c r="B543" s="217" t="str">
        <f t="shared" si="8"/>
        <v>97912000[円]</v>
      </c>
      <c r="C543" s="216">
        <v>97912000</v>
      </c>
      <c r="D543" s="175" t="s">
        <v>235</v>
      </c>
      <c r="E543" s="175">
        <v>1284.47798819479</v>
      </c>
      <c r="F543" s="175" t="s">
        <v>265</v>
      </c>
      <c r="G543" s="175" t="s">
        <v>502</v>
      </c>
    </row>
    <row r="544" spans="1:7">
      <c r="A544" s="175" t="s">
        <v>2957</v>
      </c>
      <c r="B544" s="217" t="str">
        <f t="shared" si="8"/>
        <v>97919000[円]</v>
      </c>
      <c r="C544" s="216">
        <v>97919000</v>
      </c>
      <c r="D544" s="175" t="s">
        <v>235</v>
      </c>
      <c r="E544" s="175">
        <v>912.76549243166903</v>
      </c>
      <c r="F544" s="175" t="s">
        <v>265</v>
      </c>
      <c r="G544" s="175" t="s">
        <v>503</v>
      </c>
    </row>
    <row r="545" spans="1:7">
      <c r="A545" s="175" t="s">
        <v>2958</v>
      </c>
      <c r="B545" s="217" t="str">
        <f t="shared" si="8"/>
        <v>98100000[円]</v>
      </c>
      <c r="C545" s="216">
        <v>98100000</v>
      </c>
      <c r="D545" s="175" t="s">
        <v>235</v>
      </c>
      <c r="E545" s="175">
        <v>131.022011562085</v>
      </c>
      <c r="F545" s="175" t="s">
        <v>265</v>
      </c>
      <c r="G545" s="175" t="s">
        <v>2959</v>
      </c>
    </row>
    <row r="546" spans="1:7">
      <c r="A546" s="175" t="s">
        <v>2960</v>
      </c>
      <c r="B546" s="217" t="str">
        <f t="shared" si="8"/>
        <v>98111000[円]</v>
      </c>
      <c r="C546" s="216">
        <v>98111000</v>
      </c>
      <c r="D546" s="175" t="s">
        <v>235</v>
      </c>
      <c r="E546" s="175">
        <v>116.379100679638</v>
      </c>
      <c r="F546" s="175" t="s">
        <v>265</v>
      </c>
      <c r="G546" s="175" t="s">
        <v>504</v>
      </c>
    </row>
    <row r="547" spans="1:7">
      <c r="A547" s="175" t="s">
        <v>2960</v>
      </c>
      <c r="B547" s="217" t="str">
        <f t="shared" si="8"/>
        <v>98111000[L]</v>
      </c>
      <c r="C547" s="216">
        <v>98111000</v>
      </c>
      <c r="D547" s="175" t="s">
        <v>235</v>
      </c>
      <c r="E547" s="175">
        <v>1.08813928182807</v>
      </c>
      <c r="F547" s="175" t="s">
        <v>400</v>
      </c>
      <c r="G547" s="175" t="s">
        <v>504</v>
      </c>
    </row>
    <row r="548" spans="1:7">
      <c r="A548" s="175" t="s">
        <v>2961</v>
      </c>
      <c r="B548" s="217" t="str">
        <f t="shared" si="8"/>
        <v>98112000[円]</v>
      </c>
      <c r="C548" s="216">
        <v>98112000</v>
      </c>
      <c r="D548" s="175" t="s">
        <v>235</v>
      </c>
      <c r="E548" s="175">
        <v>137.19192836813301</v>
      </c>
      <c r="F548" s="175" t="s">
        <v>265</v>
      </c>
      <c r="G548" s="175" t="s">
        <v>505</v>
      </c>
    </row>
    <row r="549" spans="1:7">
      <c r="A549" s="175" t="s">
        <v>2961</v>
      </c>
      <c r="B549" s="217" t="str">
        <f t="shared" si="8"/>
        <v>98112000[L]</v>
      </c>
      <c r="C549" s="216">
        <v>98112000</v>
      </c>
      <c r="D549" s="175" t="s">
        <v>235</v>
      </c>
      <c r="E549" s="175">
        <v>1.09529025191676</v>
      </c>
      <c r="F549" s="175" t="s">
        <v>400</v>
      </c>
      <c r="G549" s="175" t="s">
        <v>505</v>
      </c>
    </row>
    <row r="550" spans="1:7">
      <c r="A550" s="175" t="s">
        <v>2962</v>
      </c>
      <c r="B550" s="217" t="str">
        <f t="shared" si="8"/>
        <v>98119000[円]</v>
      </c>
      <c r="C550" s="216">
        <v>98119000</v>
      </c>
      <c r="D550" s="175" t="s">
        <v>235</v>
      </c>
      <c r="E550" s="175">
        <v>143.981619546453</v>
      </c>
      <c r="F550" s="175" t="s">
        <v>265</v>
      </c>
      <c r="G550" s="175" t="s">
        <v>506</v>
      </c>
    </row>
    <row r="551" spans="1:7">
      <c r="A551" s="175" t="s">
        <v>2962</v>
      </c>
      <c r="B551" s="217" t="str">
        <f t="shared" si="8"/>
        <v>98119000[L]</v>
      </c>
      <c r="C551" s="216">
        <v>98119000</v>
      </c>
      <c r="D551" s="175" t="s">
        <v>235</v>
      </c>
      <c r="E551" s="175">
        <v>1.09529025191676</v>
      </c>
      <c r="F551" s="175" t="s">
        <v>400</v>
      </c>
      <c r="G551" s="175" t="s">
        <v>506</v>
      </c>
    </row>
    <row r="552" spans="1:7">
      <c r="A552" s="175" t="s">
        <v>2963</v>
      </c>
      <c r="B552" s="217" t="str">
        <f t="shared" si="8"/>
        <v>98119200[L]</v>
      </c>
      <c r="C552" s="216">
        <v>98119200</v>
      </c>
      <c r="D552" s="175" t="s">
        <v>235</v>
      </c>
      <c r="E552" s="175">
        <v>1.09529025191676</v>
      </c>
      <c r="F552" s="175" t="s">
        <v>400</v>
      </c>
      <c r="G552" s="175" t="s">
        <v>507</v>
      </c>
    </row>
    <row r="553" spans="1:7">
      <c r="A553" s="175" t="s">
        <v>2964</v>
      </c>
      <c r="B553" s="217" t="str">
        <f t="shared" si="8"/>
        <v>98200000[円]</v>
      </c>
      <c r="C553" s="216">
        <v>98200000</v>
      </c>
      <c r="D553" s="175" t="s">
        <v>235</v>
      </c>
      <c r="E553" s="175">
        <v>71.834103668899402</v>
      </c>
      <c r="F553" s="175" t="s">
        <v>265</v>
      </c>
      <c r="G553" s="175" t="s">
        <v>2965</v>
      </c>
    </row>
    <row r="554" spans="1:7">
      <c r="A554" s="175" t="s">
        <v>2966</v>
      </c>
      <c r="B554" s="217" t="str">
        <f t="shared" si="8"/>
        <v>98211000[円]</v>
      </c>
      <c r="C554" s="216">
        <v>98211000</v>
      </c>
      <c r="D554" s="175" t="s">
        <v>235</v>
      </c>
      <c r="E554" s="175">
        <v>81.747232964395295</v>
      </c>
      <c r="F554" s="175" t="s">
        <v>265</v>
      </c>
      <c r="G554" s="175" t="s">
        <v>508</v>
      </c>
    </row>
    <row r="555" spans="1:7">
      <c r="A555" s="175" t="s">
        <v>2967</v>
      </c>
      <c r="B555" s="217" t="str">
        <f t="shared" si="8"/>
        <v>98212000[円]</v>
      </c>
      <c r="C555" s="216">
        <v>98212000</v>
      </c>
      <c r="D555" s="175" t="s">
        <v>235</v>
      </c>
      <c r="E555" s="175">
        <v>81.560434295629193</v>
      </c>
      <c r="F555" s="175" t="s">
        <v>265</v>
      </c>
      <c r="G555" s="175" t="s">
        <v>509</v>
      </c>
    </row>
    <row r="556" spans="1:7">
      <c r="A556" s="175" t="s">
        <v>2968</v>
      </c>
      <c r="B556" s="217" t="str">
        <f t="shared" si="8"/>
        <v>98219000[円]</v>
      </c>
      <c r="C556" s="216">
        <v>98219000</v>
      </c>
      <c r="D556" s="175" t="s">
        <v>235</v>
      </c>
      <c r="E556" s="175">
        <v>54.523586796739302</v>
      </c>
      <c r="F556" s="175" t="s">
        <v>265</v>
      </c>
      <c r="G556" s="175" t="s">
        <v>510</v>
      </c>
    </row>
    <row r="557" spans="1:7">
      <c r="A557" s="175" t="s">
        <v>2969</v>
      </c>
      <c r="B557" s="217" t="str">
        <f t="shared" si="8"/>
        <v>98300000[円]</v>
      </c>
      <c r="C557" s="216">
        <v>98300000</v>
      </c>
      <c r="D557" s="175" t="s">
        <v>235</v>
      </c>
      <c r="E557" s="175">
        <v>250.815269996328</v>
      </c>
      <c r="F557" s="175" t="s">
        <v>265</v>
      </c>
      <c r="G557" s="175" t="s">
        <v>2970</v>
      </c>
    </row>
    <row r="558" spans="1:7">
      <c r="A558" s="175" t="s">
        <v>2971</v>
      </c>
      <c r="B558" s="217" t="str">
        <f t="shared" si="8"/>
        <v>98311000[円]</v>
      </c>
      <c r="C558" s="216">
        <v>98311000</v>
      </c>
      <c r="D558" s="175" t="s">
        <v>235</v>
      </c>
      <c r="E558" s="175">
        <v>195.86859639699799</v>
      </c>
      <c r="F558" s="175" t="s">
        <v>265</v>
      </c>
      <c r="G558" s="175" t="s">
        <v>511</v>
      </c>
    </row>
    <row r="559" spans="1:7">
      <c r="A559" s="175" t="s">
        <v>2972</v>
      </c>
      <c r="B559" s="217" t="str">
        <f t="shared" si="8"/>
        <v>98312000[円]</v>
      </c>
      <c r="C559" s="216">
        <v>98312000</v>
      </c>
      <c r="D559" s="175" t="s">
        <v>235</v>
      </c>
      <c r="E559" s="175">
        <v>303.13438514042701</v>
      </c>
      <c r="F559" s="175" t="s">
        <v>265</v>
      </c>
      <c r="G559" s="175" t="s">
        <v>512</v>
      </c>
    </row>
    <row r="560" spans="1:7">
      <c r="A560" s="175" t="s">
        <v>2973</v>
      </c>
      <c r="B560" s="217" t="str">
        <f t="shared" si="8"/>
        <v>98319000[円]</v>
      </c>
      <c r="C560" s="216">
        <v>98319000</v>
      </c>
      <c r="D560" s="175" t="s">
        <v>235</v>
      </c>
      <c r="E560" s="175">
        <v>246.40091942898599</v>
      </c>
      <c r="F560" s="175" t="s">
        <v>265</v>
      </c>
      <c r="G560" s="175" t="s">
        <v>513</v>
      </c>
    </row>
    <row r="561" spans="1:7">
      <c r="A561" s="175" t="s">
        <v>2974</v>
      </c>
      <c r="B561" s="217" t="str">
        <f t="shared" si="8"/>
        <v>99100000[円]</v>
      </c>
      <c r="C561" s="216">
        <v>99100000</v>
      </c>
      <c r="D561" s="175" t="s">
        <v>235</v>
      </c>
      <c r="E561" s="175">
        <v>63.242621136129898</v>
      </c>
      <c r="F561" s="175" t="s">
        <v>265</v>
      </c>
      <c r="G561" s="175" t="s">
        <v>2975</v>
      </c>
    </row>
    <row r="562" spans="1:7">
      <c r="A562" s="175" t="s">
        <v>2976</v>
      </c>
      <c r="B562" s="217" t="str">
        <f t="shared" si="8"/>
        <v>99111000[円]</v>
      </c>
      <c r="C562" s="216">
        <v>99111000</v>
      </c>
      <c r="D562" s="175" t="s">
        <v>235</v>
      </c>
      <c r="E562" s="175">
        <v>63.242621136129898</v>
      </c>
      <c r="F562" s="175" t="s">
        <v>265</v>
      </c>
      <c r="G562" s="175" t="s">
        <v>514</v>
      </c>
    </row>
    <row r="563" spans="1:7">
      <c r="A563" s="175" t="s">
        <v>2977</v>
      </c>
      <c r="B563" s="217" t="str">
        <f t="shared" si="8"/>
        <v>99200000[円]</v>
      </c>
      <c r="C563" s="216">
        <v>99200000</v>
      </c>
      <c r="D563" s="175" t="s">
        <v>495</v>
      </c>
      <c r="E563" s="175">
        <v>630.62260718165703</v>
      </c>
      <c r="F563" s="175" t="s">
        <v>265</v>
      </c>
      <c r="G563" s="175" t="s">
        <v>2978</v>
      </c>
    </row>
    <row r="564" spans="1:7">
      <c r="A564" s="175" t="s">
        <v>2979</v>
      </c>
      <c r="B564" s="217" t="str">
        <f t="shared" si="8"/>
        <v>99211000[円]</v>
      </c>
      <c r="C564" s="216">
        <v>99211000</v>
      </c>
      <c r="D564" s="175" t="s">
        <v>495</v>
      </c>
      <c r="E564" s="175">
        <v>1123</v>
      </c>
      <c r="F564" s="175" t="s">
        <v>265</v>
      </c>
      <c r="G564" s="175" t="s">
        <v>515</v>
      </c>
    </row>
    <row r="565" spans="1:7">
      <c r="A565" s="175" t="s">
        <v>2980</v>
      </c>
      <c r="B565" s="217" t="str">
        <f t="shared" si="8"/>
        <v>99212000[円]</v>
      </c>
      <c r="C565" s="216">
        <v>99212000</v>
      </c>
      <c r="D565" s="175" t="s">
        <v>495</v>
      </c>
      <c r="E565" s="175">
        <v>358</v>
      </c>
      <c r="F565" s="175" t="s">
        <v>265</v>
      </c>
      <c r="G565" s="175" t="s">
        <v>516</v>
      </c>
    </row>
    <row r="566" spans="1:7">
      <c r="A566" s="175" t="s">
        <v>2981</v>
      </c>
      <c r="B566" s="217" t="str">
        <f t="shared" si="8"/>
        <v>99213000[円]</v>
      </c>
      <c r="C566" s="216">
        <v>99213000</v>
      </c>
      <c r="D566" s="175" t="s">
        <v>495</v>
      </c>
      <c r="E566" s="175">
        <v>395</v>
      </c>
      <c r="F566" s="175" t="s">
        <v>265</v>
      </c>
      <c r="G566" s="175" t="s">
        <v>517</v>
      </c>
    </row>
    <row r="567" spans="1:7">
      <c r="A567" s="175" t="s">
        <v>2982</v>
      </c>
      <c r="B567" s="217" t="str">
        <f t="shared" si="8"/>
        <v>99214000[円]</v>
      </c>
      <c r="C567" s="216">
        <v>99214000</v>
      </c>
      <c r="D567" s="175" t="s">
        <v>495</v>
      </c>
      <c r="E567" s="175">
        <v>593</v>
      </c>
      <c r="F567" s="175" t="s">
        <v>265</v>
      </c>
      <c r="G567" s="175" t="s">
        <v>518</v>
      </c>
    </row>
    <row r="568" spans="1:7">
      <c r="A568" s="175" t="s">
        <v>2983</v>
      </c>
      <c r="B568" s="217" t="str">
        <f t="shared" si="8"/>
        <v>99300000[円]</v>
      </c>
      <c r="C568" s="216">
        <v>99300000</v>
      </c>
      <c r="D568" s="175" t="s">
        <v>235</v>
      </c>
      <c r="E568" s="175">
        <v>315.561681598897</v>
      </c>
      <c r="F568" s="175" t="s">
        <v>265</v>
      </c>
      <c r="G568" s="175" t="s">
        <v>2984</v>
      </c>
    </row>
    <row r="569" spans="1:7">
      <c r="A569" s="175" t="s">
        <v>2985</v>
      </c>
      <c r="B569" s="217" t="str">
        <f t="shared" si="8"/>
        <v>99311000[円]</v>
      </c>
      <c r="C569" s="216">
        <v>99311000</v>
      </c>
      <c r="D569" s="175" t="s">
        <v>235</v>
      </c>
      <c r="E569" s="175">
        <v>315.561681598897</v>
      </c>
      <c r="F569" s="175" t="s">
        <v>265</v>
      </c>
      <c r="G569" s="175" t="s">
        <v>519</v>
      </c>
    </row>
    <row r="570" spans="1:7">
      <c r="A570" s="175" t="s">
        <v>2986</v>
      </c>
      <c r="B570" s="217" t="str">
        <f t="shared" si="8"/>
        <v>99400000[円]</v>
      </c>
      <c r="C570" s="216">
        <v>99400000</v>
      </c>
      <c r="D570" s="175" t="s">
        <v>235</v>
      </c>
      <c r="E570" s="175">
        <v>774</v>
      </c>
      <c r="F570" s="175" t="s">
        <v>265</v>
      </c>
      <c r="G570" s="175" t="s">
        <v>2987</v>
      </c>
    </row>
    <row r="571" spans="1:7">
      <c r="A571" s="175" t="s">
        <v>2988</v>
      </c>
      <c r="B571" s="217" t="str">
        <f t="shared" si="8"/>
        <v>99411000[円]</v>
      </c>
      <c r="C571" s="216">
        <v>99411000</v>
      </c>
      <c r="D571" s="175" t="s">
        <v>235</v>
      </c>
      <c r="E571" s="175">
        <v>774</v>
      </c>
      <c r="F571" s="175" t="s">
        <v>265</v>
      </c>
      <c r="G571" s="175" t="s">
        <v>520</v>
      </c>
    </row>
    <row r="572" spans="1:7">
      <c r="A572" s="175" t="s">
        <v>2989</v>
      </c>
      <c r="B572" s="217" t="str">
        <f t="shared" si="8"/>
        <v>99500000[円]</v>
      </c>
      <c r="C572" s="216">
        <v>99500000</v>
      </c>
      <c r="D572" s="175" t="s">
        <v>235</v>
      </c>
      <c r="E572" s="175">
        <v>491.77173990104598</v>
      </c>
      <c r="F572" s="175" t="s">
        <v>265</v>
      </c>
      <c r="G572" s="175" t="s">
        <v>2990</v>
      </c>
    </row>
    <row r="573" spans="1:7">
      <c r="A573" s="175" t="s">
        <v>2991</v>
      </c>
      <c r="B573" s="217" t="str">
        <f t="shared" si="8"/>
        <v>99511000[円]</v>
      </c>
      <c r="C573" s="216">
        <v>99511000</v>
      </c>
      <c r="D573" s="175" t="s">
        <v>235</v>
      </c>
      <c r="E573" s="175">
        <v>491.77173990104598</v>
      </c>
      <c r="F573" s="175" t="s">
        <v>265</v>
      </c>
      <c r="G573" s="175" t="s">
        <v>521</v>
      </c>
    </row>
    <row r="574" spans="1:7">
      <c r="A574" s="175" t="s">
        <v>2992</v>
      </c>
      <c r="B574" s="217" t="str">
        <f t="shared" si="8"/>
        <v>99611000[kg]</v>
      </c>
      <c r="C574" s="216">
        <v>99611000</v>
      </c>
      <c r="D574" s="175" t="s">
        <v>265</v>
      </c>
      <c r="E574" s="175">
        <v>2.0378390616108502E-3</v>
      </c>
      <c r="F574" s="175" t="s">
        <v>235</v>
      </c>
      <c r="G574" s="175" t="s">
        <v>2993</v>
      </c>
    </row>
    <row r="575" spans="1:7">
      <c r="A575" s="175" t="s">
        <v>2994</v>
      </c>
      <c r="B575" s="217" t="str">
        <f t="shared" si="8"/>
        <v>101100000[円]</v>
      </c>
      <c r="C575" s="216">
        <v>101100000</v>
      </c>
      <c r="D575" s="175" t="s">
        <v>400</v>
      </c>
      <c r="E575" s="175">
        <v>215.38016159943999</v>
      </c>
      <c r="F575" s="175" t="s">
        <v>265</v>
      </c>
      <c r="G575" s="175" t="s">
        <v>2995</v>
      </c>
    </row>
    <row r="576" spans="1:7">
      <c r="A576" s="175" t="s">
        <v>2996</v>
      </c>
      <c r="B576" s="217" t="str">
        <f t="shared" si="8"/>
        <v>101111000[円]</v>
      </c>
      <c r="C576" s="216">
        <v>101111000</v>
      </c>
      <c r="D576" s="175" t="s">
        <v>400</v>
      </c>
      <c r="E576" s="175">
        <v>231.415834522111</v>
      </c>
      <c r="F576" s="175" t="s">
        <v>265</v>
      </c>
      <c r="G576" s="175" t="s">
        <v>522</v>
      </c>
    </row>
    <row r="577" spans="1:7">
      <c r="A577" s="175" t="s">
        <v>2997</v>
      </c>
      <c r="B577" s="217" t="str">
        <f t="shared" si="8"/>
        <v>101112000[kg]</v>
      </c>
      <c r="C577" s="216">
        <v>101112000</v>
      </c>
      <c r="D577" s="175" t="s">
        <v>400</v>
      </c>
      <c r="E577" s="175">
        <v>1.02</v>
      </c>
      <c r="F577" s="175" t="s">
        <v>235</v>
      </c>
      <c r="G577" s="175" t="s">
        <v>523</v>
      </c>
    </row>
    <row r="578" spans="1:7">
      <c r="A578" s="175" t="s">
        <v>2997</v>
      </c>
      <c r="B578" s="217" t="str">
        <f t="shared" ref="B578:B641" si="9">C578&amp;"["&amp;F578&amp;"]"</f>
        <v>101112000[円]</v>
      </c>
      <c r="C578" s="216">
        <v>101112000</v>
      </c>
      <c r="D578" s="175" t="s">
        <v>400</v>
      </c>
      <c r="E578" s="175">
        <v>208.00940399958299</v>
      </c>
      <c r="F578" s="175" t="s">
        <v>265</v>
      </c>
      <c r="G578" s="175" t="s">
        <v>523</v>
      </c>
    </row>
    <row r="579" spans="1:7">
      <c r="A579" s="175" t="s">
        <v>2998</v>
      </c>
      <c r="B579" s="217" t="str">
        <f t="shared" si="9"/>
        <v>101113000[円]</v>
      </c>
      <c r="C579" s="216">
        <v>101113000</v>
      </c>
      <c r="D579" s="175" t="s">
        <v>400</v>
      </c>
      <c r="E579" s="175">
        <v>320.06206896551703</v>
      </c>
      <c r="F579" s="175" t="s">
        <v>265</v>
      </c>
      <c r="G579" s="175" t="s">
        <v>524</v>
      </c>
    </row>
    <row r="580" spans="1:7">
      <c r="A580" s="175" t="s">
        <v>2998</v>
      </c>
      <c r="B580" s="217" t="str">
        <f t="shared" si="9"/>
        <v>101113000[kg]</v>
      </c>
      <c r="C580" s="216">
        <v>101113000</v>
      </c>
      <c r="D580" s="175" t="s">
        <v>400</v>
      </c>
      <c r="E580" s="175">
        <v>1.0529999999999999</v>
      </c>
      <c r="F580" s="175" t="s">
        <v>235</v>
      </c>
      <c r="G580" s="175" t="s">
        <v>524</v>
      </c>
    </row>
    <row r="581" spans="1:7">
      <c r="A581" s="175" t="s">
        <v>2999</v>
      </c>
      <c r="B581" s="217" t="str">
        <f t="shared" si="9"/>
        <v>101114000[kg]</v>
      </c>
      <c r="C581" s="216">
        <v>101114000</v>
      </c>
      <c r="D581" s="175" t="s">
        <v>400</v>
      </c>
      <c r="E581" s="175">
        <v>1</v>
      </c>
      <c r="F581" s="175" t="s">
        <v>235</v>
      </c>
      <c r="G581" s="175" t="s">
        <v>525</v>
      </c>
    </row>
    <row r="582" spans="1:7">
      <c r="A582" s="175" t="s">
        <v>2999</v>
      </c>
      <c r="B582" s="217" t="str">
        <f t="shared" si="9"/>
        <v>101114000[円]</v>
      </c>
      <c r="C582" s="216">
        <v>101114000</v>
      </c>
      <c r="D582" s="175" t="s">
        <v>400</v>
      </c>
      <c r="E582" s="175">
        <v>188.03683574879199</v>
      </c>
      <c r="F582" s="175" t="s">
        <v>265</v>
      </c>
      <c r="G582" s="175" t="s">
        <v>525</v>
      </c>
    </row>
    <row r="583" spans="1:7">
      <c r="A583" s="175" t="s">
        <v>3000</v>
      </c>
      <c r="B583" s="217" t="str">
        <f t="shared" si="9"/>
        <v>101115000[kg]</v>
      </c>
      <c r="C583" s="216">
        <v>101115000</v>
      </c>
      <c r="D583" s="175" t="s">
        <v>400</v>
      </c>
      <c r="E583" s="175">
        <v>1</v>
      </c>
      <c r="F583" s="175" t="s">
        <v>235</v>
      </c>
      <c r="G583" s="175" t="s">
        <v>526</v>
      </c>
    </row>
    <row r="584" spans="1:7">
      <c r="A584" s="175" t="s">
        <v>3000</v>
      </c>
      <c r="B584" s="217" t="str">
        <f t="shared" si="9"/>
        <v>101115000[円]</v>
      </c>
      <c r="C584" s="216">
        <v>101115000</v>
      </c>
      <c r="D584" s="175" t="s">
        <v>400</v>
      </c>
      <c r="E584" s="175">
        <v>43.430438566114297</v>
      </c>
      <c r="F584" s="175" t="s">
        <v>265</v>
      </c>
      <c r="G584" s="175" t="s">
        <v>526</v>
      </c>
    </row>
    <row r="585" spans="1:7">
      <c r="A585" s="175" t="s">
        <v>3001</v>
      </c>
      <c r="B585" s="217" t="str">
        <f t="shared" si="9"/>
        <v>101119000[円]</v>
      </c>
      <c r="C585" s="216">
        <v>101119000</v>
      </c>
      <c r="D585" s="175" t="s">
        <v>400</v>
      </c>
      <c r="E585" s="175">
        <v>263.68181818181802</v>
      </c>
      <c r="F585" s="175" t="s">
        <v>265</v>
      </c>
      <c r="G585" s="175" t="s">
        <v>527</v>
      </c>
    </row>
    <row r="586" spans="1:7">
      <c r="A586" s="175" t="s">
        <v>3001</v>
      </c>
      <c r="B586" s="217" t="str">
        <f t="shared" si="9"/>
        <v>101119000[kg]</v>
      </c>
      <c r="C586" s="216">
        <v>101119000</v>
      </c>
      <c r="D586" s="175" t="s">
        <v>400</v>
      </c>
      <c r="E586" s="175">
        <v>1</v>
      </c>
      <c r="F586" s="175" t="s">
        <v>235</v>
      </c>
      <c r="G586" s="175" t="s">
        <v>527</v>
      </c>
    </row>
    <row r="587" spans="1:7">
      <c r="A587" s="175" t="s">
        <v>3002</v>
      </c>
      <c r="B587" s="217" t="str">
        <f t="shared" si="9"/>
        <v>102100000[円]</v>
      </c>
      <c r="C587" s="216">
        <v>102100000</v>
      </c>
      <c r="D587" s="175" t="s">
        <v>400</v>
      </c>
      <c r="E587" s="175">
        <v>514.45986368799697</v>
      </c>
      <c r="F587" s="175" t="s">
        <v>265</v>
      </c>
      <c r="G587" s="175" t="s">
        <v>3003</v>
      </c>
    </row>
    <row r="588" spans="1:7">
      <c r="A588" s="175" t="s">
        <v>3004</v>
      </c>
      <c r="B588" s="217" t="str">
        <f t="shared" si="9"/>
        <v>102111000[円]</v>
      </c>
      <c r="C588" s="216">
        <v>102111000</v>
      </c>
      <c r="D588" s="175" t="s">
        <v>400</v>
      </c>
      <c r="E588" s="175">
        <v>514.45986368799697</v>
      </c>
      <c r="F588" s="175" t="s">
        <v>265</v>
      </c>
      <c r="G588" s="175" t="s">
        <v>528</v>
      </c>
    </row>
    <row r="589" spans="1:7">
      <c r="A589" s="175" t="s">
        <v>3004</v>
      </c>
      <c r="B589" s="217" t="str">
        <f t="shared" si="9"/>
        <v>102111000[kg]</v>
      </c>
      <c r="C589" s="216">
        <v>102111000</v>
      </c>
      <c r="D589" s="175" t="s">
        <v>400</v>
      </c>
      <c r="E589" s="175">
        <v>0.99866666666666704</v>
      </c>
      <c r="F589" s="175" t="s">
        <v>235</v>
      </c>
      <c r="G589" s="175" t="s">
        <v>528</v>
      </c>
    </row>
    <row r="590" spans="1:7">
      <c r="A590" s="175" t="s">
        <v>3005</v>
      </c>
      <c r="B590" s="217" t="str">
        <f t="shared" si="9"/>
        <v>102200000[円]</v>
      </c>
      <c r="C590" s="216">
        <v>102200000</v>
      </c>
      <c r="D590" s="175" t="s">
        <v>400</v>
      </c>
      <c r="E590" s="175">
        <v>395.12494982290099</v>
      </c>
      <c r="F590" s="175" t="s">
        <v>265</v>
      </c>
      <c r="G590" s="175" t="s">
        <v>3006</v>
      </c>
    </row>
    <row r="591" spans="1:7">
      <c r="A591" s="175" t="s">
        <v>3007</v>
      </c>
      <c r="B591" s="217" t="str">
        <f t="shared" si="9"/>
        <v>102211000[円]</v>
      </c>
      <c r="C591" s="216">
        <v>102211000</v>
      </c>
      <c r="D591" s="175" t="s">
        <v>400</v>
      </c>
      <c r="E591" s="175">
        <v>395.12494982290099</v>
      </c>
      <c r="F591" s="175" t="s">
        <v>265</v>
      </c>
      <c r="G591" s="175" t="s">
        <v>529</v>
      </c>
    </row>
    <row r="592" spans="1:7">
      <c r="A592" s="175" t="s">
        <v>3007</v>
      </c>
      <c r="B592" s="217" t="str">
        <f t="shared" si="9"/>
        <v>102211000[kg]</v>
      </c>
      <c r="C592" s="216">
        <v>102211000</v>
      </c>
      <c r="D592" s="175" t="s">
        <v>400</v>
      </c>
      <c r="E592" s="175">
        <v>1.01233333333333</v>
      </c>
      <c r="F592" s="175" t="s">
        <v>235</v>
      </c>
      <c r="G592" s="175" t="s">
        <v>529</v>
      </c>
    </row>
    <row r="593" spans="1:7">
      <c r="A593" s="175" t="s">
        <v>3008</v>
      </c>
      <c r="B593" s="217" t="str">
        <f t="shared" si="9"/>
        <v>102300000[円]</v>
      </c>
      <c r="C593" s="216">
        <v>102300000</v>
      </c>
      <c r="D593" s="175" t="s">
        <v>400</v>
      </c>
      <c r="E593" s="175">
        <v>619.27280982012496</v>
      </c>
      <c r="F593" s="175" t="s">
        <v>265</v>
      </c>
      <c r="G593" s="175" t="s">
        <v>3009</v>
      </c>
    </row>
    <row r="594" spans="1:7">
      <c r="A594" s="175" t="s">
        <v>3010</v>
      </c>
      <c r="B594" s="217" t="str">
        <f t="shared" si="9"/>
        <v>102311000[円]</v>
      </c>
      <c r="C594" s="216">
        <v>102311000</v>
      </c>
      <c r="D594" s="175" t="s">
        <v>400</v>
      </c>
      <c r="E594" s="175">
        <v>619.27280982012496</v>
      </c>
      <c r="F594" s="175" t="s">
        <v>265</v>
      </c>
      <c r="G594" s="175" t="s">
        <v>530</v>
      </c>
    </row>
    <row r="595" spans="1:7">
      <c r="A595" s="175" t="s">
        <v>3010</v>
      </c>
      <c r="B595" s="217" t="str">
        <f t="shared" si="9"/>
        <v>102311000[kg]</v>
      </c>
      <c r="C595" s="216">
        <v>102311000</v>
      </c>
      <c r="D595" s="175" t="s">
        <v>400</v>
      </c>
      <c r="E595" s="175">
        <v>0.998</v>
      </c>
      <c r="F595" s="175" t="s">
        <v>235</v>
      </c>
      <c r="G595" s="175" t="s">
        <v>530</v>
      </c>
    </row>
    <row r="596" spans="1:7">
      <c r="A596" s="175" t="s">
        <v>3011</v>
      </c>
      <c r="B596" s="217" t="str">
        <f t="shared" si="9"/>
        <v>102400000[円]</v>
      </c>
      <c r="C596" s="216">
        <v>102400000</v>
      </c>
      <c r="D596" s="175" t="s">
        <v>400</v>
      </c>
      <c r="E596" s="175">
        <v>437.27526215159003</v>
      </c>
      <c r="F596" s="175" t="s">
        <v>265</v>
      </c>
      <c r="G596" s="175" t="s">
        <v>3012</v>
      </c>
    </row>
    <row r="597" spans="1:7">
      <c r="A597" s="175" t="s">
        <v>3013</v>
      </c>
      <c r="B597" s="217" t="str">
        <f t="shared" si="9"/>
        <v>102411000[円]</v>
      </c>
      <c r="C597" s="216">
        <v>102411000</v>
      </c>
      <c r="D597" s="175" t="s">
        <v>400</v>
      </c>
      <c r="E597" s="175">
        <v>117.45067790380401</v>
      </c>
      <c r="F597" s="175" t="s">
        <v>265</v>
      </c>
      <c r="G597" s="175" t="s">
        <v>3014</v>
      </c>
    </row>
    <row r="598" spans="1:7">
      <c r="A598" s="175" t="s">
        <v>3015</v>
      </c>
      <c r="B598" s="217" t="str">
        <f t="shared" si="9"/>
        <v>102412000[kg]</v>
      </c>
      <c r="C598" s="216">
        <v>102412000</v>
      </c>
      <c r="D598" s="175" t="s">
        <v>400</v>
      </c>
      <c r="E598" s="175">
        <v>0.96399999999999997</v>
      </c>
      <c r="F598" s="175" t="s">
        <v>235</v>
      </c>
      <c r="G598" s="175" t="s">
        <v>531</v>
      </c>
    </row>
    <row r="599" spans="1:7">
      <c r="A599" s="175" t="s">
        <v>3015</v>
      </c>
      <c r="B599" s="217" t="str">
        <f t="shared" si="9"/>
        <v>102412000[円]</v>
      </c>
      <c r="C599" s="216">
        <v>102412000</v>
      </c>
      <c r="D599" s="175" t="s">
        <v>400</v>
      </c>
      <c r="E599" s="175">
        <v>543.63613124849201</v>
      </c>
      <c r="F599" s="175" t="s">
        <v>265</v>
      </c>
      <c r="G599" s="175" t="s">
        <v>531</v>
      </c>
    </row>
    <row r="600" spans="1:7">
      <c r="A600" s="175" t="s">
        <v>3016</v>
      </c>
      <c r="B600" s="217" t="str">
        <f t="shared" si="9"/>
        <v>102413000[円]</v>
      </c>
      <c r="C600" s="216">
        <v>102413000</v>
      </c>
      <c r="D600" s="175" t="s">
        <v>400</v>
      </c>
      <c r="E600" s="175">
        <v>211.39463940572401</v>
      </c>
      <c r="F600" s="175" t="s">
        <v>265</v>
      </c>
      <c r="G600" s="175" t="s">
        <v>532</v>
      </c>
    </row>
    <row r="601" spans="1:7">
      <c r="A601" s="175" t="s">
        <v>3016</v>
      </c>
      <c r="B601" s="217" t="str">
        <f t="shared" si="9"/>
        <v>102413000[kg]</v>
      </c>
      <c r="C601" s="216">
        <v>102413000</v>
      </c>
      <c r="D601" s="175" t="s">
        <v>400</v>
      </c>
      <c r="E601" s="175">
        <v>1.0029999999999999</v>
      </c>
      <c r="F601" s="175" t="s">
        <v>235</v>
      </c>
      <c r="G601" s="175" t="s">
        <v>532</v>
      </c>
    </row>
    <row r="602" spans="1:7">
      <c r="A602" s="175" t="s">
        <v>3017</v>
      </c>
      <c r="B602" s="217" t="str">
        <f t="shared" si="9"/>
        <v>102414000[円]</v>
      </c>
      <c r="C602" s="216">
        <v>102414000</v>
      </c>
      <c r="D602" s="175" t="s">
        <v>400</v>
      </c>
      <c r="E602" s="175">
        <v>634.76411864592501</v>
      </c>
      <c r="F602" s="175" t="s">
        <v>265</v>
      </c>
      <c r="G602" s="175" t="s">
        <v>533</v>
      </c>
    </row>
    <row r="603" spans="1:7">
      <c r="A603" s="175" t="s">
        <v>3017</v>
      </c>
      <c r="B603" s="217" t="str">
        <f t="shared" si="9"/>
        <v>102414000[kg]</v>
      </c>
      <c r="C603" s="216">
        <v>102414000</v>
      </c>
      <c r="D603" s="175" t="s">
        <v>400</v>
      </c>
      <c r="E603" s="175">
        <v>0.95199999999999996</v>
      </c>
      <c r="F603" s="175" t="s">
        <v>235</v>
      </c>
      <c r="G603" s="175" t="s">
        <v>533</v>
      </c>
    </row>
    <row r="604" spans="1:7">
      <c r="A604" s="175" t="s">
        <v>3018</v>
      </c>
      <c r="B604" s="217" t="str">
        <f t="shared" si="9"/>
        <v>102415000[kg]</v>
      </c>
      <c r="C604" s="216">
        <v>102415000</v>
      </c>
      <c r="D604" s="175" t="s">
        <v>400</v>
      </c>
      <c r="E604" s="175">
        <v>1.1005</v>
      </c>
      <c r="F604" s="175" t="s">
        <v>235</v>
      </c>
      <c r="G604" s="175" t="s">
        <v>534</v>
      </c>
    </row>
    <row r="605" spans="1:7">
      <c r="A605" s="175" t="s">
        <v>3018</v>
      </c>
      <c r="B605" s="217" t="str">
        <f t="shared" si="9"/>
        <v>102415000[円]</v>
      </c>
      <c r="C605" s="216">
        <v>102415000</v>
      </c>
      <c r="D605" s="175" t="s">
        <v>400</v>
      </c>
      <c r="E605" s="175">
        <v>297.32887653079302</v>
      </c>
      <c r="F605" s="175" t="s">
        <v>265</v>
      </c>
      <c r="G605" s="175" t="s">
        <v>534</v>
      </c>
    </row>
    <row r="606" spans="1:7">
      <c r="A606" s="175" t="s">
        <v>3019</v>
      </c>
      <c r="B606" s="217" t="str">
        <f t="shared" si="9"/>
        <v>102416000[円]</v>
      </c>
      <c r="C606" s="216">
        <v>102416000</v>
      </c>
      <c r="D606" s="175" t="s">
        <v>400</v>
      </c>
      <c r="E606" s="175">
        <v>288.221352618379</v>
      </c>
      <c r="F606" s="175" t="s">
        <v>265</v>
      </c>
      <c r="G606" s="175" t="s">
        <v>535</v>
      </c>
    </row>
    <row r="607" spans="1:7">
      <c r="A607" s="175" t="s">
        <v>3019</v>
      </c>
      <c r="B607" s="217" t="str">
        <f t="shared" si="9"/>
        <v>102416000[kg]</v>
      </c>
      <c r="C607" s="216">
        <v>102416000</v>
      </c>
      <c r="D607" s="175" t="s">
        <v>400</v>
      </c>
      <c r="E607" s="175">
        <v>1.0089999999999999</v>
      </c>
      <c r="F607" s="175" t="s">
        <v>235</v>
      </c>
      <c r="G607" s="175" t="s">
        <v>535</v>
      </c>
    </row>
    <row r="608" spans="1:7">
      <c r="A608" s="175" t="s">
        <v>3020</v>
      </c>
      <c r="B608" s="217" t="str">
        <f t="shared" si="9"/>
        <v>102419000[円]</v>
      </c>
      <c r="C608" s="216">
        <v>102419000</v>
      </c>
      <c r="D608" s="175" t="s">
        <v>400</v>
      </c>
      <c r="E608" s="175">
        <v>489</v>
      </c>
      <c r="F608" s="175" t="s">
        <v>265</v>
      </c>
      <c r="G608" s="175" t="s">
        <v>3021</v>
      </c>
    </row>
    <row r="609" spans="1:7">
      <c r="A609" s="175" t="s">
        <v>3020</v>
      </c>
      <c r="B609" s="217" t="str">
        <f t="shared" si="9"/>
        <v>102419000[kg]</v>
      </c>
      <c r="C609" s="216">
        <v>102419000</v>
      </c>
      <c r="D609" s="175" t="s">
        <v>400</v>
      </c>
      <c r="E609" s="175">
        <v>0.95199999999999996</v>
      </c>
      <c r="F609" s="175" t="s">
        <v>235</v>
      </c>
      <c r="G609" s="175" t="s">
        <v>3021</v>
      </c>
    </row>
    <row r="610" spans="1:7">
      <c r="A610" s="175" t="s">
        <v>3022</v>
      </c>
      <c r="B610" s="217" t="str">
        <f t="shared" si="9"/>
        <v>103100000[円]</v>
      </c>
      <c r="C610" s="216">
        <v>103100000</v>
      </c>
      <c r="D610" s="175" t="s">
        <v>235</v>
      </c>
      <c r="E610" s="175">
        <v>1901.47799253425</v>
      </c>
      <c r="F610" s="175" t="s">
        <v>265</v>
      </c>
      <c r="G610" s="175" t="s">
        <v>3023</v>
      </c>
    </row>
    <row r="611" spans="1:7">
      <c r="A611" s="175" t="s">
        <v>3024</v>
      </c>
      <c r="B611" s="217" t="str">
        <f t="shared" si="9"/>
        <v>103111000[円]</v>
      </c>
      <c r="C611" s="216">
        <v>103111000</v>
      </c>
      <c r="D611" s="175" t="s">
        <v>235</v>
      </c>
      <c r="E611" s="175">
        <v>1259.2073819780601</v>
      </c>
      <c r="F611" s="175" t="s">
        <v>265</v>
      </c>
      <c r="G611" s="175" t="s">
        <v>536</v>
      </c>
    </row>
    <row r="612" spans="1:7">
      <c r="A612" s="175" t="s">
        <v>3025</v>
      </c>
      <c r="B612" s="217" t="str">
        <f t="shared" si="9"/>
        <v>103112000[円]</v>
      </c>
      <c r="C612" s="216">
        <v>103112000</v>
      </c>
      <c r="D612" s="175" t="s">
        <v>235</v>
      </c>
      <c r="E612" s="175">
        <v>2433.0761767333502</v>
      </c>
      <c r="F612" s="175" t="s">
        <v>265</v>
      </c>
      <c r="G612" s="175" t="s">
        <v>3026</v>
      </c>
    </row>
    <row r="613" spans="1:7">
      <c r="A613" s="175" t="s">
        <v>3027</v>
      </c>
      <c r="B613" s="217" t="str">
        <f t="shared" si="9"/>
        <v>103113000[円]</v>
      </c>
      <c r="C613" s="216">
        <v>103113000</v>
      </c>
      <c r="D613" s="175" t="s">
        <v>235</v>
      </c>
      <c r="E613" s="175">
        <v>914.96762737338997</v>
      </c>
      <c r="F613" s="175" t="s">
        <v>265</v>
      </c>
      <c r="G613" s="175" t="s">
        <v>3028</v>
      </c>
    </row>
    <row r="614" spans="1:7">
      <c r="A614" s="175" t="s">
        <v>3029</v>
      </c>
      <c r="B614" s="217" t="str">
        <f t="shared" si="9"/>
        <v>103200000[円]</v>
      </c>
      <c r="C614" s="216">
        <v>103200000</v>
      </c>
      <c r="D614" s="175" t="s">
        <v>235</v>
      </c>
      <c r="E614" s="175">
        <v>943.02266525492996</v>
      </c>
      <c r="F614" s="175" t="s">
        <v>265</v>
      </c>
      <c r="G614" s="175" t="s">
        <v>3030</v>
      </c>
    </row>
    <row r="615" spans="1:7">
      <c r="A615" s="175" t="s">
        <v>3031</v>
      </c>
      <c r="B615" s="217" t="str">
        <f t="shared" si="9"/>
        <v>103211000[円]</v>
      </c>
      <c r="C615" s="216">
        <v>103211000</v>
      </c>
      <c r="D615" s="175" t="s">
        <v>235</v>
      </c>
      <c r="E615" s="175">
        <v>943.02266525492996</v>
      </c>
      <c r="F615" s="175" t="s">
        <v>265</v>
      </c>
      <c r="G615" s="175" t="s">
        <v>537</v>
      </c>
    </row>
    <row r="616" spans="1:7">
      <c r="A616" s="175" t="s">
        <v>3032</v>
      </c>
      <c r="B616" s="217" t="str">
        <f t="shared" si="9"/>
        <v>104100000[円]</v>
      </c>
      <c r="C616" s="216">
        <v>104100000</v>
      </c>
      <c r="D616" s="175" t="s">
        <v>235</v>
      </c>
      <c r="E616" s="175">
        <v>10.533960191219601</v>
      </c>
      <c r="F616" s="175" t="s">
        <v>265</v>
      </c>
      <c r="G616" s="175" t="s">
        <v>3033</v>
      </c>
    </row>
    <row r="617" spans="1:7">
      <c r="A617" s="175" t="s">
        <v>3034</v>
      </c>
      <c r="B617" s="217" t="str">
        <f t="shared" si="9"/>
        <v>104111000[円]</v>
      </c>
      <c r="C617" s="216">
        <v>104111000</v>
      </c>
      <c r="D617" s="175" t="s">
        <v>235</v>
      </c>
      <c r="E617" s="175">
        <v>10.533960191219601</v>
      </c>
      <c r="F617" s="175" t="s">
        <v>265</v>
      </c>
      <c r="G617" s="175" t="s">
        <v>538</v>
      </c>
    </row>
    <row r="618" spans="1:7">
      <c r="A618" s="175" t="s">
        <v>3034</v>
      </c>
      <c r="B618" s="217" t="str">
        <f t="shared" si="9"/>
        <v>104111000[L]</v>
      </c>
      <c r="C618" s="216">
        <v>104111000</v>
      </c>
      <c r="D618" s="175" t="s">
        <v>235</v>
      </c>
      <c r="E618" s="175">
        <v>1</v>
      </c>
      <c r="F618" s="175" t="s">
        <v>400</v>
      </c>
      <c r="G618" s="175" t="s">
        <v>538</v>
      </c>
    </row>
    <row r="619" spans="1:7">
      <c r="A619" s="175" t="s">
        <v>3035</v>
      </c>
      <c r="B619" s="217" t="str">
        <f t="shared" si="9"/>
        <v>105100000[円]</v>
      </c>
      <c r="C619" s="216">
        <v>105100000</v>
      </c>
      <c r="D619" s="175" t="s">
        <v>266</v>
      </c>
      <c r="E619" s="175">
        <v>5.4125581450000002</v>
      </c>
      <c r="F619" s="175" t="s">
        <v>265</v>
      </c>
      <c r="G619" s="175" t="s">
        <v>3036</v>
      </c>
    </row>
    <row r="620" spans="1:7">
      <c r="A620" s="175" t="s">
        <v>3037</v>
      </c>
      <c r="B620" s="217" t="str">
        <f t="shared" si="9"/>
        <v>105111000[kg]</v>
      </c>
      <c r="C620" s="216">
        <v>105111000</v>
      </c>
      <c r="D620" s="175" t="s">
        <v>266</v>
      </c>
      <c r="E620" s="175">
        <v>1</v>
      </c>
      <c r="F620" s="175" t="s">
        <v>235</v>
      </c>
      <c r="G620" s="175" t="s">
        <v>3038</v>
      </c>
    </row>
    <row r="621" spans="1:7">
      <c r="A621" s="175" t="s">
        <v>3037</v>
      </c>
      <c r="B621" s="217" t="str">
        <f t="shared" si="9"/>
        <v>105111000[円]</v>
      </c>
      <c r="C621" s="216">
        <v>105111000</v>
      </c>
      <c r="D621" s="175" t="s">
        <v>266</v>
      </c>
      <c r="E621" s="175">
        <v>5.4125581450000002</v>
      </c>
      <c r="F621" s="175" t="s">
        <v>265</v>
      </c>
      <c r="G621" s="175" t="s">
        <v>3038</v>
      </c>
    </row>
    <row r="622" spans="1:7">
      <c r="A622" s="175" t="s">
        <v>3039</v>
      </c>
      <c r="B622" s="217" t="str">
        <f t="shared" si="9"/>
        <v>105200000[円]</v>
      </c>
      <c r="C622" s="216">
        <v>105200000</v>
      </c>
      <c r="D622" s="175" t="s">
        <v>235</v>
      </c>
      <c r="E622" s="175">
        <v>1849.0289108099801</v>
      </c>
      <c r="F622" s="175" t="s">
        <v>265</v>
      </c>
      <c r="G622" s="175" t="s">
        <v>3040</v>
      </c>
    </row>
    <row r="623" spans="1:7">
      <c r="A623" s="175" t="s">
        <v>3041</v>
      </c>
      <c r="B623" s="217" t="str">
        <f t="shared" si="9"/>
        <v>105211000[円]</v>
      </c>
      <c r="C623" s="216">
        <v>105211000</v>
      </c>
      <c r="D623" s="175" t="s">
        <v>235</v>
      </c>
      <c r="E623" s="175">
        <v>1849.0289108099801</v>
      </c>
      <c r="F623" s="175" t="s">
        <v>265</v>
      </c>
      <c r="G623" s="175" t="s">
        <v>3042</v>
      </c>
    </row>
    <row r="624" spans="1:7">
      <c r="A624" s="175" t="s">
        <v>3043</v>
      </c>
      <c r="B624" s="217" t="str">
        <f t="shared" si="9"/>
        <v>106100000[円]</v>
      </c>
      <c r="C624" s="216">
        <v>106100000</v>
      </c>
      <c r="D624" s="175" t="s">
        <v>235</v>
      </c>
      <c r="E624" s="175">
        <v>40.2639568878025</v>
      </c>
      <c r="F624" s="175" t="s">
        <v>265</v>
      </c>
      <c r="G624" s="175" t="s">
        <v>3044</v>
      </c>
    </row>
    <row r="625" spans="1:7">
      <c r="A625" s="175" t="s">
        <v>3045</v>
      </c>
      <c r="B625" s="217" t="str">
        <f t="shared" si="9"/>
        <v>106111000[円]</v>
      </c>
      <c r="C625" s="216">
        <v>106111000</v>
      </c>
      <c r="D625" s="175" t="s">
        <v>235</v>
      </c>
      <c r="E625" s="175">
        <v>36.676252368121098</v>
      </c>
      <c r="F625" s="175" t="s">
        <v>265</v>
      </c>
      <c r="G625" s="175" t="s">
        <v>3046</v>
      </c>
    </row>
    <row r="626" spans="1:7">
      <c r="A626" s="175" t="s">
        <v>3047</v>
      </c>
      <c r="B626" s="217" t="str">
        <f t="shared" si="9"/>
        <v>106112000[円]</v>
      </c>
      <c r="C626" s="216">
        <v>106112000</v>
      </c>
      <c r="D626" s="175" t="s">
        <v>235</v>
      </c>
      <c r="E626" s="175">
        <v>308.64725640523602</v>
      </c>
      <c r="F626" s="175" t="s">
        <v>265</v>
      </c>
      <c r="G626" s="175" t="s">
        <v>539</v>
      </c>
    </row>
    <row r="627" spans="1:7">
      <c r="A627" s="175" t="s">
        <v>3048</v>
      </c>
      <c r="B627" s="217" t="str">
        <f t="shared" si="9"/>
        <v>106200000[kg]</v>
      </c>
      <c r="C627" s="216">
        <v>106200000</v>
      </c>
      <c r="D627" s="175" t="s">
        <v>265</v>
      </c>
      <c r="E627" s="175">
        <v>2.6315789473684199E-2</v>
      </c>
      <c r="F627" s="175" t="s">
        <v>235</v>
      </c>
      <c r="G627" s="175" t="s">
        <v>3049</v>
      </c>
    </row>
    <row r="628" spans="1:7">
      <c r="A628" s="175" t="s">
        <v>3050</v>
      </c>
      <c r="B628" s="217" t="str">
        <f t="shared" si="9"/>
        <v>106211000[kg]</v>
      </c>
      <c r="C628" s="216">
        <v>106211000</v>
      </c>
      <c r="D628" s="175" t="s">
        <v>265</v>
      </c>
      <c r="E628" s="175">
        <v>2.6315789473684199E-2</v>
      </c>
      <c r="F628" s="175" t="s">
        <v>235</v>
      </c>
      <c r="G628" s="175" t="s">
        <v>540</v>
      </c>
    </row>
    <row r="629" spans="1:7">
      <c r="A629" s="175" t="s">
        <v>3051</v>
      </c>
      <c r="B629" s="217" t="str">
        <f t="shared" si="9"/>
        <v>106300000[円]</v>
      </c>
      <c r="C629" s="216">
        <v>106300000</v>
      </c>
      <c r="D629" s="175" t="s">
        <v>235</v>
      </c>
      <c r="E629" s="175">
        <v>27.799232159999999</v>
      </c>
      <c r="F629" s="175" t="s">
        <v>265</v>
      </c>
      <c r="G629" s="175" t="s">
        <v>3052</v>
      </c>
    </row>
    <row r="630" spans="1:7">
      <c r="A630" s="175" t="s">
        <v>3053</v>
      </c>
      <c r="B630" s="217" t="str">
        <f t="shared" si="9"/>
        <v>106311000[円]</v>
      </c>
      <c r="C630" s="216">
        <v>106311000</v>
      </c>
      <c r="D630" s="175" t="s">
        <v>235</v>
      </c>
      <c r="E630" s="175">
        <v>27.799232159999999</v>
      </c>
      <c r="F630" s="175" t="s">
        <v>265</v>
      </c>
      <c r="G630" s="175" t="s">
        <v>541</v>
      </c>
    </row>
    <row r="631" spans="1:7">
      <c r="A631" s="175" t="s">
        <v>3054</v>
      </c>
      <c r="B631" s="217" t="str">
        <f t="shared" si="9"/>
        <v>110000801[kg]</v>
      </c>
      <c r="C631" s="216">
        <v>110000801</v>
      </c>
      <c r="D631" s="175" t="s">
        <v>279</v>
      </c>
      <c r="E631" s="175">
        <v>6.13496932515337E-2</v>
      </c>
      <c r="F631" s="175" t="s">
        <v>235</v>
      </c>
      <c r="G631" s="175" t="s">
        <v>3055</v>
      </c>
    </row>
    <row r="632" spans="1:7">
      <c r="A632" s="175" t="s">
        <v>3056</v>
      </c>
      <c r="B632" s="217" t="str">
        <f t="shared" si="9"/>
        <v>111100000[円]</v>
      </c>
      <c r="C632" s="216">
        <v>111100000</v>
      </c>
      <c r="D632" s="175" t="s">
        <v>235</v>
      </c>
      <c r="E632" s="175">
        <v>6446.50485436893</v>
      </c>
      <c r="F632" s="175" t="s">
        <v>265</v>
      </c>
      <c r="G632" s="175" t="s">
        <v>3057</v>
      </c>
    </row>
    <row r="633" spans="1:7">
      <c r="A633" s="175" t="s">
        <v>3058</v>
      </c>
      <c r="B633" s="217" t="str">
        <f t="shared" si="9"/>
        <v>111111000[円]</v>
      </c>
      <c r="C633" s="216">
        <v>111111000</v>
      </c>
      <c r="D633" s="175" t="s">
        <v>235</v>
      </c>
      <c r="E633" s="175">
        <v>6446.50485436893</v>
      </c>
      <c r="F633" s="175" t="s">
        <v>265</v>
      </c>
      <c r="G633" s="175" t="s">
        <v>542</v>
      </c>
    </row>
    <row r="634" spans="1:7">
      <c r="A634" s="175" t="s">
        <v>3059</v>
      </c>
      <c r="B634" s="217" t="str">
        <f t="shared" si="9"/>
        <v>112000701[円]</v>
      </c>
      <c r="C634" s="216">
        <v>112000701</v>
      </c>
      <c r="D634" s="175" t="s">
        <v>235</v>
      </c>
      <c r="E634" s="175">
        <v>1032.434624</v>
      </c>
      <c r="F634" s="175" t="s">
        <v>265</v>
      </c>
      <c r="G634" s="175" t="s">
        <v>550</v>
      </c>
    </row>
    <row r="635" spans="1:7">
      <c r="A635" s="175" t="s">
        <v>3060</v>
      </c>
      <c r="B635" s="217" t="str">
        <f t="shared" si="9"/>
        <v>112100000[円]</v>
      </c>
      <c r="C635" s="216">
        <v>112100000</v>
      </c>
      <c r="D635" s="175" t="s">
        <v>235</v>
      </c>
      <c r="E635" s="175">
        <v>389.57951449095901</v>
      </c>
      <c r="F635" s="175" t="s">
        <v>265</v>
      </c>
      <c r="G635" s="175" t="s">
        <v>3061</v>
      </c>
    </row>
    <row r="636" spans="1:7">
      <c r="A636" s="175" t="s">
        <v>3062</v>
      </c>
      <c r="B636" s="217" t="str">
        <f t="shared" si="9"/>
        <v>112111000[円]</v>
      </c>
      <c r="C636" s="216">
        <v>112111000</v>
      </c>
      <c r="D636" s="175" t="s">
        <v>235</v>
      </c>
      <c r="E636" s="175">
        <v>389.57951449095901</v>
      </c>
      <c r="F636" s="175" t="s">
        <v>265</v>
      </c>
      <c r="G636" s="175" t="s">
        <v>543</v>
      </c>
    </row>
    <row r="637" spans="1:7">
      <c r="A637" s="175" t="s">
        <v>3063</v>
      </c>
      <c r="B637" s="217" t="str">
        <f t="shared" si="9"/>
        <v>112200000[円]</v>
      </c>
      <c r="C637" s="216">
        <v>112200000</v>
      </c>
      <c r="D637" s="175" t="s">
        <v>235</v>
      </c>
      <c r="E637" s="175">
        <v>650.19417799999997</v>
      </c>
      <c r="F637" s="175" t="s">
        <v>265</v>
      </c>
      <c r="G637" s="175" t="s">
        <v>3064</v>
      </c>
    </row>
    <row r="638" spans="1:7">
      <c r="A638" s="175" t="s">
        <v>3065</v>
      </c>
      <c r="B638" s="217" t="str">
        <f t="shared" si="9"/>
        <v>112211000[円]</v>
      </c>
      <c r="C638" s="216">
        <v>112211000</v>
      </c>
      <c r="D638" s="175" t="s">
        <v>235</v>
      </c>
      <c r="E638" s="175">
        <v>650.19417799999997</v>
      </c>
      <c r="F638" s="175" t="s">
        <v>265</v>
      </c>
      <c r="G638" s="175" t="s">
        <v>544</v>
      </c>
    </row>
    <row r="639" spans="1:7">
      <c r="A639" s="175" t="s">
        <v>3066</v>
      </c>
      <c r="B639" s="217" t="str">
        <f t="shared" si="9"/>
        <v>112300000[円]</v>
      </c>
      <c r="C639" s="216">
        <v>112300000</v>
      </c>
      <c r="D639" s="175" t="s">
        <v>235</v>
      </c>
      <c r="E639" s="175">
        <v>1513.663298342</v>
      </c>
      <c r="F639" s="175" t="s">
        <v>265</v>
      </c>
      <c r="G639" s="175" t="s">
        <v>3067</v>
      </c>
    </row>
    <row r="640" spans="1:7">
      <c r="A640" s="175" t="s">
        <v>3068</v>
      </c>
      <c r="B640" s="217" t="str">
        <f t="shared" si="9"/>
        <v>112311000[円]</v>
      </c>
      <c r="C640" s="216">
        <v>112311000</v>
      </c>
      <c r="D640" s="175" t="s">
        <v>235</v>
      </c>
      <c r="E640" s="175">
        <v>1513.663298342</v>
      </c>
      <c r="F640" s="175" t="s">
        <v>265</v>
      </c>
      <c r="G640" s="175" t="s">
        <v>546</v>
      </c>
    </row>
    <row r="641" spans="1:7">
      <c r="A641" s="175" t="s">
        <v>3069</v>
      </c>
      <c r="B641" s="217" t="str">
        <f t="shared" si="9"/>
        <v>112900000[円]</v>
      </c>
      <c r="C641" s="216">
        <v>112900000</v>
      </c>
      <c r="D641" s="175" t="s">
        <v>235</v>
      </c>
      <c r="E641" s="175">
        <v>476.43312100000003</v>
      </c>
      <c r="F641" s="175" t="s">
        <v>265</v>
      </c>
      <c r="G641" s="175" t="s">
        <v>3070</v>
      </c>
    </row>
    <row r="642" spans="1:7">
      <c r="A642" s="175" t="s">
        <v>3071</v>
      </c>
      <c r="B642" s="217" t="str">
        <f t="shared" ref="B642:B705" si="10">C642&amp;"["&amp;F642&amp;"]"</f>
        <v>112911000[円]</v>
      </c>
      <c r="C642" s="216">
        <v>112911000</v>
      </c>
      <c r="D642" s="175" t="s">
        <v>235</v>
      </c>
      <c r="E642" s="175">
        <v>476.43312100000003</v>
      </c>
      <c r="F642" s="175" t="s">
        <v>265</v>
      </c>
      <c r="G642" s="175" t="s">
        <v>548</v>
      </c>
    </row>
    <row r="643" spans="1:7">
      <c r="A643" s="175" t="s">
        <v>3072</v>
      </c>
      <c r="B643" s="217" t="str">
        <f t="shared" si="10"/>
        <v>114100000[円]</v>
      </c>
      <c r="C643" s="216">
        <v>114100000</v>
      </c>
      <c r="D643" s="175" t="s">
        <v>425</v>
      </c>
      <c r="E643" s="175">
        <v>191.29960360000001</v>
      </c>
      <c r="F643" s="175" t="s">
        <v>265</v>
      </c>
      <c r="G643" s="175" t="s">
        <v>3073</v>
      </c>
    </row>
    <row r="644" spans="1:7">
      <c r="A644" s="175" t="s">
        <v>3074</v>
      </c>
      <c r="B644" s="217" t="str">
        <f t="shared" si="10"/>
        <v>114111000[円]</v>
      </c>
      <c r="C644" s="216">
        <v>114111000</v>
      </c>
      <c r="D644" s="175" t="s">
        <v>425</v>
      </c>
      <c r="E644" s="175">
        <v>191.29960360000001</v>
      </c>
      <c r="F644" s="175" t="s">
        <v>265</v>
      </c>
      <c r="G644" s="175" t="s">
        <v>3075</v>
      </c>
    </row>
    <row r="645" spans="1:7">
      <c r="A645" s="175" t="s">
        <v>3076</v>
      </c>
      <c r="B645" s="217" t="str">
        <f t="shared" si="10"/>
        <v>114111207[m2]</v>
      </c>
      <c r="C645" s="216">
        <v>114111207</v>
      </c>
      <c r="D645" s="175" t="s">
        <v>235</v>
      </c>
      <c r="E645" s="175">
        <v>5.2631578947368398</v>
      </c>
      <c r="F645" s="175" t="s">
        <v>425</v>
      </c>
      <c r="G645" s="175" t="s">
        <v>3077</v>
      </c>
    </row>
    <row r="646" spans="1:7">
      <c r="A646" s="175" t="s">
        <v>3078</v>
      </c>
      <c r="B646" s="217" t="str">
        <f t="shared" si="10"/>
        <v>114200000[円]</v>
      </c>
      <c r="C646" s="216">
        <v>114200000</v>
      </c>
      <c r="D646" s="175" t="s">
        <v>425</v>
      </c>
      <c r="E646" s="175">
        <v>322.3520858</v>
      </c>
      <c r="F646" s="175" t="s">
        <v>265</v>
      </c>
      <c r="G646" s="175" t="s">
        <v>3079</v>
      </c>
    </row>
    <row r="647" spans="1:7">
      <c r="A647" s="175" t="s">
        <v>3080</v>
      </c>
      <c r="B647" s="217" t="str">
        <f t="shared" si="10"/>
        <v>114211000[円]</v>
      </c>
      <c r="C647" s="216">
        <v>114211000</v>
      </c>
      <c r="D647" s="175" t="s">
        <v>425</v>
      </c>
      <c r="E647" s="175">
        <v>322.3520858</v>
      </c>
      <c r="F647" s="175" t="s">
        <v>265</v>
      </c>
      <c r="G647" s="175" t="s">
        <v>3081</v>
      </c>
    </row>
    <row r="648" spans="1:7">
      <c r="A648" s="175" t="s">
        <v>3082</v>
      </c>
      <c r="B648" s="217" t="str">
        <f t="shared" si="10"/>
        <v>114211204[m2]</v>
      </c>
      <c r="C648" s="216">
        <v>114211204</v>
      </c>
      <c r="D648" s="175" t="s">
        <v>235</v>
      </c>
      <c r="E648" s="175">
        <v>7.1770270270270302</v>
      </c>
      <c r="F648" s="175" t="s">
        <v>425</v>
      </c>
      <c r="G648" s="175" t="s">
        <v>3083</v>
      </c>
    </row>
    <row r="649" spans="1:7">
      <c r="A649" s="175" t="s">
        <v>3084</v>
      </c>
      <c r="B649" s="217" t="str">
        <f t="shared" si="10"/>
        <v>114211205[m2]</v>
      </c>
      <c r="C649" s="216">
        <v>114211205</v>
      </c>
      <c r="D649" s="175" t="s">
        <v>235</v>
      </c>
      <c r="E649" s="175">
        <v>4.6511627906976702</v>
      </c>
      <c r="F649" s="175" t="s">
        <v>425</v>
      </c>
      <c r="G649" s="175" t="s">
        <v>3085</v>
      </c>
    </row>
    <row r="650" spans="1:7">
      <c r="A650" s="175" t="s">
        <v>3086</v>
      </c>
      <c r="B650" s="217" t="str">
        <f t="shared" si="10"/>
        <v>114300000[円]</v>
      </c>
      <c r="C650" s="216">
        <v>114300000</v>
      </c>
      <c r="D650" s="175" t="s">
        <v>425</v>
      </c>
      <c r="E650" s="175">
        <v>1107.0875329999999</v>
      </c>
      <c r="F650" s="175" t="s">
        <v>265</v>
      </c>
      <c r="G650" s="175" t="s">
        <v>3087</v>
      </c>
    </row>
    <row r="651" spans="1:7">
      <c r="A651" s="175" t="s">
        <v>3088</v>
      </c>
      <c r="B651" s="217" t="str">
        <f t="shared" si="10"/>
        <v>114311000[円]</v>
      </c>
      <c r="C651" s="216">
        <v>114311000</v>
      </c>
      <c r="D651" s="175" t="s">
        <v>425</v>
      </c>
      <c r="E651" s="175">
        <v>1107.0875329999999</v>
      </c>
      <c r="F651" s="175" t="s">
        <v>265</v>
      </c>
      <c r="G651" s="175" t="s">
        <v>3089</v>
      </c>
    </row>
    <row r="652" spans="1:7">
      <c r="A652" s="175" t="s">
        <v>3090</v>
      </c>
      <c r="B652" s="217" t="str">
        <f t="shared" si="10"/>
        <v>114400000[円]</v>
      </c>
      <c r="C652" s="216">
        <v>114400000</v>
      </c>
      <c r="D652" s="175" t="s">
        <v>425</v>
      </c>
      <c r="E652" s="175">
        <v>772.38010659999998</v>
      </c>
      <c r="F652" s="175" t="s">
        <v>265</v>
      </c>
      <c r="G652" s="175" t="s">
        <v>3091</v>
      </c>
    </row>
    <row r="653" spans="1:7">
      <c r="A653" s="175" t="s">
        <v>3092</v>
      </c>
      <c r="B653" s="217" t="str">
        <f t="shared" si="10"/>
        <v>114411000[円]</v>
      </c>
      <c r="C653" s="216">
        <v>114411000</v>
      </c>
      <c r="D653" s="175" t="s">
        <v>425</v>
      </c>
      <c r="E653" s="175">
        <v>772.38010659999998</v>
      </c>
      <c r="F653" s="175" t="s">
        <v>265</v>
      </c>
      <c r="G653" s="175" t="s">
        <v>3093</v>
      </c>
    </row>
    <row r="654" spans="1:7">
      <c r="A654" s="175" t="s">
        <v>3094</v>
      </c>
      <c r="B654" s="217" t="str">
        <f t="shared" si="10"/>
        <v>114900000[円]</v>
      </c>
      <c r="C654" s="216">
        <v>114900000</v>
      </c>
      <c r="D654" s="175" t="s">
        <v>425</v>
      </c>
      <c r="E654" s="175">
        <v>417.07787050000002</v>
      </c>
      <c r="F654" s="175" t="s">
        <v>265</v>
      </c>
      <c r="G654" s="175" t="s">
        <v>3095</v>
      </c>
    </row>
    <row r="655" spans="1:7">
      <c r="A655" s="175" t="s">
        <v>3096</v>
      </c>
      <c r="B655" s="217" t="str">
        <f t="shared" si="10"/>
        <v>114911000[円]</v>
      </c>
      <c r="C655" s="216">
        <v>114911000</v>
      </c>
      <c r="D655" s="175" t="s">
        <v>425</v>
      </c>
      <c r="E655" s="175">
        <v>417.07787050000002</v>
      </c>
      <c r="F655" s="175" t="s">
        <v>265</v>
      </c>
      <c r="G655" s="175" t="s">
        <v>3097</v>
      </c>
    </row>
    <row r="656" spans="1:7">
      <c r="A656" s="175" t="s">
        <v>3098</v>
      </c>
      <c r="B656" s="217" t="str">
        <f t="shared" si="10"/>
        <v>115100000[円]</v>
      </c>
      <c r="C656" s="216">
        <v>115100000</v>
      </c>
      <c r="D656" s="175" t="s">
        <v>235</v>
      </c>
      <c r="E656" s="175">
        <v>1017.67743036463</v>
      </c>
      <c r="F656" s="175" t="s">
        <v>265</v>
      </c>
      <c r="G656" s="175" t="s">
        <v>3099</v>
      </c>
    </row>
    <row r="657" spans="1:7">
      <c r="A657" s="175" t="s">
        <v>3100</v>
      </c>
      <c r="B657" s="217" t="str">
        <f t="shared" si="10"/>
        <v>115111000[円]</v>
      </c>
      <c r="C657" s="216">
        <v>115111000</v>
      </c>
      <c r="D657" s="175" t="s">
        <v>235</v>
      </c>
      <c r="E657" s="175">
        <v>1017.67743036463</v>
      </c>
      <c r="F657" s="175" t="s">
        <v>265</v>
      </c>
      <c r="G657" s="175" t="s">
        <v>554</v>
      </c>
    </row>
    <row r="658" spans="1:7">
      <c r="A658" s="175" t="s">
        <v>3101</v>
      </c>
      <c r="B658" s="217" t="str">
        <f t="shared" si="10"/>
        <v>115200000[円]</v>
      </c>
      <c r="C658" s="216">
        <v>115200000</v>
      </c>
      <c r="D658" s="175" t="s">
        <v>235</v>
      </c>
      <c r="E658" s="175">
        <v>800.57246196058895</v>
      </c>
      <c r="F658" s="175" t="s">
        <v>265</v>
      </c>
      <c r="G658" s="175" t="s">
        <v>3102</v>
      </c>
    </row>
    <row r="659" spans="1:7">
      <c r="A659" s="175" t="s">
        <v>3103</v>
      </c>
      <c r="B659" s="217" t="str">
        <f t="shared" si="10"/>
        <v>115211000[円]</v>
      </c>
      <c r="C659" s="216">
        <v>115211000</v>
      </c>
      <c r="D659" s="175" t="s">
        <v>235</v>
      </c>
      <c r="E659" s="175">
        <v>800.57246196058895</v>
      </c>
      <c r="F659" s="175" t="s">
        <v>265</v>
      </c>
      <c r="G659" s="175" t="s">
        <v>555</v>
      </c>
    </row>
    <row r="660" spans="1:7">
      <c r="A660" s="175" t="s">
        <v>3104</v>
      </c>
      <c r="B660" s="217" t="str">
        <f t="shared" si="10"/>
        <v>115300000[円]</v>
      </c>
      <c r="C660" s="216">
        <v>115300000</v>
      </c>
      <c r="D660" s="175" t="s">
        <v>235</v>
      </c>
      <c r="E660" s="175">
        <v>1138.00941176471</v>
      </c>
      <c r="F660" s="175" t="s">
        <v>265</v>
      </c>
      <c r="G660" s="175" t="s">
        <v>3105</v>
      </c>
    </row>
    <row r="661" spans="1:7">
      <c r="A661" s="175" t="s">
        <v>3106</v>
      </c>
      <c r="B661" s="217" t="str">
        <f t="shared" si="10"/>
        <v>115311000[円]</v>
      </c>
      <c r="C661" s="216">
        <v>115311000</v>
      </c>
      <c r="D661" s="175" t="s">
        <v>235</v>
      </c>
      <c r="E661" s="175">
        <v>1138.00941176471</v>
      </c>
      <c r="F661" s="175" t="s">
        <v>265</v>
      </c>
      <c r="G661" s="175" t="s">
        <v>556</v>
      </c>
    </row>
    <row r="662" spans="1:7">
      <c r="A662" s="175" t="s">
        <v>3107</v>
      </c>
      <c r="B662" s="217" t="str">
        <f t="shared" si="10"/>
        <v>116000700[kg]</v>
      </c>
      <c r="C662" s="216">
        <v>116000700</v>
      </c>
      <c r="D662" s="175" t="s">
        <v>425</v>
      </c>
      <c r="E662" s="175">
        <v>0.156</v>
      </c>
      <c r="F662" s="175" t="s">
        <v>235</v>
      </c>
      <c r="G662" s="175" t="s">
        <v>3108</v>
      </c>
    </row>
    <row r="663" spans="1:7">
      <c r="A663" s="175" t="s">
        <v>3107</v>
      </c>
      <c r="B663" s="217" t="str">
        <f t="shared" si="10"/>
        <v>116000700[円]</v>
      </c>
      <c r="C663" s="216">
        <v>116000700</v>
      </c>
      <c r="D663" s="175" t="s">
        <v>425</v>
      </c>
      <c r="E663" s="175">
        <v>151.58013154832199</v>
      </c>
      <c r="F663" s="175" t="s">
        <v>265</v>
      </c>
      <c r="G663" s="175" t="s">
        <v>3108</v>
      </c>
    </row>
    <row r="664" spans="1:7">
      <c r="A664" s="175" t="s">
        <v>3109</v>
      </c>
      <c r="B664" s="217" t="str">
        <f t="shared" si="10"/>
        <v>116100700[円]</v>
      </c>
      <c r="C664" s="216">
        <v>116100700</v>
      </c>
      <c r="D664" s="175" t="s">
        <v>425</v>
      </c>
      <c r="E664" s="175">
        <v>146.23701292117499</v>
      </c>
      <c r="F664" s="175" t="s">
        <v>265</v>
      </c>
      <c r="G664" s="175" t="s">
        <v>3110</v>
      </c>
    </row>
    <row r="665" spans="1:7">
      <c r="A665" s="175" t="s">
        <v>3109</v>
      </c>
      <c r="B665" s="217" t="str">
        <f t="shared" si="10"/>
        <v>116100700[kg]</v>
      </c>
      <c r="C665" s="216">
        <v>116100700</v>
      </c>
      <c r="D665" s="175" t="s">
        <v>425</v>
      </c>
      <c r="E665" s="175">
        <v>0.156</v>
      </c>
      <c r="F665" s="175" t="s">
        <v>235</v>
      </c>
      <c r="G665" s="175" t="s">
        <v>3110</v>
      </c>
    </row>
    <row r="666" spans="1:7">
      <c r="A666" s="175" t="s">
        <v>3111</v>
      </c>
      <c r="B666" s="217" t="str">
        <f t="shared" si="10"/>
        <v>116200700[円]</v>
      </c>
      <c r="C666" s="216">
        <v>116200700</v>
      </c>
      <c r="D666" s="175" t="s">
        <v>425</v>
      </c>
      <c r="E666" s="175">
        <v>180.07526795925401</v>
      </c>
      <c r="F666" s="175" t="s">
        <v>265</v>
      </c>
      <c r="G666" s="175" t="s">
        <v>3112</v>
      </c>
    </row>
    <row r="667" spans="1:7">
      <c r="A667" s="175" t="s">
        <v>3111</v>
      </c>
      <c r="B667" s="217" t="str">
        <f t="shared" si="10"/>
        <v>116200700[kg]</v>
      </c>
      <c r="C667" s="216">
        <v>116200700</v>
      </c>
      <c r="D667" s="175" t="s">
        <v>425</v>
      </c>
      <c r="E667" s="175">
        <v>0.27900000000000003</v>
      </c>
      <c r="F667" s="175" t="s">
        <v>235</v>
      </c>
      <c r="G667" s="175" t="s">
        <v>3112</v>
      </c>
    </row>
    <row r="668" spans="1:7">
      <c r="A668" s="175" t="s">
        <v>3113</v>
      </c>
      <c r="B668" s="217" t="str">
        <f t="shared" si="10"/>
        <v>117100000[円]</v>
      </c>
      <c r="C668" s="216">
        <v>117100000</v>
      </c>
      <c r="D668" s="175" t="s">
        <v>235</v>
      </c>
      <c r="E668" s="175">
        <v>758.55843130000005</v>
      </c>
      <c r="F668" s="175" t="s">
        <v>265</v>
      </c>
      <c r="G668" s="175" t="s">
        <v>3114</v>
      </c>
    </row>
    <row r="669" spans="1:7">
      <c r="A669" s="175" t="s">
        <v>3115</v>
      </c>
      <c r="B669" s="217" t="str">
        <f t="shared" si="10"/>
        <v>117111000[円]</v>
      </c>
      <c r="C669" s="216">
        <v>117111000</v>
      </c>
      <c r="D669" s="175" t="s">
        <v>235</v>
      </c>
      <c r="E669" s="175">
        <v>758.55843130000005</v>
      </c>
      <c r="F669" s="175" t="s">
        <v>265</v>
      </c>
      <c r="G669" s="175" t="s">
        <v>557</v>
      </c>
    </row>
    <row r="670" spans="1:7">
      <c r="A670" s="175" t="s">
        <v>3116</v>
      </c>
      <c r="B670" s="217" t="str">
        <f t="shared" si="10"/>
        <v>117200000[円]</v>
      </c>
      <c r="C670" s="216">
        <v>117200000</v>
      </c>
      <c r="D670" s="175" t="s">
        <v>235</v>
      </c>
      <c r="E670" s="175">
        <v>1598.6069729999999</v>
      </c>
      <c r="F670" s="175" t="s">
        <v>265</v>
      </c>
      <c r="G670" s="175" t="s">
        <v>3117</v>
      </c>
    </row>
    <row r="671" spans="1:7">
      <c r="A671" s="175" t="s">
        <v>3118</v>
      </c>
      <c r="B671" s="217" t="str">
        <f t="shared" si="10"/>
        <v>117211000[円]</v>
      </c>
      <c r="C671" s="216">
        <v>117211000</v>
      </c>
      <c r="D671" s="175" t="s">
        <v>235</v>
      </c>
      <c r="E671" s="175">
        <v>1598.6069729999999</v>
      </c>
      <c r="F671" s="175" t="s">
        <v>265</v>
      </c>
      <c r="G671" s="175" t="s">
        <v>558</v>
      </c>
    </row>
    <row r="672" spans="1:7">
      <c r="A672" s="175" t="s">
        <v>3119</v>
      </c>
      <c r="B672" s="217" t="str">
        <f t="shared" si="10"/>
        <v>118100000[円]</v>
      </c>
      <c r="C672" s="216">
        <v>118100000</v>
      </c>
      <c r="D672" s="175" t="s">
        <v>425</v>
      </c>
      <c r="E672" s="175">
        <v>168.888987330557</v>
      </c>
      <c r="F672" s="175" t="s">
        <v>265</v>
      </c>
      <c r="G672" s="175" t="s">
        <v>3120</v>
      </c>
    </row>
    <row r="673" spans="1:7">
      <c r="A673" s="175" t="s">
        <v>3121</v>
      </c>
      <c r="B673" s="217" t="str">
        <f t="shared" si="10"/>
        <v>118111000[円]</v>
      </c>
      <c r="C673" s="216">
        <v>118111000</v>
      </c>
      <c r="D673" s="175" t="s">
        <v>425</v>
      </c>
      <c r="E673" s="175">
        <v>168.888987330557</v>
      </c>
      <c r="F673" s="175" t="s">
        <v>265</v>
      </c>
      <c r="G673" s="175" t="s">
        <v>560</v>
      </c>
    </row>
    <row r="674" spans="1:7">
      <c r="A674" s="175" t="s">
        <v>3122</v>
      </c>
      <c r="B674" s="217" t="str">
        <f t="shared" si="10"/>
        <v>118200000[円]</v>
      </c>
      <c r="C674" s="216">
        <v>118200000</v>
      </c>
      <c r="D674" s="175" t="s">
        <v>425</v>
      </c>
      <c r="E674" s="175">
        <v>245.69211519444599</v>
      </c>
      <c r="F674" s="175" t="s">
        <v>265</v>
      </c>
      <c r="G674" s="175" t="s">
        <v>3123</v>
      </c>
    </row>
    <row r="675" spans="1:7">
      <c r="A675" s="175" t="s">
        <v>3124</v>
      </c>
      <c r="B675" s="217" t="str">
        <f t="shared" si="10"/>
        <v>118211000[円]</v>
      </c>
      <c r="C675" s="216">
        <v>118211000</v>
      </c>
      <c r="D675" s="175" t="s">
        <v>425</v>
      </c>
      <c r="E675" s="175">
        <v>245.69211519444599</v>
      </c>
      <c r="F675" s="175" t="s">
        <v>265</v>
      </c>
      <c r="G675" s="175" t="s">
        <v>561</v>
      </c>
    </row>
    <row r="676" spans="1:7">
      <c r="A676" s="175" t="s">
        <v>3125</v>
      </c>
      <c r="B676" s="217" t="str">
        <f t="shared" si="10"/>
        <v>118300000[円]</v>
      </c>
      <c r="C676" s="216">
        <v>118300000</v>
      </c>
      <c r="D676" s="175" t="s">
        <v>425</v>
      </c>
      <c r="E676" s="175">
        <v>905.25763793889598</v>
      </c>
      <c r="F676" s="175" t="s">
        <v>265</v>
      </c>
      <c r="G676" s="175" t="s">
        <v>3126</v>
      </c>
    </row>
    <row r="677" spans="1:7">
      <c r="A677" s="175" t="s">
        <v>3127</v>
      </c>
      <c r="B677" s="217" t="str">
        <f t="shared" si="10"/>
        <v>118311000[円]</v>
      </c>
      <c r="C677" s="216">
        <v>118311000</v>
      </c>
      <c r="D677" s="175" t="s">
        <v>425</v>
      </c>
      <c r="E677" s="175">
        <v>905.25763793889598</v>
      </c>
      <c r="F677" s="175" t="s">
        <v>265</v>
      </c>
      <c r="G677" s="175" t="s">
        <v>562</v>
      </c>
    </row>
    <row r="678" spans="1:7">
      <c r="A678" s="175" t="s">
        <v>3128</v>
      </c>
      <c r="B678" s="217" t="str">
        <f t="shared" si="10"/>
        <v>118400000[円]</v>
      </c>
      <c r="C678" s="216">
        <v>118400000</v>
      </c>
      <c r="D678" s="175" t="s">
        <v>235</v>
      </c>
      <c r="E678" s="175">
        <v>2370.6189410000002</v>
      </c>
      <c r="F678" s="175" t="s">
        <v>265</v>
      </c>
      <c r="G678" s="175" t="s">
        <v>3129</v>
      </c>
    </row>
    <row r="679" spans="1:7">
      <c r="A679" s="175" t="s">
        <v>3130</v>
      </c>
      <c r="B679" s="217" t="str">
        <f t="shared" si="10"/>
        <v>118411000[円]</v>
      </c>
      <c r="C679" s="216">
        <v>118411000</v>
      </c>
      <c r="D679" s="175" t="s">
        <v>235</v>
      </c>
      <c r="E679" s="175">
        <v>2370.6189410000002</v>
      </c>
      <c r="F679" s="175" t="s">
        <v>265</v>
      </c>
      <c r="G679" s="175" t="s">
        <v>563</v>
      </c>
    </row>
    <row r="680" spans="1:7">
      <c r="A680" s="175" t="s">
        <v>3131</v>
      </c>
      <c r="B680" s="217" t="str">
        <f t="shared" si="10"/>
        <v>118500000[円]</v>
      </c>
      <c r="C680" s="216">
        <v>118500000</v>
      </c>
      <c r="D680" s="175" t="s">
        <v>235</v>
      </c>
      <c r="E680" s="175">
        <v>1907.702984</v>
      </c>
      <c r="F680" s="175" t="s">
        <v>265</v>
      </c>
      <c r="G680" s="175" t="s">
        <v>3132</v>
      </c>
    </row>
    <row r="681" spans="1:7">
      <c r="A681" s="175" t="s">
        <v>3133</v>
      </c>
      <c r="B681" s="217" t="str">
        <f t="shared" si="10"/>
        <v>118511000[円]</v>
      </c>
      <c r="C681" s="216">
        <v>118511000</v>
      </c>
      <c r="D681" s="175" t="s">
        <v>235</v>
      </c>
      <c r="E681" s="175">
        <v>1907.702984</v>
      </c>
      <c r="F681" s="175" t="s">
        <v>265</v>
      </c>
      <c r="G681" s="175" t="s">
        <v>564</v>
      </c>
    </row>
    <row r="682" spans="1:7">
      <c r="A682" s="175" t="s">
        <v>3134</v>
      </c>
      <c r="B682" s="217" t="str">
        <f t="shared" si="10"/>
        <v>119100000[円]</v>
      </c>
      <c r="C682" s="216">
        <v>119100000</v>
      </c>
      <c r="D682" s="175" t="s">
        <v>235</v>
      </c>
      <c r="E682" s="175">
        <v>899.47500000000002</v>
      </c>
      <c r="F682" s="175" t="s">
        <v>265</v>
      </c>
      <c r="G682" s="175" t="s">
        <v>3135</v>
      </c>
    </row>
    <row r="683" spans="1:7">
      <c r="A683" s="175" t="s">
        <v>3136</v>
      </c>
      <c r="B683" s="217" t="str">
        <f t="shared" si="10"/>
        <v>119111000[円]</v>
      </c>
      <c r="C683" s="216">
        <v>119111000</v>
      </c>
      <c r="D683" s="175" t="s">
        <v>235</v>
      </c>
      <c r="E683" s="175">
        <v>899.47500000000002</v>
      </c>
      <c r="F683" s="175" t="s">
        <v>265</v>
      </c>
      <c r="G683" s="175" t="s">
        <v>3137</v>
      </c>
    </row>
    <row r="684" spans="1:7">
      <c r="A684" s="175" t="s">
        <v>3138</v>
      </c>
      <c r="B684" s="217" t="str">
        <f t="shared" si="10"/>
        <v>119200000[円]</v>
      </c>
      <c r="C684" s="216">
        <v>119200000</v>
      </c>
      <c r="D684" s="175" t="s">
        <v>235</v>
      </c>
      <c r="E684" s="175">
        <v>559.14506071545804</v>
      </c>
      <c r="F684" s="175" t="s">
        <v>265</v>
      </c>
      <c r="G684" s="175" t="s">
        <v>3139</v>
      </c>
    </row>
    <row r="685" spans="1:7">
      <c r="A685" s="175" t="s">
        <v>3140</v>
      </c>
      <c r="B685" s="217" t="str">
        <f t="shared" si="10"/>
        <v>119211000[円]</v>
      </c>
      <c r="C685" s="216">
        <v>119211000</v>
      </c>
      <c r="D685" s="175" t="s">
        <v>235</v>
      </c>
      <c r="E685" s="175">
        <v>559.14506071545804</v>
      </c>
      <c r="F685" s="175" t="s">
        <v>265</v>
      </c>
      <c r="G685" s="175" t="s">
        <v>3141</v>
      </c>
    </row>
    <row r="686" spans="1:7">
      <c r="A686" s="175" t="s">
        <v>3142</v>
      </c>
      <c r="B686" s="217" t="str">
        <f t="shared" si="10"/>
        <v>119300000[円]</v>
      </c>
      <c r="C686" s="216">
        <v>119300000</v>
      </c>
      <c r="D686" s="175" t="s">
        <v>235</v>
      </c>
      <c r="E686" s="175">
        <v>549.72089940000001</v>
      </c>
      <c r="F686" s="175" t="s">
        <v>265</v>
      </c>
      <c r="G686" s="175" t="s">
        <v>3143</v>
      </c>
    </row>
    <row r="687" spans="1:7">
      <c r="A687" s="175" t="s">
        <v>3144</v>
      </c>
      <c r="B687" s="217" t="str">
        <f t="shared" si="10"/>
        <v>119311000[円]</v>
      </c>
      <c r="C687" s="216">
        <v>119311000</v>
      </c>
      <c r="D687" s="175" t="s">
        <v>235</v>
      </c>
      <c r="E687" s="175">
        <v>549.72089940000001</v>
      </c>
      <c r="F687" s="175" t="s">
        <v>265</v>
      </c>
      <c r="G687" s="175" t="s">
        <v>566</v>
      </c>
    </row>
    <row r="688" spans="1:7">
      <c r="A688" s="175" t="s">
        <v>3145</v>
      </c>
      <c r="B688" s="217" t="str">
        <f t="shared" si="10"/>
        <v>119400000[円]</v>
      </c>
      <c r="C688" s="216">
        <v>119400000</v>
      </c>
      <c r="D688" s="175" t="s">
        <v>425</v>
      </c>
      <c r="E688" s="175">
        <v>905.00040000000001</v>
      </c>
      <c r="F688" s="175" t="s">
        <v>265</v>
      </c>
      <c r="G688" s="175" t="s">
        <v>3146</v>
      </c>
    </row>
    <row r="689" spans="1:7">
      <c r="A689" s="175" t="s">
        <v>3145</v>
      </c>
      <c r="B689" s="217" t="str">
        <f t="shared" si="10"/>
        <v>119400000[kg]</v>
      </c>
      <c r="C689" s="216">
        <v>119400000</v>
      </c>
      <c r="D689" s="175" t="s">
        <v>425</v>
      </c>
      <c r="E689" s="175">
        <v>0.43073325707665799</v>
      </c>
      <c r="F689" s="175" t="s">
        <v>235</v>
      </c>
      <c r="G689" s="175" t="s">
        <v>3146</v>
      </c>
    </row>
    <row r="690" spans="1:7">
      <c r="A690" s="175" t="s">
        <v>3147</v>
      </c>
      <c r="B690" s="217" t="str">
        <f t="shared" si="10"/>
        <v>119411000[kg]</v>
      </c>
      <c r="C690" s="216">
        <v>119411000</v>
      </c>
      <c r="D690" s="175" t="s">
        <v>425</v>
      </c>
      <c r="E690" s="175">
        <v>0.43073325707665799</v>
      </c>
      <c r="F690" s="175" t="s">
        <v>235</v>
      </c>
      <c r="G690" s="175" t="s">
        <v>567</v>
      </c>
    </row>
    <row r="691" spans="1:7">
      <c r="A691" s="175" t="s">
        <v>3147</v>
      </c>
      <c r="B691" s="217" t="str">
        <f t="shared" si="10"/>
        <v>119411000[円]</v>
      </c>
      <c r="C691" s="216">
        <v>119411000</v>
      </c>
      <c r="D691" s="175" t="s">
        <v>425</v>
      </c>
      <c r="E691" s="175">
        <v>905.00040000000001</v>
      </c>
      <c r="F691" s="175" t="s">
        <v>265</v>
      </c>
      <c r="G691" s="175" t="s">
        <v>567</v>
      </c>
    </row>
    <row r="692" spans="1:7">
      <c r="A692" s="175" t="s">
        <v>3148</v>
      </c>
      <c r="B692" s="217" t="str">
        <f t="shared" si="10"/>
        <v>121100000[点]</v>
      </c>
      <c r="C692" s="216">
        <v>121100000</v>
      </c>
      <c r="D692" s="175" t="s">
        <v>265</v>
      </c>
      <c r="E692" s="175">
        <v>1.9693519316262901E-4</v>
      </c>
      <c r="F692" s="175" t="s">
        <v>2024</v>
      </c>
      <c r="G692" s="175" t="s">
        <v>3149</v>
      </c>
    </row>
    <row r="693" spans="1:7">
      <c r="A693" s="175" t="s">
        <v>3150</v>
      </c>
      <c r="B693" s="217" t="str">
        <f t="shared" si="10"/>
        <v>121111000[点]</v>
      </c>
      <c r="C693" s="216">
        <v>121111000</v>
      </c>
      <c r="D693" s="175" t="s">
        <v>265</v>
      </c>
      <c r="E693" s="175">
        <v>1.9693519316262901E-4</v>
      </c>
      <c r="F693" s="175" t="s">
        <v>2024</v>
      </c>
      <c r="G693" s="175" t="s">
        <v>570</v>
      </c>
    </row>
    <row r="694" spans="1:7">
      <c r="A694" s="175" t="s">
        <v>3151</v>
      </c>
      <c r="B694" s="217" t="str">
        <f t="shared" si="10"/>
        <v>121200000[点]</v>
      </c>
      <c r="C694" s="216">
        <v>121200000</v>
      </c>
      <c r="D694" s="175" t="s">
        <v>265</v>
      </c>
      <c r="E694" s="175">
        <v>3.2053079007597201E-4</v>
      </c>
      <c r="F694" s="175" t="s">
        <v>2024</v>
      </c>
      <c r="G694" s="175" t="s">
        <v>3152</v>
      </c>
    </row>
    <row r="695" spans="1:7">
      <c r="A695" s="175" t="s">
        <v>3153</v>
      </c>
      <c r="B695" s="217" t="str">
        <f t="shared" si="10"/>
        <v>121211000[点]</v>
      </c>
      <c r="C695" s="216">
        <v>121211000</v>
      </c>
      <c r="D695" s="175" t="s">
        <v>265</v>
      </c>
      <c r="E695" s="175">
        <v>3.2053079007597201E-4</v>
      </c>
      <c r="F695" s="175" t="s">
        <v>2024</v>
      </c>
      <c r="G695" s="175" t="s">
        <v>571</v>
      </c>
    </row>
    <row r="696" spans="1:7">
      <c r="A696" s="175" t="s">
        <v>3154</v>
      </c>
      <c r="B696" s="217" t="str">
        <f t="shared" si="10"/>
        <v>121300000[着]</v>
      </c>
      <c r="C696" s="216">
        <v>121300000</v>
      </c>
      <c r="D696" s="175" t="s">
        <v>265</v>
      </c>
      <c r="E696" s="175">
        <v>7.5596318862655503E-4</v>
      </c>
      <c r="F696" s="175" t="s">
        <v>2018</v>
      </c>
      <c r="G696" s="175" t="s">
        <v>3155</v>
      </c>
    </row>
    <row r="697" spans="1:7">
      <c r="A697" s="175" t="s">
        <v>3156</v>
      </c>
      <c r="B697" s="217" t="str">
        <f t="shared" si="10"/>
        <v>121311000[着]</v>
      </c>
      <c r="C697" s="216">
        <v>121311000</v>
      </c>
      <c r="D697" s="175" t="s">
        <v>265</v>
      </c>
      <c r="E697" s="175">
        <v>7.5596318862655503E-4</v>
      </c>
      <c r="F697" s="175" t="s">
        <v>2018</v>
      </c>
      <c r="G697" s="175" t="s">
        <v>572</v>
      </c>
    </row>
    <row r="698" spans="1:7">
      <c r="A698" s="175" t="s">
        <v>3157</v>
      </c>
      <c r="B698" s="217" t="str">
        <f t="shared" si="10"/>
        <v>121400000[着]</v>
      </c>
      <c r="C698" s="216">
        <v>121400000</v>
      </c>
      <c r="D698" s="175" t="s">
        <v>265</v>
      </c>
      <c r="E698" s="175">
        <v>7.2154372067984301E-4</v>
      </c>
      <c r="F698" s="175" t="s">
        <v>2018</v>
      </c>
      <c r="G698" s="175" t="s">
        <v>3158</v>
      </c>
    </row>
    <row r="699" spans="1:7">
      <c r="A699" s="175" t="s">
        <v>3159</v>
      </c>
      <c r="B699" s="217" t="str">
        <f t="shared" si="10"/>
        <v>121411000[着]</v>
      </c>
      <c r="C699" s="216">
        <v>121411000</v>
      </c>
      <c r="D699" s="175" t="s">
        <v>265</v>
      </c>
      <c r="E699" s="175">
        <v>7.2154372067984301E-4</v>
      </c>
      <c r="F699" s="175" t="s">
        <v>2018</v>
      </c>
      <c r="G699" s="175" t="s">
        <v>573</v>
      </c>
    </row>
    <row r="700" spans="1:7">
      <c r="A700" s="175" t="s">
        <v>3160</v>
      </c>
      <c r="B700" s="217" t="str">
        <f t="shared" si="10"/>
        <v>121600000[点]</v>
      </c>
      <c r="C700" s="216">
        <v>121600000</v>
      </c>
      <c r="D700" s="175" t="s">
        <v>265</v>
      </c>
      <c r="E700" s="175">
        <v>1.8863295217998801E-4</v>
      </c>
      <c r="F700" s="175" t="s">
        <v>2024</v>
      </c>
      <c r="G700" s="175" t="s">
        <v>3161</v>
      </c>
    </row>
    <row r="701" spans="1:7">
      <c r="A701" s="175" t="s">
        <v>3162</v>
      </c>
      <c r="B701" s="217" t="str">
        <f t="shared" si="10"/>
        <v>121611000[点]</v>
      </c>
      <c r="C701" s="216">
        <v>121611000</v>
      </c>
      <c r="D701" s="175" t="s">
        <v>265</v>
      </c>
      <c r="E701" s="175">
        <v>1.8863295217998801E-4</v>
      </c>
      <c r="F701" s="175" t="s">
        <v>2024</v>
      </c>
      <c r="G701" s="175" t="s">
        <v>575</v>
      </c>
    </row>
    <row r="702" spans="1:7">
      <c r="A702" s="175" t="s">
        <v>3163</v>
      </c>
      <c r="B702" s="217" t="str">
        <f t="shared" si="10"/>
        <v>122100000[着]</v>
      </c>
      <c r="C702" s="216">
        <v>122100000</v>
      </c>
      <c r="D702" s="175" t="s">
        <v>265</v>
      </c>
      <c r="E702" s="175">
        <v>4.6376171621591398E-4</v>
      </c>
      <c r="F702" s="175" t="s">
        <v>2018</v>
      </c>
      <c r="G702" s="175" t="s">
        <v>3164</v>
      </c>
    </row>
    <row r="703" spans="1:7">
      <c r="A703" s="175" t="s">
        <v>3165</v>
      </c>
      <c r="B703" s="217" t="str">
        <f t="shared" si="10"/>
        <v>122111000[着]</v>
      </c>
      <c r="C703" s="216">
        <v>122111000</v>
      </c>
      <c r="D703" s="175" t="s">
        <v>265</v>
      </c>
      <c r="E703" s="175">
        <v>4.6376171621591398E-4</v>
      </c>
      <c r="F703" s="175" t="s">
        <v>2018</v>
      </c>
      <c r="G703" s="175" t="s">
        <v>3166</v>
      </c>
    </row>
    <row r="704" spans="1:7">
      <c r="A704" s="175" t="s">
        <v>3167</v>
      </c>
      <c r="B704" s="217" t="str">
        <f t="shared" si="10"/>
        <v>122200000[着]</v>
      </c>
      <c r="C704" s="216">
        <v>122200000</v>
      </c>
      <c r="D704" s="175" t="s">
        <v>265</v>
      </c>
      <c r="E704" s="175">
        <v>1.59867771885689E-3</v>
      </c>
      <c r="F704" s="175" t="s">
        <v>2018</v>
      </c>
      <c r="G704" s="175" t="s">
        <v>3168</v>
      </c>
    </row>
    <row r="705" spans="1:7">
      <c r="A705" s="175" t="s">
        <v>3169</v>
      </c>
      <c r="B705" s="217" t="str">
        <f t="shared" si="10"/>
        <v>122211000[着]</v>
      </c>
      <c r="C705" s="216">
        <v>122211000</v>
      </c>
      <c r="D705" s="175" t="s">
        <v>265</v>
      </c>
      <c r="E705" s="175">
        <v>1.59867771885689E-3</v>
      </c>
      <c r="F705" s="175" t="s">
        <v>2018</v>
      </c>
      <c r="G705" s="175" t="s">
        <v>576</v>
      </c>
    </row>
    <row r="706" spans="1:7">
      <c r="A706" s="175" t="s">
        <v>3170</v>
      </c>
      <c r="B706" s="217" t="str">
        <f t="shared" ref="B706:B769" si="11">C706&amp;"["&amp;F706&amp;"]"</f>
        <v>122300000[着]</v>
      </c>
      <c r="C706" s="216">
        <v>122300000</v>
      </c>
      <c r="D706" s="175" t="s">
        <v>265</v>
      </c>
      <c r="E706" s="175">
        <v>4.6773631133508001E-4</v>
      </c>
      <c r="F706" s="175" t="s">
        <v>2018</v>
      </c>
      <c r="G706" s="175" t="s">
        <v>3171</v>
      </c>
    </row>
    <row r="707" spans="1:7">
      <c r="A707" s="175" t="s">
        <v>3172</v>
      </c>
      <c r="B707" s="217" t="str">
        <f t="shared" si="11"/>
        <v>122311000[着]</v>
      </c>
      <c r="C707" s="216">
        <v>122311000</v>
      </c>
      <c r="D707" s="175" t="s">
        <v>265</v>
      </c>
      <c r="E707" s="175">
        <v>4.6773631133508001E-4</v>
      </c>
      <c r="F707" s="175" t="s">
        <v>2018</v>
      </c>
      <c r="G707" s="175" t="s">
        <v>577</v>
      </c>
    </row>
    <row r="708" spans="1:7">
      <c r="A708" s="175" t="s">
        <v>3173</v>
      </c>
      <c r="B708" s="217" t="str">
        <f t="shared" si="11"/>
        <v>122900000[着]</v>
      </c>
      <c r="C708" s="216">
        <v>122900000</v>
      </c>
      <c r="D708" s="175" t="s">
        <v>265</v>
      </c>
      <c r="E708" s="175">
        <v>9.6297016028008896E-4</v>
      </c>
      <c r="F708" s="175" t="s">
        <v>2018</v>
      </c>
      <c r="G708" s="175" t="s">
        <v>3174</v>
      </c>
    </row>
    <row r="709" spans="1:7">
      <c r="A709" s="175" t="s">
        <v>3175</v>
      </c>
      <c r="B709" s="217" t="str">
        <f t="shared" si="11"/>
        <v>122911000[着]</v>
      </c>
      <c r="C709" s="216">
        <v>122911000</v>
      </c>
      <c r="D709" s="175" t="s">
        <v>265</v>
      </c>
      <c r="E709" s="175">
        <v>9.6297016028008896E-4</v>
      </c>
      <c r="F709" s="175" t="s">
        <v>2018</v>
      </c>
      <c r="G709" s="175" t="s">
        <v>578</v>
      </c>
    </row>
    <row r="710" spans="1:7">
      <c r="A710" s="175" t="s">
        <v>3176</v>
      </c>
      <c r="B710" s="217" t="str">
        <f t="shared" si="11"/>
        <v>123100000[着]</v>
      </c>
      <c r="C710" s="216">
        <v>123100000</v>
      </c>
      <c r="D710" s="175" t="s">
        <v>265</v>
      </c>
      <c r="E710" s="175">
        <v>2.44577661215674E-3</v>
      </c>
      <c r="F710" s="175" t="s">
        <v>2018</v>
      </c>
      <c r="G710" s="175" t="s">
        <v>3177</v>
      </c>
    </row>
    <row r="711" spans="1:7">
      <c r="A711" s="175" t="s">
        <v>3178</v>
      </c>
      <c r="B711" s="217" t="str">
        <f t="shared" si="11"/>
        <v>123111000[着]</v>
      </c>
      <c r="C711" s="216">
        <v>123111000</v>
      </c>
      <c r="D711" s="175" t="s">
        <v>265</v>
      </c>
      <c r="E711" s="175">
        <v>2.44577661215674E-3</v>
      </c>
      <c r="F711" s="175" t="s">
        <v>2018</v>
      </c>
      <c r="G711" s="175" t="s">
        <v>579</v>
      </c>
    </row>
    <row r="712" spans="1:7">
      <c r="A712" s="175" t="s">
        <v>3179</v>
      </c>
      <c r="B712" s="217" t="str">
        <f t="shared" si="11"/>
        <v>123200000[着]</v>
      </c>
      <c r="C712" s="216">
        <v>123200000</v>
      </c>
      <c r="D712" s="175" t="s">
        <v>265</v>
      </c>
      <c r="E712" s="175">
        <v>2.4366714499892898E-3</v>
      </c>
      <c r="F712" s="175" t="s">
        <v>2018</v>
      </c>
      <c r="G712" s="175" t="s">
        <v>3180</v>
      </c>
    </row>
    <row r="713" spans="1:7">
      <c r="A713" s="175" t="s">
        <v>3181</v>
      </c>
      <c r="B713" s="217" t="str">
        <f t="shared" si="11"/>
        <v>123211000[着]</v>
      </c>
      <c r="C713" s="216">
        <v>123211000</v>
      </c>
      <c r="D713" s="175" t="s">
        <v>265</v>
      </c>
      <c r="E713" s="175">
        <v>2.4366714499892898E-3</v>
      </c>
      <c r="F713" s="175" t="s">
        <v>2018</v>
      </c>
      <c r="G713" s="175" t="s">
        <v>580</v>
      </c>
    </row>
    <row r="714" spans="1:7">
      <c r="A714" s="175" t="s">
        <v>3182</v>
      </c>
      <c r="B714" s="217" t="str">
        <f t="shared" si="11"/>
        <v>125100000[本]</v>
      </c>
      <c r="C714" s="216">
        <v>125100000</v>
      </c>
      <c r="D714" s="175" t="s">
        <v>265</v>
      </c>
      <c r="E714" s="175">
        <v>1.3351873536299799E-3</v>
      </c>
      <c r="F714" s="175" t="s">
        <v>266</v>
      </c>
      <c r="G714" s="175" t="s">
        <v>3183</v>
      </c>
    </row>
    <row r="715" spans="1:7">
      <c r="A715" s="175" t="s">
        <v>3184</v>
      </c>
      <c r="B715" s="217" t="str">
        <f t="shared" si="11"/>
        <v>125111000[本]</v>
      </c>
      <c r="C715" s="216">
        <v>125111000</v>
      </c>
      <c r="D715" s="175" t="s">
        <v>265</v>
      </c>
      <c r="E715" s="175">
        <v>1.3351873536299799E-3</v>
      </c>
      <c r="F715" s="175" t="s">
        <v>266</v>
      </c>
      <c r="G715" s="175" t="s">
        <v>586</v>
      </c>
    </row>
    <row r="716" spans="1:7">
      <c r="A716" s="175" t="s">
        <v>3185</v>
      </c>
      <c r="B716" s="217" t="str">
        <f t="shared" si="11"/>
        <v>125200000[点]</v>
      </c>
      <c r="C716" s="216">
        <v>125200000</v>
      </c>
      <c r="D716" s="175" t="s">
        <v>265</v>
      </c>
      <c r="E716" s="175">
        <v>1.6483620826080101E-3</v>
      </c>
      <c r="F716" s="175" t="s">
        <v>2024</v>
      </c>
      <c r="G716" s="175" t="s">
        <v>3186</v>
      </c>
    </row>
    <row r="717" spans="1:7">
      <c r="A717" s="175" t="s">
        <v>3187</v>
      </c>
      <c r="B717" s="217" t="str">
        <f t="shared" si="11"/>
        <v>125211000[点]</v>
      </c>
      <c r="C717" s="216">
        <v>125211000</v>
      </c>
      <c r="D717" s="175" t="s">
        <v>265</v>
      </c>
      <c r="E717" s="175">
        <v>1.6483620826080101E-3</v>
      </c>
      <c r="F717" s="175" t="s">
        <v>2024</v>
      </c>
      <c r="G717" s="175" t="s">
        <v>3188</v>
      </c>
    </row>
    <row r="718" spans="1:7">
      <c r="A718" s="175" t="s">
        <v>3189</v>
      </c>
      <c r="B718" s="217" t="str">
        <f t="shared" si="11"/>
        <v>125300000[点]</v>
      </c>
      <c r="C718" s="216">
        <v>125300000</v>
      </c>
      <c r="D718" s="175" t="s">
        <v>265</v>
      </c>
      <c r="E718" s="175">
        <v>2.1670389004785899E-2</v>
      </c>
      <c r="F718" s="175" t="s">
        <v>2024</v>
      </c>
      <c r="G718" s="175" t="s">
        <v>3190</v>
      </c>
    </row>
    <row r="719" spans="1:7">
      <c r="A719" s="175" t="s">
        <v>3191</v>
      </c>
      <c r="B719" s="217" t="str">
        <f t="shared" si="11"/>
        <v>125311000[点]</v>
      </c>
      <c r="C719" s="216">
        <v>125311000</v>
      </c>
      <c r="D719" s="175" t="s">
        <v>265</v>
      </c>
      <c r="E719" s="175">
        <v>2.1670389004785899E-2</v>
      </c>
      <c r="F719" s="175" t="s">
        <v>2024</v>
      </c>
      <c r="G719" s="175" t="s">
        <v>587</v>
      </c>
    </row>
    <row r="720" spans="1:7">
      <c r="A720" s="175" t="s">
        <v>3192</v>
      </c>
      <c r="B720" s="217" t="str">
        <f t="shared" si="11"/>
        <v>125400000[足]</v>
      </c>
      <c r="C720" s="216">
        <v>125400000</v>
      </c>
      <c r="D720" s="175" t="s">
        <v>265</v>
      </c>
      <c r="E720" s="175">
        <v>7.0768922878230696E-3</v>
      </c>
      <c r="F720" s="175" t="s">
        <v>1103</v>
      </c>
      <c r="G720" s="175" t="s">
        <v>3193</v>
      </c>
    </row>
    <row r="721" spans="1:7">
      <c r="A721" s="175" t="s">
        <v>3194</v>
      </c>
      <c r="B721" s="217" t="str">
        <f t="shared" si="11"/>
        <v>125411000[足]</v>
      </c>
      <c r="C721" s="216">
        <v>125411000</v>
      </c>
      <c r="D721" s="175" t="s">
        <v>265</v>
      </c>
      <c r="E721" s="175">
        <v>7.0768922878230696E-3</v>
      </c>
      <c r="F721" s="175" t="s">
        <v>1103</v>
      </c>
      <c r="G721" s="175" t="s">
        <v>588</v>
      </c>
    </row>
    <row r="722" spans="1:7">
      <c r="A722" s="175" t="s">
        <v>3195</v>
      </c>
      <c r="B722" s="217" t="str">
        <f t="shared" si="11"/>
        <v>125500000[双]</v>
      </c>
      <c r="C722" s="216">
        <v>125500000</v>
      </c>
      <c r="D722" s="175" t="s">
        <v>265</v>
      </c>
      <c r="E722" s="175">
        <v>1.2193004905096999E-2</v>
      </c>
      <c r="F722" s="175" t="s">
        <v>1134</v>
      </c>
      <c r="G722" s="175" t="s">
        <v>3196</v>
      </c>
    </row>
    <row r="723" spans="1:7">
      <c r="A723" s="175" t="s">
        <v>3197</v>
      </c>
      <c r="B723" s="217" t="str">
        <f t="shared" si="11"/>
        <v>125511000[双]</v>
      </c>
      <c r="C723" s="216">
        <v>125511000</v>
      </c>
      <c r="D723" s="175" t="s">
        <v>265</v>
      </c>
      <c r="E723" s="175">
        <v>1.2193004905096999E-2</v>
      </c>
      <c r="F723" s="175" t="s">
        <v>1134</v>
      </c>
      <c r="G723" s="175" t="s">
        <v>589</v>
      </c>
    </row>
    <row r="724" spans="1:7">
      <c r="A724" s="175" t="s">
        <v>3198</v>
      </c>
      <c r="B724" s="217" t="str">
        <f t="shared" si="11"/>
        <v>129100000[枚]</v>
      </c>
      <c r="C724" s="216">
        <v>129100000</v>
      </c>
      <c r="D724" s="175" t="s">
        <v>265</v>
      </c>
      <c r="E724" s="175">
        <v>5.9762348548834998E-5</v>
      </c>
      <c r="F724" s="175" t="s">
        <v>641</v>
      </c>
      <c r="G724" s="175" t="s">
        <v>3199</v>
      </c>
    </row>
    <row r="725" spans="1:7">
      <c r="A725" s="175" t="s">
        <v>3200</v>
      </c>
      <c r="B725" s="217" t="str">
        <f t="shared" si="11"/>
        <v>129200000[枚]</v>
      </c>
      <c r="C725" s="216">
        <v>129200000</v>
      </c>
      <c r="D725" s="175" t="s">
        <v>265</v>
      </c>
      <c r="E725" s="175">
        <v>5.9762348548834998E-5</v>
      </c>
      <c r="F725" s="175" t="s">
        <v>641</v>
      </c>
      <c r="G725" s="175" t="s">
        <v>3201</v>
      </c>
    </row>
    <row r="726" spans="1:7">
      <c r="A726" s="175" t="s">
        <v>3202</v>
      </c>
      <c r="B726" s="217" t="str">
        <f t="shared" si="11"/>
        <v>130000801[kg]</v>
      </c>
      <c r="C726" s="216">
        <v>130000801</v>
      </c>
      <c r="D726" s="175" t="s">
        <v>279</v>
      </c>
      <c r="E726" s="175">
        <v>6.9444444444444406E-2</v>
      </c>
      <c r="F726" s="175" t="s">
        <v>235</v>
      </c>
      <c r="G726" s="175" t="s">
        <v>3203</v>
      </c>
    </row>
    <row r="727" spans="1:7">
      <c r="A727" s="175" t="s">
        <v>3204</v>
      </c>
      <c r="B727" s="217" t="str">
        <f t="shared" si="11"/>
        <v>131100000[円]</v>
      </c>
      <c r="C727" s="216">
        <v>131100000</v>
      </c>
      <c r="D727" s="175" t="s">
        <v>278</v>
      </c>
      <c r="E727" s="175">
        <v>48074.0779189733</v>
      </c>
      <c r="F727" s="175" t="s">
        <v>265</v>
      </c>
      <c r="G727" s="175" t="s">
        <v>3205</v>
      </c>
    </row>
    <row r="728" spans="1:7">
      <c r="A728" s="175" t="s">
        <v>3206</v>
      </c>
      <c r="B728" s="217" t="str">
        <f t="shared" si="11"/>
        <v>131111000[kg]</v>
      </c>
      <c r="C728" s="216">
        <v>131111000</v>
      </c>
      <c r="D728" s="175" t="s">
        <v>278</v>
      </c>
      <c r="E728" s="175">
        <v>500</v>
      </c>
      <c r="F728" s="175" t="s">
        <v>235</v>
      </c>
      <c r="G728" s="175" t="s">
        <v>597</v>
      </c>
    </row>
    <row r="729" spans="1:7">
      <c r="A729" s="175" t="s">
        <v>3206</v>
      </c>
      <c r="B729" s="217" t="str">
        <f t="shared" si="11"/>
        <v>131111000[円]</v>
      </c>
      <c r="C729" s="216">
        <v>131111000</v>
      </c>
      <c r="D729" s="175" t="s">
        <v>278</v>
      </c>
      <c r="E729" s="175">
        <v>46824.088390307799</v>
      </c>
      <c r="F729" s="175" t="s">
        <v>265</v>
      </c>
      <c r="G729" s="175" t="s">
        <v>597</v>
      </c>
    </row>
    <row r="730" spans="1:7">
      <c r="A730" s="175" t="s">
        <v>3207</v>
      </c>
      <c r="B730" s="217" t="str">
        <f t="shared" si="11"/>
        <v>131112000[円]</v>
      </c>
      <c r="C730" s="216">
        <v>131112000</v>
      </c>
      <c r="D730" s="175" t="s">
        <v>278</v>
      </c>
      <c r="E730" s="175">
        <v>44617.311376521102</v>
      </c>
      <c r="F730" s="175" t="s">
        <v>265</v>
      </c>
      <c r="G730" s="175" t="s">
        <v>598</v>
      </c>
    </row>
    <row r="731" spans="1:7">
      <c r="A731" s="175" t="s">
        <v>3208</v>
      </c>
      <c r="B731" s="217" t="str">
        <f t="shared" si="11"/>
        <v>131113000[円]</v>
      </c>
      <c r="C731" s="216">
        <v>131113000</v>
      </c>
      <c r="D731" s="175" t="s">
        <v>278</v>
      </c>
      <c r="E731" s="175">
        <v>49978.954820780797</v>
      </c>
      <c r="F731" s="175" t="s">
        <v>265</v>
      </c>
      <c r="G731" s="175" t="s">
        <v>599</v>
      </c>
    </row>
    <row r="732" spans="1:7">
      <c r="A732" s="175" t="s">
        <v>3209</v>
      </c>
      <c r="B732" s="217" t="str">
        <f t="shared" si="11"/>
        <v>131114000[円]</v>
      </c>
      <c r="C732" s="216">
        <v>131114000</v>
      </c>
      <c r="D732" s="175" t="s">
        <v>278</v>
      </c>
      <c r="E732" s="175">
        <v>51565.580999999998</v>
      </c>
      <c r="F732" s="175" t="s">
        <v>265</v>
      </c>
      <c r="G732" s="175" t="s">
        <v>3210</v>
      </c>
    </row>
    <row r="733" spans="1:7">
      <c r="A733" s="175" t="s">
        <v>3211</v>
      </c>
      <c r="B733" s="217" t="str">
        <f t="shared" si="11"/>
        <v>131119000[円]</v>
      </c>
      <c r="C733" s="216">
        <v>131119000</v>
      </c>
      <c r="D733" s="175" t="s">
        <v>278</v>
      </c>
      <c r="E733" s="175">
        <v>51565.580999999998</v>
      </c>
      <c r="F733" s="175" t="s">
        <v>265</v>
      </c>
      <c r="G733" s="175" t="s">
        <v>602</v>
      </c>
    </row>
    <row r="734" spans="1:7">
      <c r="A734" s="175" t="s">
        <v>3212</v>
      </c>
      <c r="B734" s="217" t="str">
        <f t="shared" si="11"/>
        <v>131300000[円]</v>
      </c>
      <c r="C734" s="216">
        <v>131300000</v>
      </c>
      <c r="D734" s="175" t="s">
        <v>278</v>
      </c>
      <c r="E734" s="175">
        <v>419229.50799999997</v>
      </c>
      <c r="F734" s="175" t="s">
        <v>265</v>
      </c>
      <c r="G734" s="175" t="s">
        <v>3213</v>
      </c>
    </row>
    <row r="735" spans="1:7">
      <c r="A735" s="175" t="s">
        <v>3214</v>
      </c>
      <c r="B735" s="217" t="str">
        <f t="shared" si="11"/>
        <v>131311000[円]</v>
      </c>
      <c r="C735" s="216">
        <v>131311000</v>
      </c>
      <c r="D735" s="175" t="s">
        <v>278</v>
      </c>
      <c r="E735" s="175">
        <v>419229.50799999997</v>
      </c>
      <c r="F735" s="175" t="s">
        <v>265</v>
      </c>
      <c r="G735" s="175" t="s">
        <v>603</v>
      </c>
    </row>
    <row r="736" spans="1:7">
      <c r="A736" s="175" t="s">
        <v>3215</v>
      </c>
      <c r="B736" s="217" t="str">
        <f t="shared" si="11"/>
        <v>131400000[円]</v>
      </c>
      <c r="C736" s="216">
        <v>131400000</v>
      </c>
      <c r="D736" s="175" t="s">
        <v>278</v>
      </c>
      <c r="E736" s="175">
        <v>10900.191000000001</v>
      </c>
      <c r="F736" s="175" t="s">
        <v>265</v>
      </c>
      <c r="G736" s="175" t="s">
        <v>3216</v>
      </c>
    </row>
    <row r="737" spans="1:7">
      <c r="A737" s="175" t="s">
        <v>3217</v>
      </c>
      <c r="B737" s="217" t="str">
        <f t="shared" si="11"/>
        <v>131411000[円]</v>
      </c>
      <c r="C737" s="216">
        <v>131411000</v>
      </c>
      <c r="D737" s="175" t="s">
        <v>278</v>
      </c>
      <c r="E737" s="175">
        <v>10900.191000000001</v>
      </c>
      <c r="F737" s="175" t="s">
        <v>265</v>
      </c>
      <c r="G737" s="175" t="s">
        <v>605</v>
      </c>
    </row>
    <row r="738" spans="1:7">
      <c r="A738" s="175" t="s">
        <v>3217</v>
      </c>
      <c r="B738" s="217" t="str">
        <f t="shared" si="11"/>
        <v>131411000[kg]</v>
      </c>
      <c r="C738" s="216">
        <v>131411000</v>
      </c>
      <c r="D738" s="175" t="s">
        <v>278</v>
      </c>
      <c r="E738" s="175">
        <v>280</v>
      </c>
      <c r="F738" s="175" t="s">
        <v>235</v>
      </c>
      <c r="G738" s="175" t="s">
        <v>605</v>
      </c>
    </row>
    <row r="739" spans="1:7">
      <c r="A739" s="175" t="s">
        <v>3218</v>
      </c>
      <c r="B739" s="217" t="str">
        <f t="shared" si="11"/>
        <v>132200000[円]</v>
      </c>
      <c r="C739" s="216">
        <v>132200000</v>
      </c>
      <c r="D739" s="175" t="s">
        <v>278</v>
      </c>
      <c r="E739" s="175">
        <v>95599.685389814098</v>
      </c>
      <c r="F739" s="175" t="s">
        <v>265</v>
      </c>
      <c r="G739" s="175" t="s">
        <v>3219</v>
      </c>
    </row>
    <row r="740" spans="1:7">
      <c r="A740" s="175" t="s">
        <v>3220</v>
      </c>
      <c r="B740" s="217" t="str">
        <f t="shared" si="11"/>
        <v>132211000[円]</v>
      </c>
      <c r="C740" s="216">
        <v>132211000</v>
      </c>
      <c r="D740" s="175" t="s">
        <v>278</v>
      </c>
      <c r="E740" s="175">
        <v>65840.909</v>
      </c>
      <c r="F740" s="175" t="s">
        <v>265</v>
      </c>
      <c r="G740" s="175" t="s">
        <v>611</v>
      </c>
    </row>
    <row r="741" spans="1:7">
      <c r="A741" s="175" t="s">
        <v>3221</v>
      </c>
      <c r="B741" s="217" t="str">
        <f t="shared" si="11"/>
        <v>132212000[円]</v>
      </c>
      <c r="C741" s="216">
        <v>132212000</v>
      </c>
      <c r="D741" s="175" t="s">
        <v>278</v>
      </c>
      <c r="E741" s="175">
        <v>270555.73800000001</v>
      </c>
      <c r="F741" s="175" t="s">
        <v>265</v>
      </c>
      <c r="G741" s="175" t="s">
        <v>612</v>
      </c>
    </row>
    <row r="742" spans="1:7">
      <c r="A742" s="175" t="s">
        <v>3222</v>
      </c>
      <c r="B742" s="217" t="str">
        <f t="shared" si="11"/>
        <v>132300000[円]</v>
      </c>
      <c r="C742" s="216">
        <v>132300000</v>
      </c>
      <c r="D742" s="175" t="s">
        <v>278</v>
      </c>
      <c r="E742" s="175">
        <v>109597.196</v>
      </c>
      <c r="F742" s="175" t="s">
        <v>265</v>
      </c>
      <c r="G742" s="175" t="s">
        <v>3223</v>
      </c>
    </row>
    <row r="743" spans="1:7">
      <c r="A743" s="175" t="s">
        <v>3224</v>
      </c>
      <c r="B743" s="217" t="str">
        <f t="shared" si="11"/>
        <v>132311000[円]</v>
      </c>
      <c r="C743" s="216">
        <v>132311000</v>
      </c>
      <c r="D743" s="175" t="s">
        <v>278</v>
      </c>
      <c r="E743" s="175">
        <v>109597.196</v>
      </c>
      <c r="F743" s="175" t="s">
        <v>265</v>
      </c>
      <c r="G743" s="175" t="s">
        <v>613</v>
      </c>
    </row>
    <row r="744" spans="1:7">
      <c r="A744" s="175" t="s">
        <v>3225</v>
      </c>
      <c r="B744" s="217" t="str">
        <f t="shared" si="11"/>
        <v>132400000[m2]</v>
      </c>
      <c r="C744" s="216">
        <v>132400000</v>
      </c>
      <c r="D744" s="175" t="s">
        <v>265</v>
      </c>
      <c r="E744" s="175">
        <v>3.5017945009582801E-4</v>
      </c>
      <c r="F744" s="175" t="s">
        <v>425</v>
      </c>
      <c r="G744" s="175" t="s">
        <v>3226</v>
      </c>
    </row>
    <row r="745" spans="1:7">
      <c r="A745" s="175" t="s">
        <v>3227</v>
      </c>
      <c r="B745" s="217" t="str">
        <f t="shared" si="11"/>
        <v>132411000[円]</v>
      </c>
      <c r="C745" s="216">
        <v>132411000</v>
      </c>
      <c r="D745" s="175" t="s">
        <v>425</v>
      </c>
      <c r="E745" s="175">
        <v>557.73400000000004</v>
      </c>
      <c r="F745" s="175" t="s">
        <v>265</v>
      </c>
      <c r="G745" s="175" t="s">
        <v>614</v>
      </c>
    </row>
    <row r="746" spans="1:7">
      <c r="A746" s="175" t="s">
        <v>3228</v>
      </c>
      <c r="B746" s="217" t="str">
        <f t="shared" si="11"/>
        <v>132500000[円]</v>
      </c>
      <c r="C746" s="216">
        <v>132500000</v>
      </c>
      <c r="D746" s="175" t="s">
        <v>425</v>
      </c>
      <c r="E746" s="175">
        <v>557.73400000000004</v>
      </c>
      <c r="F746" s="175" t="s">
        <v>265</v>
      </c>
      <c r="G746" s="175" t="s">
        <v>3229</v>
      </c>
    </row>
    <row r="747" spans="1:7">
      <c r="A747" s="175" t="s">
        <v>3230</v>
      </c>
      <c r="B747" s="217" t="str">
        <f t="shared" si="11"/>
        <v>132511000[円]</v>
      </c>
      <c r="C747" s="216">
        <v>132511000</v>
      </c>
      <c r="D747" s="175" t="s">
        <v>425</v>
      </c>
      <c r="E747" s="175">
        <v>557.73400000000004</v>
      </c>
      <c r="F747" s="175" t="s">
        <v>265</v>
      </c>
      <c r="G747" s="175" t="s">
        <v>617</v>
      </c>
    </row>
    <row r="748" spans="1:7">
      <c r="A748" s="175" t="s">
        <v>3230</v>
      </c>
      <c r="B748" s="217" t="str">
        <f t="shared" si="11"/>
        <v>132511000[m3]</v>
      </c>
      <c r="C748" s="216">
        <v>132511000</v>
      </c>
      <c r="D748" s="175" t="s">
        <v>425</v>
      </c>
      <c r="E748" s="175">
        <v>1.5110104821803E-2</v>
      </c>
      <c r="F748" s="175" t="s">
        <v>278</v>
      </c>
      <c r="G748" s="175" t="s">
        <v>617</v>
      </c>
    </row>
    <row r="749" spans="1:7">
      <c r="A749" s="175" t="s">
        <v>3231</v>
      </c>
      <c r="B749" s="217" t="str">
        <f t="shared" si="11"/>
        <v>139100000[円]</v>
      </c>
      <c r="C749" s="216">
        <v>139100000</v>
      </c>
      <c r="D749" s="175" t="s">
        <v>278</v>
      </c>
      <c r="E749" s="175">
        <v>35659.294999999998</v>
      </c>
      <c r="F749" s="175" t="s">
        <v>265</v>
      </c>
      <c r="G749" s="175" t="s">
        <v>3232</v>
      </c>
    </row>
    <row r="750" spans="1:7">
      <c r="A750" s="175" t="s">
        <v>3233</v>
      </c>
      <c r="B750" s="217" t="str">
        <f t="shared" si="11"/>
        <v>139111000[円]</v>
      </c>
      <c r="C750" s="216">
        <v>139111000</v>
      </c>
      <c r="D750" s="175" t="s">
        <v>278</v>
      </c>
      <c r="E750" s="175">
        <v>35659.294999999998</v>
      </c>
      <c r="F750" s="175" t="s">
        <v>265</v>
      </c>
      <c r="G750" s="175" t="s">
        <v>623</v>
      </c>
    </row>
    <row r="751" spans="1:7">
      <c r="A751" s="175" t="s">
        <v>3234</v>
      </c>
      <c r="B751" s="217" t="str">
        <f t="shared" si="11"/>
        <v>139300000[円]</v>
      </c>
      <c r="C751" s="216">
        <v>139300000</v>
      </c>
      <c r="D751" s="175" t="s">
        <v>235</v>
      </c>
      <c r="E751" s="175">
        <v>486.78800000000001</v>
      </c>
      <c r="F751" s="175" t="s">
        <v>265</v>
      </c>
      <c r="G751" s="175" t="s">
        <v>3235</v>
      </c>
    </row>
    <row r="752" spans="1:7">
      <c r="A752" s="175" t="s">
        <v>3236</v>
      </c>
      <c r="B752" s="217" t="str">
        <f t="shared" si="11"/>
        <v>139311000[円]</v>
      </c>
      <c r="C752" s="216">
        <v>139311000</v>
      </c>
      <c r="D752" s="175" t="s">
        <v>235</v>
      </c>
      <c r="E752" s="175">
        <v>486.78800000000001</v>
      </c>
      <c r="F752" s="175" t="s">
        <v>265</v>
      </c>
      <c r="G752" s="175" t="s">
        <v>625</v>
      </c>
    </row>
    <row r="753" spans="1:7">
      <c r="A753" s="175" t="s">
        <v>3237</v>
      </c>
      <c r="B753" s="217" t="str">
        <f t="shared" si="11"/>
        <v>141100000[個]</v>
      </c>
      <c r="C753" s="216">
        <v>141100000</v>
      </c>
      <c r="D753" s="175" t="s">
        <v>265</v>
      </c>
      <c r="E753" s="175">
        <v>3.00804171489979E-5</v>
      </c>
      <c r="F753" s="175" t="s">
        <v>629</v>
      </c>
      <c r="G753" s="175" t="s">
        <v>3238</v>
      </c>
    </row>
    <row r="754" spans="1:7">
      <c r="A754" s="175" t="s">
        <v>3239</v>
      </c>
      <c r="B754" s="217" t="str">
        <f t="shared" si="11"/>
        <v>141111000[円]</v>
      </c>
      <c r="C754" s="216">
        <v>141111000</v>
      </c>
      <c r="D754" s="175" t="s">
        <v>629</v>
      </c>
      <c r="E754" s="175">
        <v>3439.922</v>
      </c>
      <c r="F754" s="175" t="s">
        <v>265</v>
      </c>
      <c r="G754" s="175" t="s">
        <v>628</v>
      </c>
    </row>
    <row r="755" spans="1:7">
      <c r="A755" s="175" t="s">
        <v>3240</v>
      </c>
      <c r="B755" s="217" t="str">
        <f t="shared" si="11"/>
        <v>141113000[円]</v>
      </c>
      <c r="C755" s="216">
        <v>141113000</v>
      </c>
      <c r="D755" s="175" t="s">
        <v>629</v>
      </c>
      <c r="E755" s="175">
        <v>40769.673840000003</v>
      </c>
      <c r="F755" s="175" t="s">
        <v>265</v>
      </c>
      <c r="G755" s="175" t="s">
        <v>631</v>
      </c>
    </row>
    <row r="756" spans="1:7">
      <c r="A756" s="175" t="s">
        <v>3241</v>
      </c>
      <c r="B756" s="217" t="str">
        <f t="shared" si="11"/>
        <v>141114000[円]</v>
      </c>
      <c r="C756" s="216">
        <v>141114000</v>
      </c>
      <c r="D756" s="175" t="s">
        <v>629</v>
      </c>
      <c r="E756" s="175">
        <v>8327.7350000000006</v>
      </c>
      <c r="F756" s="175" t="s">
        <v>265</v>
      </c>
      <c r="G756" s="175" t="s">
        <v>632</v>
      </c>
    </row>
    <row r="757" spans="1:7">
      <c r="A757" s="175" t="s">
        <v>3242</v>
      </c>
      <c r="B757" s="217" t="str">
        <f t="shared" si="11"/>
        <v>141116000[円]</v>
      </c>
      <c r="C757" s="216">
        <v>141116000</v>
      </c>
      <c r="D757" s="175" t="s">
        <v>629</v>
      </c>
      <c r="E757" s="175">
        <v>7750.6270000000004</v>
      </c>
      <c r="F757" s="175" t="s">
        <v>265</v>
      </c>
      <c r="G757" s="175" t="s">
        <v>634</v>
      </c>
    </row>
    <row r="758" spans="1:7">
      <c r="A758" s="175" t="s">
        <v>3243</v>
      </c>
      <c r="B758" s="217" t="str">
        <f t="shared" si="11"/>
        <v>141200000[個]</v>
      </c>
      <c r="C758" s="216">
        <v>141200000</v>
      </c>
      <c r="D758" s="175" t="s">
        <v>265</v>
      </c>
      <c r="E758" s="175">
        <v>3.0571535541121502E-5</v>
      </c>
      <c r="F758" s="175" t="s">
        <v>629</v>
      </c>
      <c r="G758" s="175" t="s">
        <v>3244</v>
      </c>
    </row>
    <row r="759" spans="1:7">
      <c r="A759" s="175" t="s">
        <v>3245</v>
      </c>
      <c r="B759" s="217" t="str">
        <f t="shared" si="11"/>
        <v>141211000[円]</v>
      </c>
      <c r="C759" s="216">
        <v>141211000</v>
      </c>
      <c r="D759" s="175" t="s">
        <v>629</v>
      </c>
      <c r="E759" s="175">
        <v>4286.83</v>
      </c>
      <c r="F759" s="175" t="s">
        <v>265</v>
      </c>
      <c r="G759" s="175" t="s">
        <v>635</v>
      </c>
    </row>
    <row r="760" spans="1:7">
      <c r="A760" s="175" t="s">
        <v>3246</v>
      </c>
      <c r="B760" s="217" t="str">
        <f t="shared" si="11"/>
        <v>141212000[円]</v>
      </c>
      <c r="C760" s="216">
        <v>141212000</v>
      </c>
      <c r="D760" s="175" t="s">
        <v>629</v>
      </c>
      <c r="E760" s="175">
        <v>7750.6270000000004</v>
      </c>
      <c r="F760" s="175" t="s">
        <v>265</v>
      </c>
      <c r="G760" s="175" t="s">
        <v>636</v>
      </c>
    </row>
    <row r="761" spans="1:7">
      <c r="A761" s="175" t="s">
        <v>3247</v>
      </c>
      <c r="B761" s="217" t="str">
        <f t="shared" si="11"/>
        <v>141213000[円]</v>
      </c>
      <c r="C761" s="216">
        <v>141213000</v>
      </c>
      <c r="D761" s="175" t="s">
        <v>629</v>
      </c>
      <c r="E761" s="175">
        <v>40769.673840000003</v>
      </c>
      <c r="F761" s="175" t="s">
        <v>265</v>
      </c>
      <c r="G761" s="175" t="s">
        <v>637</v>
      </c>
    </row>
    <row r="762" spans="1:7">
      <c r="A762" s="175" t="s">
        <v>3248</v>
      </c>
      <c r="B762" s="217" t="str">
        <f t="shared" si="11"/>
        <v>141214000[円]</v>
      </c>
      <c r="C762" s="216">
        <v>141214000</v>
      </c>
      <c r="D762" s="175" t="s">
        <v>629</v>
      </c>
      <c r="E762" s="175">
        <v>40769.673840000003</v>
      </c>
      <c r="F762" s="175" t="s">
        <v>265</v>
      </c>
      <c r="G762" s="175" t="s">
        <v>3249</v>
      </c>
    </row>
    <row r="763" spans="1:7">
      <c r="A763" s="175" t="s">
        <v>3250</v>
      </c>
      <c r="B763" s="217" t="str">
        <f t="shared" si="11"/>
        <v>141215000[円]</v>
      </c>
      <c r="C763" s="216">
        <v>141215000</v>
      </c>
      <c r="D763" s="175" t="s">
        <v>629</v>
      </c>
      <c r="E763" s="175">
        <v>8327.7350000000006</v>
      </c>
      <c r="F763" s="175" t="s">
        <v>265</v>
      </c>
      <c r="G763" s="175" t="s">
        <v>638</v>
      </c>
    </row>
    <row r="764" spans="1:7">
      <c r="A764" s="175" t="s">
        <v>3251</v>
      </c>
      <c r="B764" s="217" t="str">
        <f t="shared" si="11"/>
        <v>150000801[絶乾kg]</v>
      </c>
      <c r="C764" s="216">
        <v>150000801</v>
      </c>
      <c r="D764" s="175" t="s">
        <v>279</v>
      </c>
      <c r="E764" s="175">
        <v>7.5757575757575801E-2</v>
      </c>
      <c r="F764" s="175" t="s">
        <v>2015</v>
      </c>
      <c r="G764" s="175" t="s">
        <v>3252</v>
      </c>
    </row>
    <row r="765" spans="1:7">
      <c r="A765" s="175" t="s">
        <v>3253</v>
      </c>
      <c r="B765" s="217" t="str">
        <f t="shared" si="11"/>
        <v>150000802[kg]</v>
      </c>
      <c r="C765" s="216">
        <v>150000802</v>
      </c>
      <c r="D765" s="175" t="s">
        <v>279</v>
      </c>
      <c r="E765" s="175">
        <v>7.5757575757575801E-2</v>
      </c>
      <c r="F765" s="175" t="s">
        <v>235</v>
      </c>
      <c r="G765" s="175" t="s">
        <v>3254</v>
      </c>
    </row>
    <row r="766" spans="1:7">
      <c r="A766" s="175" t="s">
        <v>3255</v>
      </c>
      <c r="B766" s="217" t="str">
        <f t="shared" si="11"/>
        <v>150000803[絶乾kg]</v>
      </c>
      <c r="C766" s="216">
        <v>150000803</v>
      </c>
      <c r="D766" s="175" t="s">
        <v>279</v>
      </c>
      <c r="E766" s="175">
        <v>6.13496932515337E-2</v>
      </c>
      <c r="F766" s="175" t="s">
        <v>2015</v>
      </c>
      <c r="G766" s="175" t="s">
        <v>3256</v>
      </c>
    </row>
    <row r="767" spans="1:7">
      <c r="A767" s="175" t="s">
        <v>3257</v>
      </c>
      <c r="B767" s="217" t="str">
        <f t="shared" si="11"/>
        <v>150000804[kg]</v>
      </c>
      <c r="C767" s="216">
        <v>150000804</v>
      </c>
      <c r="D767" s="175" t="s">
        <v>279</v>
      </c>
      <c r="E767" s="175">
        <v>0.12771392081736899</v>
      </c>
      <c r="F767" s="175" t="s">
        <v>235</v>
      </c>
      <c r="G767" s="175" t="s">
        <v>3258</v>
      </c>
    </row>
    <row r="768" spans="1:7">
      <c r="A768" s="175" t="s">
        <v>3259</v>
      </c>
      <c r="B768" s="217" t="str">
        <f t="shared" si="11"/>
        <v>151100000[円]</v>
      </c>
      <c r="C768" s="216">
        <v>151100000</v>
      </c>
      <c r="D768" s="175" t="s">
        <v>235</v>
      </c>
      <c r="E768" s="175">
        <v>60.008592728168303</v>
      </c>
      <c r="F768" s="175" t="s">
        <v>265</v>
      </c>
      <c r="G768" s="175" t="s">
        <v>3260</v>
      </c>
    </row>
    <row r="769" spans="1:7">
      <c r="A769" s="175" t="s">
        <v>3261</v>
      </c>
      <c r="B769" s="217" t="str">
        <f t="shared" si="11"/>
        <v>151111000[円]</v>
      </c>
      <c r="C769" s="216">
        <v>151111000</v>
      </c>
      <c r="D769" s="175" t="s">
        <v>235</v>
      </c>
      <c r="E769" s="175">
        <v>109.741334242528</v>
      </c>
      <c r="F769" s="175" t="s">
        <v>265</v>
      </c>
      <c r="G769" s="175" t="s">
        <v>647</v>
      </c>
    </row>
    <row r="770" spans="1:7">
      <c r="A770" s="175" t="s">
        <v>3262</v>
      </c>
      <c r="B770" s="217" t="str">
        <f t="shared" ref="B770:B833" si="12">C770&amp;"["&amp;F770&amp;"]"</f>
        <v>151112000[円]</v>
      </c>
      <c r="C770" s="216">
        <v>151112000</v>
      </c>
      <c r="D770" s="175" t="s">
        <v>235</v>
      </c>
      <c r="E770" s="175">
        <v>60.537849293925198</v>
      </c>
      <c r="F770" s="175" t="s">
        <v>265</v>
      </c>
      <c r="G770" s="175" t="s">
        <v>648</v>
      </c>
    </row>
    <row r="771" spans="1:7">
      <c r="A771" s="175" t="s">
        <v>3263</v>
      </c>
      <c r="B771" s="217" t="str">
        <f t="shared" si="12"/>
        <v>151119000[円]</v>
      </c>
      <c r="C771" s="216">
        <v>151119000</v>
      </c>
      <c r="D771" s="175" t="s">
        <v>235</v>
      </c>
      <c r="E771" s="175">
        <v>48.491</v>
      </c>
      <c r="F771" s="175" t="s">
        <v>265</v>
      </c>
      <c r="G771" s="175" t="s">
        <v>649</v>
      </c>
    </row>
    <row r="772" spans="1:7">
      <c r="A772" s="175" t="s">
        <v>3264</v>
      </c>
      <c r="B772" s="217" t="str">
        <f t="shared" si="12"/>
        <v>152100000[円]</v>
      </c>
      <c r="C772" s="216">
        <v>152100000</v>
      </c>
      <c r="D772" s="175" t="s">
        <v>235</v>
      </c>
      <c r="E772" s="175">
        <v>126.02969447701599</v>
      </c>
      <c r="F772" s="175" t="s">
        <v>265</v>
      </c>
      <c r="G772" s="175" t="s">
        <v>3265</v>
      </c>
    </row>
    <row r="773" spans="1:7">
      <c r="A773" s="175" t="s">
        <v>3266</v>
      </c>
      <c r="B773" s="217" t="str">
        <f t="shared" si="12"/>
        <v>152111000[円]</v>
      </c>
      <c r="C773" s="216">
        <v>152111000</v>
      </c>
      <c r="D773" s="175" t="s">
        <v>235</v>
      </c>
      <c r="E773" s="175">
        <v>103.527973144401</v>
      </c>
      <c r="F773" s="175" t="s">
        <v>265</v>
      </c>
      <c r="G773" s="175" t="s">
        <v>651</v>
      </c>
    </row>
    <row r="774" spans="1:7">
      <c r="A774" s="175" t="s">
        <v>3267</v>
      </c>
      <c r="B774" s="217" t="str">
        <f t="shared" si="12"/>
        <v>152112000[円]</v>
      </c>
      <c r="C774" s="216">
        <v>152112000</v>
      </c>
      <c r="D774" s="175" t="s">
        <v>235</v>
      </c>
      <c r="E774" s="175">
        <v>104.35785825209901</v>
      </c>
      <c r="F774" s="175" t="s">
        <v>265</v>
      </c>
      <c r="G774" s="175" t="s">
        <v>652</v>
      </c>
    </row>
    <row r="775" spans="1:7">
      <c r="A775" s="175" t="s">
        <v>3268</v>
      </c>
      <c r="B775" s="217" t="str">
        <f t="shared" si="12"/>
        <v>152113000[円]</v>
      </c>
      <c r="C775" s="216">
        <v>152113000</v>
      </c>
      <c r="D775" s="175" t="s">
        <v>235</v>
      </c>
      <c r="E775" s="175">
        <v>106.818633066446</v>
      </c>
      <c r="F775" s="175" t="s">
        <v>265</v>
      </c>
      <c r="G775" s="175" t="s">
        <v>653</v>
      </c>
    </row>
    <row r="776" spans="1:7">
      <c r="A776" s="175" t="s">
        <v>3269</v>
      </c>
      <c r="B776" s="217" t="str">
        <f t="shared" si="12"/>
        <v>152114000[円]</v>
      </c>
      <c r="C776" s="216">
        <v>152114000</v>
      </c>
      <c r="D776" s="175" t="s">
        <v>235</v>
      </c>
      <c r="E776" s="175">
        <v>199.56050936595199</v>
      </c>
      <c r="F776" s="175" t="s">
        <v>265</v>
      </c>
      <c r="G776" s="175" t="s">
        <v>654</v>
      </c>
    </row>
    <row r="777" spans="1:7">
      <c r="A777" s="175" t="s">
        <v>3270</v>
      </c>
      <c r="B777" s="217" t="str">
        <f t="shared" si="12"/>
        <v>152115000[円]</v>
      </c>
      <c r="C777" s="216">
        <v>152115000</v>
      </c>
      <c r="D777" s="175" t="s">
        <v>235</v>
      </c>
      <c r="E777" s="175">
        <v>128.240341409114</v>
      </c>
      <c r="F777" s="175" t="s">
        <v>265</v>
      </c>
      <c r="G777" s="175" t="s">
        <v>655</v>
      </c>
    </row>
    <row r="778" spans="1:7">
      <c r="A778" s="175" t="s">
        <v>3271</v>
      </c>
      <c r="B778" s="217" t="str">
        <f t="shared" si="12"/>
        <v>152116000[円]</v>
      </c>
      <c r="C778" s="216">
        <v>152116000</v>
      </c>
      <c r="D778" s="175" t="s">
        <v>235</v>
      </c>
      <c r="E778" s="175">
        <v>203.290809684978</v>
      </c>
      <c r="F778" s="175" t="s">
        <v>265</v>
      </c>
      <c r="G778" s="175" t="s">
        <v>656</v>
      </c>
    </row>
    <row r="779" spans="1:7">
      <c r="A779" s="175" t="s">
        <v>3272</v>
      </c>
      <c r="B779" s="217" t="str">
        <f t="shared" si="12"/>
        <v>152117000[円]</v>
      </c>
      <c r="C779" s="216">
        <v>152117000</v>
      </c>
      <c r="D779" s="175" t="s">
        <v>235</v>
      </c>
      <c r="E779" s="175">
        <v>108.02098126453799</v>
      </c>
      <c r="F779" s="175" t="s">
        <v>265</v>
      </c>
      <c r="G779" s="175" t="s">
        <v>657</v>
      </c>
    </row>
    <row r="780" spans="1:7">
      <c r="A780" s="175" t="s">
        <v>3273</v>
      </c>
      <c r="B780" s="217" t="str">
        <f t="shared" si="12"/>
        <v>152118000[円]</v>
      </c>
      <c r="C780" s="216">
        <v>152118000</v>
      </c>
      <c r="D780" s="175" t="s">
        <v>235</v>
      </c>
      <c r="E780" s="175">
        <v>122.95582340253</v>
      </c>
      <c r="F780" s="175" t="s">
        <v>265</v>
      </c>
      <c r="G780" s="175" t="s">
        <v>658</v>
      </c>
    </row>
    <row r="781" spans="1:7">
      <c r="A781" s="175" t="s">
        <v>3274</v>
      </c>
      <c r="B781" s="217" t="str">
        <f t="shared" si="12"/>
        <v>152121000[円]</v>
      </c>
      <c r="C781" s="216">
        <v>152121000</v>
      </c>
      <c r="D781" s="175" t="s">
        <v>235</v>
      </c>
      <c r="E781" s="175">
        <v>176.06184646668399</v>
      </c>
      <c r="F781" s="175" t="s">
        <v>265</v>
      </c>
      <c r="G781" s="175" t="s">
        <v>659</v>
      </c>
    </row>
    <row r="782" spans="1:7">
      <c r="A782" s="175" t="s">
        <v>3275</v>
      </c>
      <c r="B782" s="217" t="str">
        <f t="shared" si="12"/>
        <v>152122000[円]</v>
      </c>
      <c r="C782" s="216">
        <v>152122000</v>
      </c>
      <c r="D782" s="175" t="s">
        <v>235</v>
      </c>
      <c r="E782" s="175">
        <v>488.45002518529202</v>
      </c>
      <c r="F782" s="175" t="s">
        <v>265</v>
      </c>
      <c r="G782" s="175" t="s">
        <v>660</v>
      </c>
    </row>
    <row r="783" spans="1:7">
      <c r="A783" s="175" t="s">
        <v>3276</v>
      </c>
      <c r="B783" s="217" t="str">
        <f t="shared" si="12"/>
        <v>152123000[円]</v>
      </c>
      <c r="C783" s="216">
        <v>152123000</v>
      </c>
      <c r="D783" s="175" t="s">
        <v>235</v>
      </c>
      <c r="E783" s="175">
        <v>245.51516270758799</v>
      </c>
      <c r="F783" s="175" t="s">
        <v>265</v>
      </c>
      <c r="G783" s="175" t="s">
        <v>661</v>
      </c>
    </row>
    <row r="784" spans="1:7">
      <c r="A784" s="175" t="s">
        <v>3277</v>
      </c>
      <c r="B784" s="217" t="str">
        <f t="shared" si="12"/>
        <v>152200000[円]</v>
      </c>
      <c r="C784" s="216">
        <v>152200000</v>
      </c>
      <c r="D784" s="175" t="s">
        <v>235</v>
      </c>
      <c r="E784" s="175">
        <v>66.802919620081099</v>
      </c>
      <c r="F784" s="175" t="s">
        <v>265</v>
      </c>
      <c r="G784" s="175" t="s">
        <v>3278</v>
      </c>
    </row>
    <row r="785" spans="1:7">
      <c r="A785" s="175" t="s">
        <v>3279</v>
      </c>
      <c r="B785" s="217" t="str">
        <f t="shared" si="12"/>
        <v>152211000[円]</v>
      </c>
      <c r="C785" s="216">
        <v>152211000</v>
      </c>
      <c r="D785" s="175" t="s">
        <v>235</v>
      </c>
      <c r="E785" s="175">
        <v>59.702436772732298</v>
      </c>
      <c r="F785" s="175" t="s">
        <v>265</v>
      </c>
      <c r="G785" s="175" t="s">
        <v>3280</v>
      </c>
    </row>
    <row r="786" spans="1:7">
      <c r="A786" s="175" t="s">
        <v>3281</v>
      </c>
      <c r="B786" s="217" t="str">
        <f t="shared" si="12"/>
        <v>152212000[円]</v>
      </c>
      <c r="C786" s="216">
        <v>152212000</v>
      </c>
      <c r="D786" s="175" t="s">
        <v>235</v>
      </c>
      <c r="E786" s="175">
        <v>82.734435637509705</v>
      </c>
      <c r="F786" s="175" t="s">
        <v>265</v>
      </c>
      <c r="G786" s="175" t="s">
        <v>3282</v>
      </c>
    </row>
    <row r="787" spans="1:7">
      <c r="A787" s="175" t="s">
        <v>3283</v>
      </c>
      <c r="B787" s="217" t="str">
        <f t="shared" si="12"/>
        <v>152213000[円]</v>
      </c>
      <c r="C787" s="216">
        <v>152213000</v>
      </c>
      <c r="D787" s="175" t="s">
        <v>235</v>
      </c>
      <c r="E787" s="175">
        <v>51.976281689605301</v>
      </c>
      <c r="F787" s="175" t="s">
        <v>265</v>
      </c>
      <c r="G787" s="175" t="s">
        <v>3284</v>
      </c>
    </row>
    <row r="788" spans="1:7">
      <c r="A788" s="175" t="s">
        <v>3285</v>
      </c>
      <c r="B788" s="217" t="str">
        <f t="shared" si="12"/>
        <v>152214000[円]</v>
      </c>
      <c r="C788" s="216">
        <v>152214000</v>
      </c>
      <c r="D788" s="175" t="s">
        <v>235</v>
      </c>
      <c r="E788" s="175">
        <v>126.956129221159</v>
      </c>
      <c r="F788" s="175" t="s">
        <v>265</v>
      </c>
      <c r="G788" s="175" t="s">
        <v>662</v>
      </c>
    </row>
    <row r="789" spans="1:7">
      <c r="A789" s="175" t="s">
        <v>3286</v>
      </c>
      <c r="B789" s="217" t="str">
        <f t="shared" si="12"/>
        <v>152215000[円]</v>
      </c>
      <c r="C789" s="216">
        <v>152215000</v>
      </c>
      <c r="D789" s="175" t="s">
        <v>235</v>
      </c>
      <c r="E789" s="175">
        <v>96.249250718023603</v>
      </c>
      <c r="F789" s="175" t="s">
        <v>265</v>
      </c>
      <c r="G789" s="175" t="s">
        <v>663</v>
      </c>
    </row>
    <row r="790" spans="1:7">
      <c r="A790" s="175" t="s">
        <v>3287</v>
      </c>
      <c r="B790" s="217" t="str">
        <f t="shared" si="12"/>
        <v>152216000[円]</v>
      </c>
      <c r="C790" s="216">
        <v>152216000</v>
      </c>
      <c r="D790" s="175" t="s">
        <v>235</v>
      </c>
      <c r="E790" s="175">
        <v>81.805047917805894</v>
      </c>
      <c r="F790" s="175" t="s">
        <v>265</v>
      </c>
      <c r="G790" s="175" t="s">
        <v>3288</v>
      </c>
    </row>
    <row r="791" spans="1:7">
      <c r="A791" s="175" t="s">
        <v>3289</v>
      </c>
      <c r="B791" s="217" t="str">
        <f t="shared" si="12"/>
        <v>152217000[円]</v>
      </c>
      <c r="C791" s="216">
        <v>152217000</v>
      </c>
      <c r="D791" s="175" t="s">
        <v>235</v>
      </c>
      <c r="E791" s="175">
        <v>123.60807205400501</v>
      </c>
      <c r="F791" s="175" t="s">
        <v>265</v>
      </c>
      <c r="G791" s="175" t="s">
        <v>664</v>
      </c>
    </row>
    <row r="792" spans="1:7">
      <c r="A792" s="175" t="s">
        <v>3290</v>
      </c>
      <c r="B792" s="217" t="str">
        <f t="shared" si="12"/>
        <v>152218000[円]</v>
      </c>
      <c r="C792" s="216">
        <v>152218000</v>
      </c>
      <c r="D792" s="175" t="s">
        <v>235</v>
      </c>
      <c r="E792" s="175">
        <v>71.197335303129805</v>
      </c>
      <c r="F792" s="175" t="s">
        <v>265</v>
      </c>
      <c r="G792" s="175" t="s">
        <v>665</v>
      </c>
    </row>
    <row r="793" spans="1:7">
      <c r="A793" s="175" t="s">
        <v>3291</v>
      </c>
      <c r="B793" s="217" t="str">
        <f t="shared" si="12"/>
        <v>152219000[円]</v>
      </c>
      <c r="C793" s="216">
        <v>152219000</v>
      </c>
      <c r="D793" s="175" t="s">
        <v>235</v>
      </c>
      <c r="E793" s="175">
        <v>104.059</v>
      </c>
      <c r="F793" s="175" t="s">
        <v>265</v>
      </c>
      <c r="G793" s="175" t="s">
        <v>666</v>
      </c>
    </row>
    <row r="794" spans="1:7">
      <c r="A794" s="175" t="s">
        <v>3292</v>
      </c>
      <c r="B794" s="217" t="str">
        <f t="shared" si="12"/>
        <v>153200000[円]</v>
      </c>
      <c r="C794" s="216">
        <v>153200000</v>
      </c>
      <c r="D794" s="175" t="s">
        <v>425</v>
      </c>
      <c r="E794" s="175">
        <v>58.282703134080599</v>
      </c>
      <c r="F794" s="175" t="s">
        <v>265</v>
      </c>
      <c r="G794" s="175" t="s">
        <v>3293</v>
      </c>
    </row>
    <row r="795" spans="1:7">
      <c r="A795" s="175" t="s">
        <v>3294</v>
      </c>
      <c r="B795" s="217" t="str">
        <f t="shared" si="12"/>
        <v>153211000[円]</v>
      </c>
      <c r="C795" s="216">
        <v>153211000</v>
      </c>
      <c r="D795" s="175" t="s">
        <v>425</v>
      </c>
      <c r="E795" s="175">
        <v>58.282703134080599</v>
      </c>
      <c r="F795" s="175" t="s">
        <v>265</v>
      </c>
      <c r="G795" s="175" t="s">
        <v>672</v>
      </c>
    </row>
    <row r="796" spans="1:7">
      <c r="A796" s="175" t="s">
        <v>3294</v>
      </c>
      <c r="B796" s="217" t="str">
        <f t="shared" si="12"/>
        <v>153211000[kg]</v>
      </c>
      <c r="C796" s="216">
        <v>153211000</v>
      </c>
      <c r="D796" s="175" t="s">
        <v>425</v>
      </c>
      <c r="E796" s="175">
        <v>0.65</v>
      </c>
      <c r="F796" s="175" t="s">
        <v>235</v>
      </c>
      <c r="G796" s="175" t="s">
        <v>672</v>
      </c>
    </row>
    <row r="797" spans="1:7">
      <c r="A797" s="175" t="s">
        <v>3295</v>
      </c>
      <c r="B797" s="217" t="str">
        <f t="shared" si="12"/>
        <v>154919000[kg]</v>
      </c>
      <c r="C797" s="216">
        <v>154919000</v>
      </c>
      <c r="D797" s="175" t="s">
        <v>265</v>
      </c>
      <c r="E797" s="175">
        <v>4.8683723282983097E-3</v>
      </c>
      <c r="F797" s="175" t="s">
        <v>235</v>
      </c>
      <c r="G797" s="175" t="s">
        <v>682</v>
      </c>
    </row>
    <row r="798" spans="1:7">
      <c r="A798" s="175" t="s">
        <v>3296</v>
      </c>
      <c r="B798" s="217" t="str">
        <f t="shared" si="12"/>
        <v>155100000[kg]</v>
      </c>
      <c r="C798" s="216">
        <v>155100000</v>
      </c>
      <c r="D798" s="175" t="s">
        <v>684</v>
      </c>
      <c r="E798" s="175">
        <v>0.16811011681999999</v>
      </c>
      <c r="F798" s="175" t="s">
        <v>235</v>
      </c>
      <c r="G798" s="175" t="s">
        <v>3297</v>
      </c>
    </row>
    <row r="799" spans="1:7">
      <c r="A799" s="175" t="s">
        <v>3296</v>
      </c>
      <c r="B799" s="217" t="str">
        <f t="shared" si="12"/>
        <v>155100000[円]</v>
      </c>
      <c r="C799" s="216">
        <v>155100000</v>
      </c>
      <c r="D799" s="175" t="s">
        <v>684</v>
      </c>
      <c r="E799" s="175">
        <v>49.845647598545597</v>
      </c>
      <c r="F799" s="175" t="s">
        <v>265</v>
      </c>
      <c r="G799" s="175" t="s">
        <v>3297</v>
      </c>
    </row>
    <row r="800" spans="1:7">
      <c r="A800" s="175" t="s">
        <v>3298</v>
      </c>
      <c r="B800" s="217" t="str">
        <f t="shared" si="12"/>
        <v>155111000[kg]</v>
      </c>
      <c r="C800" s="216">
        <v>155111000</v>
      </c>
      <c r="D800" s="175" t="s">
        <v>684</v>
      </c>
      <c r="E800" s="175">
        <v>0.16811011681999999</v>
      </c>
      <c r="F800" s="175" t="s">
        <v>235</v>
      </c>
      <c r="G800" s="175" t="s">
        <v>683</v>
      </c>
    </row>
    <row r="801" spans="1:7">
      <c r="A801" s="175" t="s">
        <v>3298</v>
      </c>
      <c r="B801" s="217" t="str">
        <f t="shared" si="12"/>
        <v>155111000[円]</v>
      </c>
      <c r="C801" s="216">
        <v>155111000</v>
      </c>
      <c r="D801" s="175" t="s">
        <v>684</v>
      </c>
      <c r="E801" s="175">
        <v>49.845647598545597</v>
      </c>
      <c r="F801" s="175" t="s">
        <v>265</v>
      </c>
      <c r="G801" s="175" t="s">
        <v>683</v>
      </c>
    </row>
    <row r="802" spans="1:7">
      <c r="A802" s="175" t="s">
        <v>3299</v>
      </c>
      <c r="B802" s="217" t="str">
        <f t="shared" si="12"/>
        <v>155300000[m2]</v>
      </c>
      <c r="C802" s="216">
        <v>155300000</v>
      </c>
      <c r="D802" s="175" t="s">
        <v>265</v>
      </c>
      <c r="E802" s="175">
        <v>1.3408954104369901E-2</v>
      </c>
      <c r="F802" s="175" t="s">
        <v>425</v>
      </c>
      <c r="G802" s="175" t="s">
        <v>3300</v>
      </c>
    </row>
    <row r="803" spans="1:7">
      <c r="A803" s="175" t="s">
        <v>3301</v>
      </c>
      <c r="B803" s="217" t="str">
        <f t="shared" si="12"/>
        <v>155311000[kg]</v>
      </c>
      <c r="C803" s="216">
        <v>155311000</v>
      </c>
      <c r="D803" s="175" t="s">
        <v>265</v>
      </c>
      <c r="E803" s="175">
        <v>8.7158201678404403E-3</v>
      </c>
      <c r="F803" s="175" t="s">
        <v>235</v>
      </c>
      <c r="G803" s="175" t="s">
        <v>686</v>
      </c>
    </row>
    <row r="804" spans="1:7">
      <c r="A804" s="175" t="s">
        <v>3301</v>
      </c>
      <c r="B804" s="217" t="str">
        <f t="shared" si="12"/>
        <v>155311000[m2]</v>
      </c>
      <c r="C804" s="216">
        <v>155311000</v>
      </c>
      <c r="D804" s="175" t="s">
        <v>265</v>
      </c>
      <c r="E804" s="175">
        <v>1.3408954104369901E-2</v>
      </c>
      <c r="F804" s="175" t="s">
        <v>425</v>
      </c>
      <c r="G804" s="175" t="s">
        <v>686</v>
      </c>
    </row>
    <row r="805" spans="1:7">
      <c r="A805" s="175" t="s">
        <v>3302</v>
      </c>
      <c r="B805" s="217" t="str">
        <f t="shared" si="12"/>
        <v>155400000[kg]</v>
      </c>
      <c r="C805" s="216">
        <v>155400000</v>
      </c>
      <c r="D805" s="175" t="s">
        <v>265</v>
      </c>
      <c r="E805" s="175">
        <v>4.8683723282983097E-3</v>
      </c>
      <c r="F805" s="175" t="s">
        <v>235</v>
      </c>
      <c r="G805" s="175" t="s">
        <v>3303</v>
      </c>
    </row>
    <row r="806" spans="1:7">
      <c r="A806" s="175" t="s">
        <v>3304</v>
      </c>
      <c r="B806" s="217" t="str">
        <f t="shared" si="12"/>
        <v>159100000[kg]</v>
      </c>
      <c r="C806" s="216">
        <v>159100000</v>
      </c>
      <c r="D806" s="175" t="s">
        <v>425</v>
      </c>
      <c r="E806" s="175">
        <v>0.03</v>
      </c>
      <c r="F806" s="175" t="s">
        <v>235</v>
      </c>
      <c r="G806" s="175" t="s">
        <v>3305</v>
      </c>
    </row>
    <row r="807" spans="1:7">
      <c r="A807" s="175" t="s">
        <v>3304</v>
      </c>
      <c r="B807" s="217" t="str">
        <f t="shared" si="12"/>
        <v>159100000[円]</v>
      </c>
      <c r="C807" s="216">
        <v>159100000</v>
      </c>
      <c r="D807" s="175" t="s">
        <v>425</v>
      </c>
      <c r="E807" s="175">
        <v>18.486439089692102</v>
      </c>
      <c r="F807" s="175" t="s">
        <v>265</v>
      </c>
      <c r="G807" s="175" t="s">
        <v>3305</v>
      </c>
    </row>
    <row r="808" spans="1:7">
      <c r="A808" s="175" t="s">
        <v>3306</v>
      </c>
      <c r="B808" s="217" t="str">
        <f t="shared" si="12"/>
        <v>159111000[kg]</v>
      </c>
      <c r="C808" s="216">
        <v>159111000</v>
      </c>
      <c r="D808" s="175" t="s">
        <v>425</v>
      </c>
      <c r="E808" s="175">
        <v>0.03</v>
      </c>
      <c r="F808" s="175" t="s">
        <v>235</v>
      </c>
      <c r="G808" s="175" t="s">
        <v>691</v>
      </c>
    </row>
    <row r="809" spans="1:7">
      <c r="A809" s="175" t="s">
        <v>3306</v>
      </c>
      <c r="B809" s="217" t="str">
        <f t="shared" si="12"/>
        <v>159111000[円]</v>
      </c>
      <c r="C809" s="216">
        <v>159111000</v>
      </c>
      <c r="D809" s="175" t="s">
        <v>425</v>
      </c>
      <c r="E809" s="175">
        <v>18.486439089692102</v>
      </c>
      <c r="F809" s="175" t="s">
        <v>265</v>
      </c>
      <c r="G809" s="175" t="s">
        <v>691</v>
      </c>
    </row>
    <row r="810" spans="1:7">
      <c r="A810" s="175" t="s">
        <v>3307</v>
      </c>
      <c r="B810" s="217" t="str">
        <f t="shared" si="12"/>
        <v>159200000[円]</v>
      </c>
      <c r="C810" s="216">
        <v>159200000</v>
      </c>
      <c r="D810" s="175" t="s">
        <v>425</v>
      </c>
      <c r="E810" s="175">
        <v>250.473990761197</v>
      </c>
      <c r="F810" s="175" t="s">
        <v>265</v>
      </c>
      <c r="G810" s="175" t="s">
        <v>3308</v>
      </c>
    </row>
    <row r="811" spans="1:7">
      <c r="A811" s="175" t="s">
        <v>3309</v>
      </c>
      <c r="B811" s="217" t="str">
        <f t="shared" si="12"/>
        <v>159211000[円]</v>
      </c>
      <c r="C811" s="216">
        <v>159211000</v>
      </c>
      <c r="D811" s="175" t="s">
        <v>425</v>
      </c>
      <c r="E811" s="175">
        <v>250.473990761197</v>
      </c>
      <c r="F811" s="175" t="s">
        <v>265</v>
      </c>
      <c r="G811" s="175" t="s">
        <v>692</v>
      </c>
    </row>
    <row r="812" spans="1:7">
      <c r="A812" s="175" t="s">
        <v>3309</v>
      </c>
      <c r="B812" s="217" t="str">
        <f t="shared" si="12"/>
        <v>159211000[m3]</v>
      </c>
      <c r="C812" s="216">
        <v>159211000</v>
      </c>
      <c r="D812" s="175" t="s">
        <v>425</v>
      </c>
      <c r="E812" s="175">
        <v>3.1646871263451498E-3</v>
      </c>
      <c r="F812" s="175" t="s">
        <v>278</v>
      </c>
      <c r="G812" s="175" t="s">
        <v>692</v>
      </c>
    </row>
    <row r="813" spans="1:7">
      <c r="A813" s="175" t="s">
        <v>3310</v>
      </c>
      <c r="B813" s="217" t="str">
        <f t="shared" si="12"/>
        <v>159219000[円]</v>
      </c>
      <c r="C813" s="216">
        <v>159219000</v>
      </c>
      <c r="D813" s="175" t="s">
        <v>425</v>
      </c>
      <c r="E813" s="175">
        <v>250.473990761197</v>
      </c>
      <c r="F813" s="175" t="s">
        <v>265</v>
      </c>
      <c r="G813" s="175" t="s">
        <v>693</v>
      </c>
    </row>
    <row r="814" spans="1:7">
      <c r="A814" s="175" t="s">
        <v>3310</v>
      </c>
      <c r="B814" s="217" t="str">
        <f t="shared" si="12"/>
        <v>159219000[m3]</v>
      </c>
      <c r="C814" s="216">
        <v>159219000</v>
      </c>
      <c r="D814" s="175" t="s">
        <v>425</v>
      </c>
      <c r="E814" s="175">
        <v>8.4488750770023002E-3</v>
      </c>
      <c r="F814" s="175" t="s">
        <v>278</v>
      </c>
      <c r="G814" s="175" t="s">
        <v>693</v>
      </c>
    </row>
    <row r="815" spans="1:7">
      <c r="A815" s="175" t="s">
        <v>3311</v>
      </c>
      <c r="B815" s="217" t="str">
        <f t="shared" si="12"/>
        <v>159219200[m2]</v>
      </c>
      <c r="C815" s="216">
        <v>159219200</v>
      </c>
      <c r="D815" s="175" t="s">
        <v>235</v>
      </c>
      <c r="E815" s="175">
        <v>0.23054809843400401</v>
      </c>
      <c r="F815" s="175" t="s">
        <v>425</v>
      </c>
      <c r="G815" s="175" t="s">
        <v>694</v>
      </c>
    </row>
    <row r="816" spans="1:7">
      <c r="A816" s="175" t="s">
        <v>3311</v>
      </c>
      <c r="B816" s="217" t="str">
        <f t="shared" si="12"/>
        <v>159219200[m3]</v>
      </c>
      <c r="C816" s="216">
        <v>159219200</v>
      </c>
      <c r="D816" s="175" t="s">
        <v>235</v>
      </c>
      <c r="E816" s="175">
        <v>1.66666666666667E-3</v>
      </c>
      <c r="F816" s="175" t="s">
        <v>278</v>
      </c>
      <c r="G816" s="175" t="s">
        <v>694</v>
      </c>
    </row>
    <row r="817" spans="1:7">
      <c r="A817" s="175" t="s">
        <v>3312</v>
      </c>
      <c r="B817" s="217" t="str">
        <f t="shared" si="12"/>
        <v>159219201[m3]</v>
      </c>
      <c r="C817" s="216">
        <v>159219201</v>
      </c>
      <c r="D817" s="175" t="s">
        <v>235</v>
      </c>
      <c r="E817" s="175">
        <v>3.3333333333333301E-3</v>
      </c>
      <c r="F817" s="175" t="s">
        <v>278</v>
      </c>
      <c r="G817" s="175" t="s">
        <v>695</v>
      </c>
    </row>
    <row r="818" spans="1:7">
      <c r="A818" s="175" t="s">
        <v>3312</v>
      </c>
      <c r="B818" s="217" t="str">
        <f t="shared" si="12"/>
        <v>159219201[m2]</v>
      </c>
      <c r="C818" s="216">
        <v>159219201</v>
      </c>
      <c r="D818" s="175" t="s">
        <v>235</v>
      </c>
      <c r="E818" s="175">
        <v>0.33142655367231599</v>
      </c>
      <c r="F818" s="175" t="s">
        <v>425</v>
      </c>
      <c r="G818" s="175" t="s">
        <v>695</v>
      </c>
    </row>
    <row r="819" spans="1:7">
      <c r="A819" s="175" t="s">
        <v>3313</v>
      </c>
      <c r="B819" s="217" t="str">
        <f t="shared" si="12"/>
        <v>159900000[kg]</v>
      </c>
      <c r="C819" s="216">
        <v>159900000</v>
      </c>
      <c r="D819" s="175" t="s">
        <v>265</v>
      </c>
      <c r="E819" s="175">
        <v>6.0093425581572496E-3</v>
      </c>
      <c r="F819" s="175" t="s">
        <v>235</v>
      </c>
      <c r="G819" s="175" t="s">
        <v>3314</v>
      </c>
    </row>
    <row r="820" spans="1:7">
      <c r="A820" s="175" t="s">
        <v>3315</v>
      </c>
      <c r="B820" s="217" t="str">
        <f t="shared" si="12"/>
        <v>159919000[円]</v>
      </c>
      <c r="C820" s="216">
        <v>159919000</v>
      </c>
      <c r="D820" s="175" t="s">
        <v>235</v>
      </c>
      <c r="E820" s="175">
        <v>251.06100000000001</v>
      </c>
      <c r="F820" s="175" t="s">
        <v>265</v>
      </c>
      <c r="G820" s="175" t="s">
        <v>699</v>
      </c>
    </row>
    <row r="821" spans="1:7">
      <c r="A821" s="175" t="s">
        <v>3316</v>
      </c>
      <c r="B821" s="217" t="str">
        <f t="shared" si="12"/>
        <v>159921000[kg]</v>
      </c>
      <c r="C821" s="216">
        <v>159921000</v>
      </c>
      <c r="D821" s="175" t="s">
        <v>265</v>
      </c>
      <c r="E821" s="175">
        <v>0.01</v>
      </c>
      <c r="F821" s="175" t="s">
        <v>235</v>
      </c>
      <c r="G821" s="175" t="s">
        <v>700</v>
      </c>
    </row>
    <row r="822" spans="1:7">
      <c r="A822" s="175" t="s">
        <v>3317</v>
      </c>
      <c r="B822" s="217" t="str">
        <f t="shared" si="12"/>
        <v>171100000[円]</v>
      </c>
      <c r="C822" s="216">
        <v>171100000</v>
      </c>
      <c r="D822" s="175" t="s">
        <v>235</v>
      </c>
      <c r="E822" s="175">
        <v>42.893135778586903</v>
      </c>
      <c r="F822" s="175" t="s">
        <v>265</v>
      </c>
      <c r="G822" s="175" t="s">
        <v>3318</v>
      </c>
    </row>
    <row r="823" spans="1:7">
      <c r="A823" s="175" t="s">
        <v>3319</v>
      </c>
      <c r="B823" s="217" t="str">
        <f t="shared" si="12"/>
        <v>171100200[kg]</v>
      </c>
      <c r="C823" s="216">
        <v>171100200</v>
      </c>
      <c r="D823" s="175" t="s">
        <v>707</v>
      </c>
      <c r="E823" s="175">
        <v>2.82304620240834</v>
      </c>
      <c r="F823" s="175" t="s">
        <v>235</v>
      </c>
      <c r="G823" s="175" t="s">
        <v>3320</v>
      </c>
    </row>
    <row r="824" spans="1:7">
      <c r="A824" s="175" t="s">
        <v>3321</v>
      </c>
      <c r="B824" s="217" t="str">
        <f t="shared" si="12"/>
        <v>171100201[kg]</v>
      </c>
      <c r="C824" s="216">
        <v>171100201</v>
      </c>
      <c r="D824" s="175" t="s">
        <v>708</v>
      </c>
      <c r="E824" s="175">
        <v>2.6733098895001599</v>
      </c>
      <c r="F824" s="175" t="s">
        <v>235</v>
      </c>
      <c r="G824" s="175" t="s">
        <v>3322</v>
      </c>
    </row>
    <row r="825" spans="1:7">
      <c r="A825" s="175" t="s">
        <v>3323</v>
      </c>
      <c r="B825" s="217" t="str">
        <f t="shared" si="12"/>
        <v>171111000[円]</v>
      </c>
      <c r="C825" s="216">
        <v>171111000</v>
      </c>
      <c r="D825" s="175" t="s">
        <v>235</v>
      </c>
      <c r="E825" s="175">
        <v>14.4355937116049</v>
      </c>
      <c r="F825" s="175" t="s">
        <v>265</v>
      </c>
      <c r="G825" s="175" t="s">
        <v>3324</v>
      </c>
    </row>
    <row r="826" spans="1:7">
      <c r="A826" s="175" t="s">
        <v>3325</v>
      </c>
      <c r="B826" s="217" t="str">
        <f t="shared" si="12"/>
        <v>171111100[円]</v>
      </c>
      <c r="C826" s="216">
        <v>171111100</v>
      </c>
      <c r="D826" s="175" t="s">
        <v>235</v>
      </c>
      <c r="E826" s="175">
        <v>14.4355937116049</v>
      </c>
      <c r="F826" s="175" t="s">
        <v>265</v>
      </c>
      <c r="G826" s="175" t="s">
        <v>3326</v>
      </c>
    </row>
    <row r="827" spans="1:7">
      <c r="A827" s="175" t="s">
        <v>3327</v>
      </c>
      <c r="B827" s="217" t="str">
        <f t="shared" si="12"/>
        <v>171111101[円]</v>
      </c>
      <c r="C827" s="216">
        <v>171111101</v>
      </c>
      <c r="D827" s="175" t="s">
        <v>235</v>
      </c>
      <c r="E827" s="175">
        <v>14.4355937116049</v>
      </c>
      <c r="F827" s="175" t="s">
        <v>265</v>
      </c>
      <c r="G827" s="175" t="s">
        <v>3328</v>
      </c>
    </row>
    <row r="828" spans="1:7">
      <c r="A828" s="175" t="s">
        <v>3329</v>
      </c>
      <c r="B828" s="217" t="str">
        <f t="shared" si="12"/>
        <v>171112000[円]</v>
      </c>
      <c r="C828" s="216">
        <v>171112000</v>
      </c>
      <c r="D828" s="175" t="s">
        <v>235</v>
      </c>
      <c r="E828" s="175">
        <v>63.496419035880002</v>
      </c>
      <c r="F828" s="175" t="s">
        <v>265</v>
      </c>
      <c r="G828" s="175" t="s">
        <v>3330</v>
      </c>
    </row>
    <row r="829" spans="1:7">
      <c r="A829" s="175" t="s">
        <v>3331</v>
      </c>
      <c r="B829" s="217" t="str">
        <f t="shared" si="12"/>
        <v>171113000[円]</v>
      </c>
      <c r="C829" s="216">
        <v>171113000</v>
      </c>
      <c r="D829" s="175" t="s">
        <v>235</v>
      </c>
      <c r="E829" s="175">
        <v>38.2925576820979</v>
      </c>
      <c r="F829" s="175" t="s">
        <v>265</v>
      </c>
      <c r="G829" s="175" t="s">
        <v>3332</v>
      </c>
    </row>
    <row r="830" spans="1:7">
      <c r="A830" s="175" t="s">
        <v>3333</v>
      </c>
      <c r="B830" s="217" t="str">
        <f t="shared" si="12"/>
        <v>171114000[円]</v>
      </c>
      <c r="C830" s="216">
        <v>171114000</v>
      </c>
      <c r="D830" s="175" t="s">
        <v>235</v>
      </c>
      <c r="E830" s="175">
        <v>88.321792260692504</v>
      </c>
      <c r="F830" s="175" t="s">
        <v>265</v>
      </c>
      <c r="G830" s="175" t="s">
        <v>709</v>
      </c>
    </row>
    <row r="831" spans="1:7">
      <c r="A831" s="175" t="s">
        <v>3334</v>
      </c>
      <c r="B831" s="217" t="str">
        <f t="shared" si="12"/>
        <v>171115000[円]</v>
      </c>
      <c r="C831" s="216">
        <v>171115000</v>
      </c>
      <c r="D831" s="175" t="s">
        <v>235</v>
      </c>
      <c r="E831" s="175">
        <v>61.416422766270102</v>
      </c>
      <c r="F831" s="175" t="s">
        <v>265</v>
      </c>
      <c r="G831" s="175" t="s">
        <v>710</v>
      </c>
    </row>
    <row r="832" spans="1:7">
      <c r="A832" s="175" t="s">
        <v>3335</v>
      </c>
      <c r="B832" s="217" t="str">
        <f t="shared" si="12"/>
        <v>171119000[円]</v>
      </c>
      <c r="C832" s="216">
        <v>171119000</v>
      </c>
      <c r="D832" s="175" t="s">
        <v>235</v>
      </c>
      <c r="E832" s="175">
        <v>82.355999999999995</v>
      </c>
      <c r="F832" s="175" t="s">
        <v>265</v>
      </c>
      <c r="G832" s="175" t="s">
        <v>711</v>
      </c>
    </row>
    <row r="833" spans="1:7">
      <c r="A833" s="175" t="s">
        <v>3336</v>
      </c>
      <c r="B833" s="217" t="str">
        <f t="shared" si="12"/>
        <v>171121000[円]</v>
      </c>
      <c r="C833" s="216">
        <v>171121000</v>
      </c>
      <c r="D833" s="175" t="s">
        <v>235</v>
      </c>
      <c r="E833" s="175">
        <v>105.05316183497899</v>
      </c>
      <c r="F833" s="175" t="s">
        <v>265</v>
      </c>
      <c r="G833" s="175" t="s">
        <v>713</v>
      </c>
    </row>
    <row r="834" spans="1:7">
      <c r="A834" s="175" t="s">
        <v>3337</v>
      </c>
      <c r="B834" s="217" t="str">
        <f t="shared" ref="B834:B897" si="13">C834&amp;"["&amp;F834&amp;"]"</f>
        <v>171122000[円]</v>
      </c>
      <c r="C834" s="216">
        <v>171122000</v>
      </c>
      <c r="D834" s="175" t="s">
        <v>235</v>
      </c>
      <c r="E834" s="175">
        <v>44.536603848181301</v>
      </c>
      <c r="F834" s="175" t="s">
        <v>265</v>
      </c>
      <c r="G834" s="175" t="s">
        <v>714</v>
      </c>
    </row>
    <row r="835" spans="1:7">
      <c r="A835" s="175" t="s">
        <v>3338</v>
      </c>
      <c r="B835" s="217" t="str">
        <f t="shared" si="13"/>
        <v>171123000[円]</v>
      </c>
      <c r="C835" s="216">
        <v>171123000</v>
      </c>
      <c r="D835" s="175" t="s">
        <v>235</v>
      </c>
      <c r="E835" s="175">
        <v>49.539327380341398</v>
      </c>
      <c r="F835" s="175" t="s">
        <v>265</v>
      </c>
      <c r="G835" s="175" t="s">
        <v>715</v>
      </c>
    </row>
    <row r="836" spans="1:7">
      <c r="A836" s="175" t="s">
        <v>3339</v>
      </c>
      <c r="B836" s="217" t="str">
        <f t="shared" si="13"/>
        <v>171129000[円]</v>
      </c>
      <c r="C836" s="216">
        <v>171129000</v>
      </c>
      <c r="D836" s="175" t="s">
        <v>235</v>
      </c>
      <c r="E836" s="175">
        <v>45.944000000000003</v>
      </c>
      <c r="F836" s="175" t="s">
        <v>265</v>
      </c>
      <c r="G836" s="175" t="s">
        <v>716</v>
      </c>
    </row>
    <row r="837" spans="1:7">
      <c r="A837" s="175" t="s">
        <v>3340</v>
      </c>
      <c r="B837" s="217" t="str">
        <f t="shared" si="13"/>
        <v>171129200[円]</v>
      </c>
      <c r="C837" s="216">
        <v>171129200</v>
      </c>
      <c r="D837" s="175" t="s">
        <v>235</v>
      </c>
      <c r="E837" s="175">
        <v>45.944000000000003</v>
      </c>
      <c r="F837" s="175" t="s">
        <v>265</v>
      </c>
      <c r="G837" s="175" t="s">
        <v>717</v>
      </c>
    </row>
    <row r="838" spans="1:7">
      <c r="A838" s="175" t="s">
        <v>3340</v>
      </c>
      <c r="B838" s="217" t="str">
        <f t="shared" si="13"/>
        <v>171129200[kg-P2O5]</v>
      </c>
      <c r="C838" s="216">
        <v>171129200</v>
      </c>
      <c r="D838" s="175" t="s">
        <v>235</v>
      </c>
      <c r="E838" s="175">
        <v>0.56299999999999994</v>
      </c>
      <c r="F838" s="175" t="s">
        <v>708</v>
      </c>
      <c r="G838" s="175" t="s">
        <v>717</v>
      </c>
    </row>
    <row r="839" spans="1:7">
      <c r="A839" s="175" t="s">
        <v>3341</v>
      </c>
      <c r="B839" s="217" t="str">
        <f t="shared" si="13"/>
        <v>171200000[円]</v>
      </c>
      <c r="C839" s="216">
        <v>171200000</v>
      </c>
      <c r="D839" s="175" t="s">
        <v>235</v>
      </c>
      <c r="E839" s="175">
        <v>63.0265995508842</v>
      </c>
      <c r="F839" s="175" t="s">
        <v>265</v>
      </c>
      <c r="G839" s="175" t="s">
        <v>3342</v>
      </c>
    </row>
    <row r="840" spans="1:7">
      <c r="A840" s="175" t="s">
        <v>3343</v>
      </c>
      <c r="B840" s="217" t="str">
        <f t="shared" si="13"/>
        <v>171211000[円]</v>
      </c>
      <c r="C840" s="216">
        <v>171211000</v>
      </c>
      <c r="D840" s="175" t="s">
        <v>235</v>
      </c>
      <c r="E840" s="175">
        <v>68.836303270000002</v>
      </c>
      <c r="F840" s="175" t="s">
        <v>265</v>
      </c>
      <c r="G840" s="175" t="s">
        <v>718</v>
      </c>
    </row>
    <row r="841" spans="1:7">
      <c r="A841" s="175" t="s">
        <v>3344</v>
      </c>
      <c r="B841" s="217" t="str">
        <f t="shared" si="13"/>
        <v>171212000[円]</v>
      </c>
      <c r="C841" s="216">
        <v>171212000</v>
      </c>
      <c r="D841" s="175" t="s">
        <v>235</v>
      </c>
      <c r="E841" s="175">
        <v>55.353999999999999</v>
      </c>
      <c r="F841" s="175" t="s">
        <v>265</v>
      </c>
      <c r="G841" s="175" t="s">
        <v>719</v>
      </c>
    </row>
    <row r="842" spans="1:7">
      <c r="A842" s="175" t="s">
        <v>3345</v>
      </c>
      <c r="B842" s="217" t="str">
        <f t="shared" si="13"/>
        <v>171900000[円]</v>
      </c>
      <c r="C842" s="216">
        <v>171900000</v>
      </c>
      <c r="D842" s="175" t="s">
        <v>235</v>
      </c>
      <c r="E842" s="175">
        <v>45.5821210001045</v>
      </c>
      <c r="F842" s="175" t="s">
        <v>265</v>
      </c>
      <c r="G842" s="175" t="s">
        <v>3346</v>
      </c>
    </row>
    <row r="843" spans="1:7">
      <c r="A843" s="175" t="s">
        <v>3347</v>
      </c>
      <c r="B843" s="217" t="str">
        <f t="shared" si="13"/>
        <v>171919000[円]</v>
      </c>
      <c r="C843" s="216">
        <v>171919000</v>
      </c>
      <c r="D843" s="175" t="s">
        <v>235</v>
      </c>
      <c r="E843" s="175">
        <v>45.944000000000003</v>
      </c>
      <c r="F843" s="175" t="s">
        <v>265</v>
      </c>
      <c r="G843" s="175" t="s">
        <v>720</v>
      </c>
    </row>
    <row r="844" spans="1:7">
      <c r="A844" s="175" t="s">
        <v>3348</v>
      </c>
      <c r="B844" s="217" t="str">
        <f t="shared" si="13"/>
        <v>171919200[kg]</v>
      </c>
      <c r="C844" s="216">
        <v>171919200</v>
      </c>
      <c r="D844" s="175" t="s">
        <v>721</v>
      </c>
      <c r="E844" s="175">
        <v>1.81781736104495</v>
      </c>
      <c r="F844" s="175" t="s">
        <v>235</v>
      </c>
      <c r="G844" s="175" t="s">
        <v>3349</v>
      </c>
    </row>
    <row r="845" spans="1:7">
      <c r="A845" s="175" t="s">
        <v>3348</v>
      </c>
      <c r="B845" s="217" t="str">
        <f t="shared" si="13"/>
        <v>171919200[円]</v>
      </c>
      <c r="C845" s="216">
        <v>171919200</v>
      </c>
      <c r="D845" s="175" t="s">
        <v>721</v>
      </c>
      <c r="E845" s="175">
        <v>83.517003200000005</v>
      </c>
      <c r="F845" s="175" t="s">
        <v>265</v>
      </c>
      <c r="G845" s="175" t="s">
        <v>3349</v>
      </c>
    </row>
    <row r="846" spans="1:7">
      <c r="A846" s="175" t="s">
        <v>3350</v>
      </c>
      <c r="B846" s="217" t="str">
        <f t="shared" si="13"/>
        <v>172100000[円]</v>
      </c>
      <c r="C846" s="216">
        <v>172100000</v>
      </c>
      <c r="D846" s="175" t="s">
        <v>235</v>
      </c>
      <c r="E846" s="175">
        <v>30.578348179404099</v>
      </c>
      <c r="F846" s="175" t="s">
        <v>265</v>
      </c>
      <c r="G846" s="175" t="s">
        <v>3351</v>
      </c>
    </row>
    <row r="847" spans="1:7">
      <c r="A847" s="175" t="s">
        <v>3352</v>
      </c>
      <c r="B847" s="217" t="str">
        <f t="shared" si="13"/>
        <v>172111000[円]</v>
      </c>
      <c r="C847" s="216">
        <v>172111000</v>
      </c>
      <c r="D847" s="175" t="s">
        <v>235</v>
      </c>
      <c r="E847" s="175">
        <v>36.860601798780401</v>
      </c>
      <c r="F847" s="175" t="s">
        <v>265</v>
      </c>
      <c r="G847" s="175" t="s">
        <v>3353</v>
      </c>
    </row>
    <row r="848" spans="1:7">
      <c r="A848" s="175" t="s">
        <v>3354</v>
      </c>
      <c r="B848" s="217" t="str">
        <f t="shared" si="13"/>
        <v>172112000[円]</v>
      </c>
      <c r="C848" s="216">
        <v>172112000</v>
      </c>
      <c r="D848" s="175" t="s">
        <v>235</v>
      </c>
      <c r="E848" s="175">
        <v>42.143714142361603</v>
      </c>
      <c r="F848" s="175" t="s">
        <v>265</v>
      </c>
      <c r="G848" s="175" t="s">
        <v>722</v>
      </c>
    </row>
    <row r="849" spans="1:7">
      <c r="A849" s="175" t="s">
        <v>3355</v>
      </c>
      <c r="B849" s="217" t="str">
        <f t="shared" si="13"/>
        <v>172113000[円]</v>
      </c>
      <c r="C849" s="216">
        <v>172113000</v>
      </c>
      <c r="D849" s="175" t="s">
        <v>235</v>
      </c>
      <c r="E849" s="175">
        <v>45.287231849999998</v>
      </c>
      <c r="F849" s="175" t="s">
        <v>265</v>
      </c>
      <c r="G849" s="175" t="s">
        <v>723</v>
      </c>
    </row>
    <row r="850" spans="1:7">
      <c r="A850" s="175" t="s">
        <v>3356</v>
      </c>
      <c r="B850" s="217" t="str">
        <f t="shared" si="13"/>
        <v>172114000[円]</v>
      </c>
      <c r="C850" s="216">
        <v>172114000</v>
      </c>
      <c r="D850" s="175" t="s">
        <v>235</v>
      </c>
      <c r="E850" s="175">
        <v>53.4</v>
      </c>
      <c r="F850" s="175" t="s">
        <v>265</v>
      </c>
      <c r="G850" s="175" t="s">
        <v>724</v>
      </c>
    </row>
    <row r="851" spans="1:7">
      <c r="A851" s="175" t="s">
        <v>3357</v>
      </c>
      <c r="B851" s="217" t="str">
        <f t="shared" si="13"/>
        <v>172115000[円]</v>
      </c>
      <c r="C851" s="216">
        <v>172115000</v>
      </c>
      <c r="D851" s="175" t="s">
        <v>235</v>
      </c>
      <c r="E851" s="175">
        <v>14.139985634878199</v>
      </c>
      <c r="F851" s="175" t="s">
        <v>265</v>
      </c>
      <c r="G851" s="175" t="s">
        <v>3358</v>
      </c>
    </row>
    <row r="852" spans="1:7">
      <c r="A852" s="175" t="s">
        <v>3359</v>
      </c>
      <c r="B852" s="217" t="str">
        <f t="shared" si="13"/>
        <v>172115100[円]</v>
      </c>
      <c r="C852" s="216">
        <v>172115100</v>
      </c>
      <c r="D852" s="175" t="s">
        <v>235</v>
      </c>
      <c r="E852" s="175">
        <v>14.139985634878199</v>
      </c>
      <c r="F852" s="175" t="s">
        <v>265</v>
      </c>
      <c r="G852" s="175" t="s">
        <v>3360</v>
      </c>
    </row>
    <row r="853" spans="1:7">
      <c r="A853" s="175" t="s">
        <v>3361</v>
      </c>
      <c r="B853" s="217" t="str">
        <f t="shared" si="13"/>
        <v>172115119[円]</v>
      </c>
      <c r="C853" s="216">
        <v>172115119</v>
      </c>
      <c r="D853" s="175" t="s">
        <v>235</v>
      </c>
      <c r="E853" s="175">
        <v>14.139985634878199</v>
      </c>
      <c r="F853" s="175" t="s">
        <v>265</v>
      </c>
      <c r="G853" s="175" t="s">
        <v>3362</v>
      </c>
    </row>
    <row r="854" spans="1:7">
      <c r="A854" s="175" t="s">
        <v>3363</v>
      </c>
      <c r="B854" s="217" t="str">
        <f t="shared" si="13"/>
        <v>172115120[円]</v>
      </c>
      <c r="C854" s="216">
        <v>172115120</v>
      </c>
      <c r="D854" s="175" t="s">
        <v>235</v>
      </c>
      <c r="E854" s="175">
        <v>14.139985634878199</v>
      </c>
      <c r="F854" s="175" t="s">
        <v>265</v>
      </c>
      <c r="G854" s="175" t="s">
        <v>3364</v>
      </c>
    </row>
    <row r="855" spans="1:7">
      <c r="A855" s="175" t="s">
        <v>3365</v>
      </c>
      <c r="B855" s="217" t="str">
        <f t="shared" si="13"/>
        <v>172115123[円]</v>
      </c>
      <c r="C855" s="216">
        <v>172115123</v>
      </c>
      <c r="D855" s="175" t="s">
        <v>235</v>
      </c>
      <c r="E855" s="175">
        <v>14.139985634878199</v>
      </c>
      <c r="F855" s="175" t="s">
        <v>265</v>
      </c>
      <c r="G855" s="175" t="s">
        <v>3366</v>
      </c>
    </row>
    <row r="856" spans="1:7">
      <c r="A856" s="175" t="s">
        <v>3367</v>
      </c>
      <c r="B856" s="217" t="str">
        <f t="shared" si="13"/>
        <v>172115124[円]</v>
      </c>
      <c r="C856" s="216">
        <v>172115124</v>
      </c>
      <c r="D856" s="175" t="s">
        <v>235</v>
      </c>
      <c r="E856" s="175">
        <v>14.139985634878199</v>
      </c>
      <c r="F856" s="175" t="s">
        <v>265</v>
      </c>
      <c r="G856" s="175" t="s">
        <v>3368</v>
      </c>
    </row>
    <row r="857" spans="1:7">
      <c r="A857" s="175" t="s">
        <v>3369</v>
      </c>
      <c r="B857" s="217" t="str">
        <f t="shared" si="13"/>
        <v>172115126[円]</v>
      </c>
      <c r="C857" s="216">
        <v>172115126</v>
      </c>
      <c r="D857" s="175" t="s">
        <v>235</v>
      </c>
      <c r="E857" s="175">
        <v>14.139985634878199</v>
      </c>
      <c r="F857" s="175" t="s">
        <v>265</v>
      </c>
      <c r="G857" s="175" t="s">
        <v>3370</v>
      </c>
    </row>
    <row r="858" spans="1:7">
      <c r="A858" s="175" t="s">
        <v>3371</v>
      </c>
      <c r="B858" s="217" t="str">
        <f t="shared" si="13"/>
        <v>172115201[円]</v>
      </c>
      <c r="C858" s="216">
        <v>172115201</v>
      </c>
      <c r="D858" s="175" t="s">
        <v>235</v>
      </c>
      <c r="E858" s="175">
        <v>14.139985634878199</v>
      </c>
      <c r="F858" s="175" t="s">
        <v>265</v>
      </c>
      <c r="G858" s="175" t="s">
        <v>3372</v>
      </c>
    </row>
    <row r="859" spans="1:7">
      <c r="A859" s="175" t="s">
        <v>3373</v>
      </c>
      <c r="B859" s="217" t="str">
        <f t="shared" si="13"/>
        <v>172116000[円]</v>
      </c>
      <c r="C859" s="216">
        <v>172116000</v>
      </c>
      <c r="D859" s="175" t="s">
        <v>235</v>
      </c>
      <c r="E859" s="175">
        <v>94.629249372575899</v>
      </c>
      <c r="F859" s="175" t="s">
        <v>265</v>
      </c>
      <c r="G859" s="175" t="s">
        <v>725</v>
      </c>
    </row>
    <row r="860" spans="1:7">
      <c r="A860" s="175" t="s">
        <v>3374</v>
      </c>
      <c r="B860" s="217" t="str">
        <f t="shared" si="13"/>
        <v>172117000[円]</v>
      </c>
      <c r="C860" s="216">
        <v>172117000</v>
      </c>
      <c r="D860" s="175" t="s">
        <v>235</v>
      </c>
      <c r="E860" s="175">
        <v>23.2489962909622</v>
      </c>
      <c r="F860" s="175" t="s">
        <v>265</v>
      </c>
      <c r="G860" s="175" t="s">
        <v>3375</v>
      </c>
    </row>
    <row r="861" spans="1:7">
      <c r="A861" s="175" t="s">
        <v>3376</v>
      </c>
      <c r="B861" s="217" t="str">
        <f t="shared" si="13"/>
        <v>172119000[円]</v>
      </c>
      <c r="C861" s="216">
        <v>172119000</v>
      </c>
      <c r="D861" s="175" t="s">
        <v>235</v>
      </c>
      <c r="E861" s="175">
        <v>33.140999999999998</v>
      </c>
      <c r="F861" s="175" t="s">
        <v>265</v>
      </c>
      <c r="G861" s="175" t="s">
        <v>726</v>
      </c>
    </row>
    <row r="862" spans="1:7">
      <c r="A862" s="175" t="s">
        <v>3377</v>
      </c>
      <c r="B862" s="217" t="str">
        <f t="shared" si="13"/>
        <v>172119100[円]</v>
      </c>
      <c r="C862" s="216">
        <v>172119100</v>
      </c>
      <c r="D862" s="175" t="s">
        <v>235</v>
      </c>
      <c r="E862" s="175">
        <v>43.855147819999999</v>
      </c>
      <c r="F862" s="175" t="s">
        <v>265</v>
      </c>
      <c r="G862" s="175" t="s">
        <v>729</v>
      </c>
    </row>
    <row r="863" spans="1:7">
      <c r="A863" s="175" t="s">
        <v>3378</v>
      </c>
      <c r="B863" s="217" t="str">
        <f t="shared" si="13"/>
        <v>172200000[円]</v>
      </c>
      <c r="C863" s="216">
        <v>172200000</v>
      </c>
      <c r="D863" s="175" t="s">
        <v>235</v>
      </c>
      <c r="E863" s="175">
        <v>201.32270050051</v>
      </c>
      <c r="F863" s="175" t="s">
        <v>265</v>
      </c>
      <c r="G863" s="175" t="s">
        <v>3379</v>
      </c>
    </row>
    <row r="864" spans="1:7">
      <c r="A864" s="175" t="s">
        <v>3380</v>
      </c>
      <c r="B864" s="217" t="str">
        <f t="shared" si="13"/>
        <v>172211000[円]</v>
      </c>
      <c r="C864" s="216">
        <v>172211000</v>
      </c>
      <c r="D864" s="175" t="s">
        <v>235</v>
      </c>
      <c r="E864" s="175">
        <v>223.83775684931501</v>
      </c>
      <c r="F864" s="175" t="s">
        <v>265</v>
      </c>
      <c r="G864" s="175" t="s">
        <v>730</v>
      </c>
    </row>
    <row r="865" spans="1:7">
      <c r="A865" s="175" t="s">
        <v>3381</v>
      </c>
      <c r="B865" s="217" t="str">
        <f t="shared" si="13"/>
        <v>172212000[円]</v>
      </c>
      <c r="C865" s="216">
        <v>172212000</v>
      </c>
      <c r="D865" s="175" t="s">
        <v>235</v>
      </c>
      <c r="E865" s="175">
        <v>285.35510495969999</v>
      </c>
      <c r="F865" s="175" t="s">
        <v>265</v>
      </c>
      <c r="G865" s="175" t="s">
        <v>731</v>
      </c>
    </row>
    <row r="866" spans="1:7">
      <c r="A866" s="175" t="s">
        <v>3382</v>
      </c>
      <c r="B866" s="217" t="str">
        <f t="shared" si="13"/>
        <v>172213000[円]</v>
      </c>
      <c r="C866" s="216">
        <v>172213000</v>
      </c>
      <c r="D866" s="175" t="s">
        <v>235</v>
      </c>
      <c r="E866" s="175">
        <v>188.74966889480999</v>
      </c>
      <c r="F866" s="175" t="s">
        <v>265</v>
      </c>
      <c r="G866" s="175" t="s">
        <v>3383</v>
      </c>
    </row>
    <row r="867" spans="1:7">
      <c r="A867" s="175" t="s">
        <v>3384</v>
      </c>
      <c r="B867" s="217" t="str">
        <f t="shared" si="13"/>
        <v>172213200[円]</v>
      </c>
      <c r="C867" s="216">
        <v>172213200</v>
      </c>
      <c r="D867" s="175" t="s">
        <v>235</v>
      </c>
      <c r="E867" s="175">
        <v>188.74966889480999</v>
      </c>
      <c r="F867" s="175" t="s">
        <v>265</v>
      </c>
      <c r="G867" s="175" t="s">
        <v>3385</v>
      </c>
    </row>
    <row r="868" spans="1:7">
      <c r="A868" s="175" t="s">
        <v>3386</v>
      </c>
      <c r="B868" s="217" t="str">
        <f t="shared" si="13"/>
        <v>172213201[円]</v>
      </c>
      <c r="C868" s="216">
        <v>172213201</v>
      </c>
      <c r="D868" s="175" t="s">
        <v>235</v>
      </c>
      <c r="E868" s="175">
        <v>188.74966889480999</v>
      </c>
      <c r="F868" s="175" t="s">
        <v>265</v>
      </c>
      <c r="G868" s="175" t="s">
        <v>3387</v>
      </c>
    </row>
    <row r="869" spans="1:7">
      <c r="A869" s="175" t="s">
        <v>3388</v>
      </c>
      <c r="B869" s="217" t="str">
        <f t="shared" si="13"/>
        <v>172214000[円]</v>
      </c>
      <c r="C869" s="216">
        <v>172214000</v>
      </c>
      <c r="D869" s="175" t="s">
        <v>235</v>
      </c>
      <c r="E869" s="175">
        <v>717.766990291262</v>
      </c>
      <c r="F869" s="175" t="s">
        <v>265</v>
      </c>
      <c r="G869" s="175" t="s">
        <v>732</v>
      </c>
    </row>
    <row r="870" spans="1:7">
      <c r="A870" s="175" t="s">
        <v>3389</v>
      </c>
      <c r="B870" s="217" t="str">
        <f t="shared" si="13"/>
        <v>172215000[円]</v>
      </c>
      <c r="C870" s="216">
        <v>172215000</v>
      </c>
      <c r="D870" s="175" t="s">
        <v>235</v>
      </c>
      <c r="E870" s="175">
        <v>141.22815965983699</v>
      </c>
      <c r="F870" s="175" t="s">
        <v>265</v>
      </c>
      <c r="G870" s="175" t="s">
        <v>733</v>
      </c>
    </row>
    <row r="871" spans="1:7">
      <c r="A871" s="175" t="s">
        <v>3390</v>
      </c>
      <c r="B871" s="217" t="str">
        <f t="shared" si="13"/>
        <v>172219000[円]</v>
      </c>
      <c r="C871" s="216">
        <v>172219000</v>
      </c>
      <c r="D871" s="175" t="s">
        <v>235</v>
      </c>
      <c r="E871" s="175">
        <v>428.86599999999999</v>
      </c>
      <c r="F871" s="175" t="s">
        <v>265</v>
      </c>
      <c r="G871" s="175" t="s">
        <v>734</v>
      </c>
    </row>
    <row r="872" spans="1:7">
      <c r="A872" s="175" t="s">
        <v>3391</v>
      </c>
      <c r="B872" s="217" t="str">
        <f t="shared" si="13"/>
        <v>172300000[Nm3]</v>
      </c>
      <c r="C872" s="216">
        <v>172300000</v>
      </c>
      <c r="D872" s="175" t="s">
        <v>265</v>
      </c>
      <c r="E872" s="175">
        <v>1.56117205192255E-2</v>
      </c>
      <c r="F872" s="175" t="s">
        <v>402</v>
      </c>
      <c r="G872" s="175" t="s">
        <v>3392</v>
      </c>
    </row>
    <row r="873" spans="1:7">
      <c r="A873" s="175" t="s">
        <v>3393</v>
      </c>
      <c r="B873" s="217" t="str">
        <f t="shared" si="13"/>
        <v>172311000[kg]</v>
      </c>
      <c r="C873" s="216">
        <v>172311000</v>
      </c>
      <c r="D873" s="175" t="s">
        <v>402</v>
      </c>
      <c r="E873" s="175">
        <v>1.4285714285714299</v>
      </c>
      <c r="F873" s="175" t="s">
        <v>235</v>
      </c>
      <c r="G873" s="175" t="s">
        <v>3394</v>
      </c>
    </row>
    <row r="874" spans="1:7">
      <c r="A874" s="175" t="s">
        <v>3393</v>
      </c>
      <c r="B874" s="217" t="str">
        <f t="shared" si="13"/>
        <v>172311000[円]</v>
      </c>
      <c r="C874" s="216">
        <v>172311000</v>
      </c>
      <c r="D874" s="175" t="s">
        <v>402</v>
      </c>
      <c r="E874" s="175">
        <v>8.38156980676351</v>
      </c>
      <c r="F874" s="175" t="s">
        <v>265</v>
      </c>
      <c r="G874" s="175" t="s">
        <v>3394</v>
      </c>
    </row>
    <row r="875" spans="1:7">
      <c r="A875" s="175" t="s">
        <v>3395</v>
      </c>
      <c r="B875" s="217" t="str">
        <f t="shared" si="13"/>
        <v>172312000[円]</v>
      </c>
      <c r="C875" s="216">
        <v>172312000</v>
      </c>
      <c r="D875" s="175" t="s">
        <v>402</v>
      </c>
      <c r="E875" s="175">
        <v>33.035550071589</v>
      </c>
      <c r="F875" s="175" t="s">
        <v>265</v>
      </c>
      <c r="G875" s="175" t="s">
        <v>128</v>
      </c>
    </row>
    <row r="876" spans="1:7">
      <c r="A876" s="175" t="s">
        <v>3395</v>
      </c>
      <c r="B876" s="217" t="str">
        <f t="shared" si="13"/>
        <v>172312000[kg]</v>
      </c>
      <c r="C876" s="216">
        <v>172312000</v>
      </c>
      <c r="D876" s="175" t="s">
        <v>402</v>
      </c>
      <c r="E876" s="175">
        <v>8.9899999999999994E-2</v>
      </c>
      <c r="F876" s="175" t="s">
        <v>235</v>
      </c>
      <c r="G876" s="175" t="s">
        <v>128</v>
      </c>
    </row>
    <row r="877" spans="1:7">
      <c r="A877" s="175" t="s">
        <v>3395</v>
      </c>
      <c r="B877" s="217" t="str">
        <f t="shared" si="13"/>
        <v>172312000[MJ]</v>
      </c>
      <c r="C877" s="216">
        <v>172312000</v>
      </c>
      <c r="D877" s="175" t="s">
        <v>402</v>
      </c>
      <c r="E877" s="175">
        <v>12.7658</v>
      </c>
      <c r="F877" s="175" t="s">
        <v>279</v>
      </c>
      <c r="G877" s="175" t="s">
        <v>128</v>
      </c>
    </row>
    <row r="878" spans="1:7">
      <c r="A878" s="175" t="s">
        <v>3395</v>
      </c>
      <c r="B878" s="217" t="str">
        <f t="shared" si="13"/>
        <v>172312000[L]</v>
      </c>
      <c r="C878" s="216">
        <v>172312000</v>
      </c>
      <c r="D878" s="175" t="s">
        <v>402</v>
      </c>
      <c r="E878" s="175">
        <v>1.269774011</v>
      </c>
      <c r="F878" s="175" t="s">
        <v>400</v>
      </c>
      <c r="G878" s="175" t="s">
        <v>128</v>
      </c>
    </row>
    <row r="879" spans="1:7">
      <c r="A879" s="175" t="s">
        <v>3396</v>
      </c>
      <c r="B879" s="217" t="str">
        <f t="shared" si="13"/>
        <v>172312102[円]</v>
      </c>
      <c r="C879" s="216">
        <v>172312102</v>
      </c>
      <c r="D879" s="175" t="s">
        <v>235</v>
      </c>
      <c r="E879" s="175">
        <v>33.035550071589</v>
      </c>
      <c r="F879" s="175" t="s">
        <v>265</v>
      </c>
      <c r="G879" s="175" t="s">
        <v>3397</v>
      </c>
    </row>
    <row r="880" spans="1:7">
      <c r="A880" s="175" t="s">
        <v>3396</v>
      </c>
      <c r="B880" s="217" t="str">
        <f t="shared" si="13"/>
        <v>172312102[Nm3]</v>
      </c>
      <c r="C880" s="216">
        <v>172312102</v>
      </c>
      <c r="D880" s="175" t="s">
        <v>235</v>
      </c>
      <c r="E880" s="175">
        <v>11.1234705228031</v>
      </c>
      <c r="F880" s="175" t="s">
        <v>402</v>
      </c>
      <c r="G880" s="175" t="s">
        <v>3397</v>
      </c>
    </row>
    <row r="881" spans="1:7">
      <c r="A881" s="175" t="s">
        <v>3398</v>
      </c>
      <c r="B881" s="217" t="str">
        <f t="shared" si="13"/>
        <v>172312103[円]</v>
      </c>
      <c r="C881" s="216">
        <v>172312103</v>
      </c>
      <c r="D881" s="175" t="s">
        <v>235</v>
      </c>
      <c r="E881" s="175">
        <v>33.035550071589</v>
      </c>
      <c r="F881" s="175" t="s">
        <v>265</v>
      </c>
      <c r="G881" s="175" t="s">
        <v>3399</v>
      </c>
    </row>
    <row r="882" spans="1:7">
      <c r="A882" s="175" t="s">
        <v>3398</v>
      </c>
      <c r="B882" s="217" t="str">
        <f t="shared" si="13"/>
        <v>172312103[Nm3]</v>
      </c>
      <c r="C882" s="216">
        <v>172312103</v>
      </c>
      <c r="D882" s="175" t="s">
        <v>235</v>
      </c>
      <c r="E882" s="175">
        <v>11.1234705228031</v>
      </c>
      <c r="F882" s="175" t="s">
        <v>402</v>
      </c>
      <c r="G882" s="175" t="s">
        <v>3399</v>
      </c>
    </row>
    <row r="883" spans="1:7">
      <c r="A883" s="175" t="s">
        <v>3400</v>
      </c>
      <c r="B883" s="217" t="str">
        <f t="shared" si="13"/>
        <v>172312106[Nm3]</v>
      </c>
      <c r="C883" s="216">
        <v>172312106</v>
      </c>
      <c r="D883" s="175" t="s">
        <v>235</v>
      </c>
      <c r="E883" s="175">
        <v>11.1234705228031</v>
      </c>
      <c r="F883" s="175" t="s">
        <v>402</v>
      </c>
      <c r="G883" s="175" t="s">
        <v>3401</v>
      </c>
    </row>
    <row r="884" spans="1:7">
      <c r="A884" s="175" t="s">
        <v>3402</v>
      </c>
      <c r="B884" s="217" t="str">
        <f t="shared" si="13"/>
        <v>172312200[円]</v>
      </c>
      <c r="C884" s="216">
        <v>172312200</v>
      </c>
      <c r="D884" s="175" t="s">
        <v>402</v>
      </c>
      <c r="E884" s="175">
        <v>33.035550071589</v>
      </c>
      <c r="F884" s="175" t="s">
        <v>265</v>
      </c>
      <c r="G884" s="175" t="s">
        <v>3403</v>
      </c>
    </row>
    <row r="885" spans="1:7">
      <c r="A885" s="175" t="s">
        <v>3404</v>
      </c>
      <c r="B885" s="217" t="str">
        <f t="shared" si="13"/>
        <v>172313000[円]</v>
      </c>
      <c r="C885" s="216">
        <v>172313000</v>
      </c>
      <c r="D885" s="175" t="s">
        <v>235</v>
      </c>
      <c r="E885" s="175">
        <v>663.80969351389899</v>
      </c>
      <c r="F885" s="175" t="s">
        <v>265</v>
      </c>
      <c r="G885" s="175" t="s">
        <v>736</v>
      </c>
    </row>
    <row r="886" spans="1:7">
      <c r="A886" s="175" t="s">
        <v>3405</v>
      </c>
      <c r="B886" s="217" t="str">
        <f t="shared" si="13"/>
        <v>172314000[円]</v>
      </c>
      <c r="C886" s="216">
        <v>172314000</v>
      </c>
      <c r="D886" s="175" t="s">
        <v>235</v>
      </c>
      <c r="E886" s="175">
        <v>23.403147569081</v>
      </c>
      <c r="F886" s="175" t="s">
        <v>265</v>
      </c>
      <c r="G886" s="175" t="s">
        <v>3406</v>
      </c>
    </row>
    <row r="887" spans="1:7">
      <c r="A887" s="175" t="s">
        <v>3407</v>
      </c>
      <c r="B887" s="217" t="str">
        <f t="shared" si="13"/>
        <v>172315000[円]</v>
      </c>
      <c r="C887" s="216">
        <v>172315000</v>
      </c>
      <c r="D887" s="175" t="s">
        <v>402</v>
      </c>
      <c r="E887" s="175">
        <v>6.412691294</v>
      </c>
      <c r="F887" s="175" t="s">
        <v>265</v>
      </c>
      <c r="G887" s="175" t="s">
        <v>738</v>
      </c>
    </row>
    <row r="888" spans="1:7">
      <c r="A888" s="175" t="s">
        <v>3407</v>
      </c>
      <c r="B888" s="217" t="str">
        <f t="shared" si="13"/>
        <v>172315000[kg]</v>
      </c>
      <c r="C888" s="216">
        <v>172315000</v>
      </c>
      <c r="D888" s="175" t="s">
        <v>402</v>
      </c>
      <c r="E888" s="175">
        <v>1.25</v>
      </c>
      <c r="F888" s="175" t="s">
        <v>235</v>
      </c>
      <c r="G888" s="175" t="s">
        <v>738</v>
      </c>
    </row>
    <row r="889" spans="1:7">
      <c r="A889" s="175" t="s">
        <v>3408</v>
      </c>
      <c r="B889" s="217" t="str">
        <f t="shared" si="13"/>
        <v>172319000[円]</v>
      </c>
      <c r="C889" s="216">
        <v>172319000</v>
      </c>
      <c r="D889" s="175" t="s">
        <v>402</v>
      </c>
      <c r="E889" s="175">
        <v>104.16800000000001</v>
      </c>
      <c r="F889" s="175" t="s">
        <v>265</v>
      </c>
      <c r="G889" s="175" t="s">
        <v>739</v>
      </c>
    </row>
    <row r="890" spans="1:7">
      <c r="A890" s="175" t="s">
        <v>3408</v>
      </c>
      <c r="B890" s="217" t="str">
        <f t="shared" si="13"/>
        <v>172319000[kg]</v>
      </c>
      <c r="C890" s="216">
        <v>172319000</v>
      </c>
      <c r="D890" s="175" t="s">
        <v>402</v>
      </c>
      <c r="E890" s="175">
        <v>1.5</v>
      </c>
      <c r="F890" s="175" t="s">
        <v>235</v>
      </c>
      <c r="G890" s="175" t="s">
        <v>739</v>
      </c>
    </row>
    <row r="891" spans="1:7">
      <c r="A891" s="175" t="s">
        <v>3409</v>
      </c>
      <c r="B891" s="217" t="str">
        <f t="shared" si="13"/>
        <v>172319101[kg]</v>
      </c>
      <c r="C891" s="216">
        <v>172319101</v>
      </c>
      <c r="D891" s="175" t="s">
        <v>402</v>
      </c>
      <c r="E891" s="175">
        <v>1.25</v>
      </c>
      <c r="F891" s="175" t="s">
        <v>235</v>
      </c>
      <c r="G891" s="175" t="s">
        <v>741</v>
      </c>
    </row>
    <row r="892" spans="1:7">
      <c r="A892" s="175" t="s">
        <v>3410</v>
      </c>
      <c r="B892" s="217" t="str">
        <f t="shared" si="13"/>
        <v>172319201[kg]</v>
      </c>
      <c r="C892" s="216">
        <v>172319201</v>
      </c>
      <c r="D892" s="175" t="s">
        <v>400</v>
      </c>
      <c r="E892" s="175">
        <v>0.12479999999999999</v>
      </c>
      <c r="F892" s="175" t="s">
        <v>235</v>
      </c>
      <c r="G892" s="175" t="s">
        <v>3411</v>
      </c>
    </row>
    <row r="893" spans="1:7">
      <c r="A893" s="175" t="s">
        <v>3412</v>
      </c>
      <c r="B893" s="217" t="str">
        <f t="shared" si="13"/>
        <v>172319202[m3]</v>
      </c>
      <c r="C893" s="216">
        <v>172319202</v>
      </c>
      <c r="D893" s="175" t="s">
        <v>402</v>
      </c>
      <c r="E893" s="175">
        <v>1</v>
      </c>
      <c r="F893" s="175" t="s">
        <v>278</v>
      </c>
      <c r="G893" s="175" t="s">
        <v>3413</v>
      </c>
    </row>
    <row r="894" spans="1:7">
      <c r="A894" s="175" t="s">
        <v>3414</v>
      </c>
      <c r="B894" s="217" t="str">
        <f t="shared" si="13"/>
        <v>172319204[kg]</v>
      </c>
      <c r="C894" s="216">
        <v>172319204</v>
      </c>
      <c r="D894" s="175" t="s">
        <v>402</v>
      </c>
      <c r="E894" s="175">
        <v>0.17853954650955201</v>
      </c>
      <c r="F894" s="175" t="s">
        <v>235</v>
      </c>
      <c r="G894" s="175" t="s">
        <v>3415</v>
      </c>
    </row>
    <row r="895" spans="1:7">
      <c r="A895" s="175" t="s">
        <v>3416</v>
      </c>
      <c r="B895" s="217" t="str">
        <f t="shared" si="13"/>
        <v>172400000[kg]</v>
      </c>
      <c r="C895" s="216">
        <v>172400000</v>
      </c>
      <c r="D895" s="175" t="s">
        <v>265</v>
      </c>
      <c r="E895" s="175">
        <v>2.0457610233349199E-2</v>
      </c>
      <c r="F895" s="175" t="s">
        <v>235</v>
      </c>
      <c r="G895" s="175" t="s">
        <v>3417</v>
      </c>
    </row>
    <row r="896" spans="1:7">
      <c r="A896" s="175" t="s">
        <v>3418</v>
      </c>
      <c r="B896" s="217" t="str">
        <f t="shared" si="13"/>
        <v>172411000[円]</v>
      </c>
      <c r="C896" s="216">
        <v>172411000</v>
      </c>
      <c r="D896" s="175" t="s">
        <v>235</v>
      </c>
      <c r="E896" s="175">
        <v>26.339439657066301</v>
      </c>
      <c r="F896" s="175" t="s">
        <v>265</v>
      </c>
      <c r="G896" s="175" t="s">
        <v>742</v>
      </c>
    </row>
    <row r="897" spans="1:7">
      <c r="A897" s="175" t="s">
        <v>3419</v>
      </c>
      <c r="B897" s="217" t="str">
        <f t="shared" si="13"/>
        <v>172412000[円]</v>
      </c>
      <c r="C897" s="216">
        <v>172412000</v>
      </c>
      <c r="D897" s="175" t="s">
        <v>235</v>
      </c>
      <c r="E897" s="175">
        <v>93.312958095158606</v>
      </c>
      <c r="F897" s="175" t="s">
        <v>265</v>
      </c>
      <c r="G897" s="175" t="s">
        <v>743</v>
      </c>
    </row>
    <row r="898" spans="1:7">
      <c r="A898" s="175" t="s">
        <v>3420</v>
      </c>
      <c r="B898" s="217" t="str">
        <f t="shared" ref="B898:B961" si="14">C898&amp;"["&amp;F898&amp;"]"</f>
        <v>172413000[L]</v>
      </c>
      <c r="C898" s="216">
        <v>172413000</v>
      </c>
      <c r="D898" s="175" t="s">
        <v>265</v>
      </c>
      <c r="E898" s="175">
        <v>8.0781969464415501E-2</v>
      </c>
      <c r="F898" s="175" t="s">
        <v>400</v>
      </c>
      <c r="G898" s="175" t="s">
        <v>744</v>
      </c>
    </row>
    <row r="899" spans="1:7">
      <c r="A899" s="175" t="s">
        <v>3420</v>
      </c>
      <c r="B899" s="217" t="str">
        <f t="shared" si="14"/>
        <v>172413000[kg]</v>
      </c>
      <c r="C899" s="216">
        <v>172413000</v>
      </c>
      <c r="D899" s="175" t="s">
        <v>265</v>
      </c>
      <c r="E899" s="175">
        <v>8.0781969464415501E-2</v>
      </c>
      <c r="F899" s="175" t="s">
        <v>235</v>
      </c>
      <c r="G899" s="175" t="s">
        <v>744</v>
      </c>
    </row>
    <row r="900" spans="1:7">
      <c r="A900" s="175" t="s">
        <v>3421</v>
      </c>
      <c r="B900" s="217" t="str">
        <f t="shared" si="14"/>
        <v>172900000[円]</v>
      </c>
      <c r="C900" s="216">
        <v>172900000</v>
      </c>
      <c r="D900" s="175" t="s">
        <v>235</v>
      </c>
      <c r="E900" s="175">
        <v>67.6939425087389</v>
      </c>
      <c r="F900" s="175" t="s">
        <v>265</v>
      </c>
      <c r="G900" s="175" t="s">
        <v>3422</v>
      </c>
    </row>
    <row r="901" spans="1:7">
      <c r="A901" s="175" t="s">
        <v>3423</v>
      </c>
      <c r="B901" s="217" t="str">
        <f t="shared" si="14"/>
        <v>172911000[円]</v>
      </c>
      <c r="C901" s="216">
        <v>172911000</v>
      </c>
      <c r="D901" s="175" t="s">
        <v>235</v>
      </c>
      <c r="E901" s="175">
        <v>117.256860119385</v>
      </c>
      <c r="F901" s="175" t="s">
        <v>265</v>
      </c>
      <c r="G901" s="175" t="s">
        <v>745</v>
      </c>
    </row>
    <row r="902" spans="1:7">
      <c r="A902" s="175" t="s">
        <v>3424</v>
      </c>
      <c r="B902" s="217" t="str">
        <f t="shared" si="14"/>
        <v>172912000[円]</v>
      </c>
      <c r="C902" s="216">
        <v>172912000</v>
      </c>
      <c r="D902" s="175" t="s">
        <v>235</v>
      </c>
      <c r="E902" s="175">
        <v>188.62861089955899</v>
      </c>
      <c r="F902" s="175" t="s">
        <v>265</v>
      </c>
      <c r="G902" s="175" t="s">
        <v>3425</v>
      </c>
    </row>
    <row r="903" spans="1:7">
      <c r="A903" s="175" t="s">
        <v>3426</v>
      </c>
      <c r="B903" s="217" t="str">
        <f t="shared" si="14"/>
        <v>172912101[円]</v>
      </c>
      <c r="C903" s="216">
        <v>172912101</v>
      </c>
      <c r="D903" s="175" t="s">
        <v>235</v>
      </c>
      <c r="E903" s="175">
        <v>188.62861089955899</v>
      </c>
      <c r="F903" s="175" t="s">
        <v>265</v>
      </c>
      <c r="G903" s="175" t="s">
        <v>3427</v>
      </c>
    </row>
    <row r="904" spans="1:7">
      <c r="A904" s="175" t="s">
        <v>3428</v>
      </c>
      <c r="B904" s="217" t="str">
        <f t="shared" si="14"/>
        <v>172912200[円]</v>
      </c>
      <c r="C904" s="216">
        <v>172912200</v>
      </c>
      <c r="D904" s="175" t="s">
        <v>235</v>
      </c>
      <c r="E904" s="175">
        <v>188.62861089955899</v>
      </c>
      <c r="F904" s="175" t="s">
        <v>265</v>
      </c>
      <c r="G904" s="175" t="s">
        <v>3429</v>
      </c>
    </row>
    <row r="905" spans="1:7">
      <c r="A905" s="175" t="s">
        <v>3430</v>
      </c>
      <c r="B905" s="217" t="str">
        <f t="shared" si="14"/>
        <v>172921000[円]</v>
      </c>
      <c r="C905" s="216">
        <v>172921000</v>
      </c>
      <c r="D905" s="175" t="s">
        <v>235</v>
      </c>
      <c r="E905" s="175">
        <v>6.0196160567149999</v>
      </c>
      <c r="F905" s="175" t="s">
        <v>265</v>
      </c>
      <c r="G905" s="175" t="s">
        <v>3431</v>
      </c>
    </row>
    <row r="906" spans="1:7">
      <c r="A906" s="175" t="s">
        <v>3432</v>
      </c>
      <c r="B906" s="217" t="str">
        <f t="shared" si="14"/>
        <v>172921101[円]</v>
      </c>
      <c r="C906" s="216">
        <v>172921101</v>
      </c>
      <c r="D906" s="175" t="s">
        <v>235</v>
      </c>
      <c r="E906" s="175">
        <v>6.0196160567149999</v>
      </c>
      <c r="F906" s="175" t="s">
        <v>265</v>
      </c>
      <c r="G906" s="175" t="s">
        <v>3433</v>
      </c>
    </row>
    <row r="907" spans="1:7">
      <c r="A907" s="175" t="s">
        <v>3434</v>
      </c>
      <c r="B907" s="217" t="str">
        <f t="shared" si="14"/>
        <v>172921200[円]</v>
      </c>
      <c r="C907" s="216">
        <v>172921200</v>
      </c>
      <c r="D907" s="175" t="s">
        <v>235</v>
      </c>
      <c r="E907" s="175">
        <v>6.0196160567149999</v>
      </c>
      <c r="F907" s="175" t="s">
        <v>265</v>
      </c>
      <c r="G907" s="175" t="s">
        <v>3435</v>
      </c>
    </row>
    <row r="908" spans="1:7">
      <c r="A908" s="175" t="s">
        <v>3436</v>
      </c>
      <c r="B908" s="217" t="str">
        <f t="shared" si="14"/>
        <v>172922000[円]</v>
      </c>
      <c r="C908" s="216">
        <v>172922000</v>
      </c>
      <c r="D908" s="175" t="s">
        <v>235</v>
      </c>
      <c r="E908" s="175">
        <v>14.2238852868132</v>
      </c>
      <c r="F908" s="175" t="s">
        <v>265</v>
      </c>
      <c r="G908" s="175" t="s">
        <v>3437</v>
      </c>
    </row>
    <row r="909" spans="1:7">
      <c r="A909" s="175" t="s">
        <v>3438</v>
      </c>
      <c r="B909" s="217" t="str">
        <f t="shared" si="14"/>
        <v>172923000[円]</v>
      </c>
      <c r="C909" s="216">
        <v>172923000</v>
      </c>
      <c r="D909" s="175" t="s">
        <v>235</v>
      </c>
      <c r="E909" s="175">
        <v>125</v>
      </c>
      <c r="F909" s="175" t="s">
        <v>265</v>
      </c>
      <c r="G909" s="175" t="s">
        <v>746</v>
      </c>
    </row>
    <row r="910" spans="1:7">
      <c r="A910" s="175" t="s">
        <v>3439</v>
      </c>
      <c r="B910" s="217" t="str">
        <f t="shared" si="14"/>
        <v>172923100[円]</v>
      </c>
      <c r="C910" s="216">
        <v>172923100</v>
      </c>
      <c r="D910" s="175" t="s">
        <v>235</v>
      </c>
      <c r="E910" s="175">
        <v>125</v>
      </c>
      <c r="F910" s="175" t="s">
        <v>265</v>
      </c>
      <c r="G910" s="175" t="s">
        <v>175</v>
      </c>
    </row>
    <row r="911" spans="1:7">
      <c r="A911" s="175" t="s">
        <v>3440</v>
      </c>
      <c r="B911" s="217" t="str">
        <f t="shared" si="14"/>
        <v>172923200[円]</v>
      </c>
      <c r="C911" s="216">
        <v>172923200</v>
      </c>
      <c r="D911" s="175" t="s">
        <v>235</v>
      </c>
      <c r="E911" s="175">
        <v>125</v>
      </c>
      <c r="F911" s="175" t="s">
        <v>265</v>
      </c>
      <c r="G911" s="175" t="s">
        <v>747</v>
      </c>
    </row>
    <row r="912" spans="1:7">
      <c r="A912" s="175" t="s">
        <v>3441</v>
      </c>
      <c r="B912" s="217" t="str">
        <f t="shared" si="14"/>
        <v>172923202[円]</v>
      </c>
      <c r="C912" s="216">
        <v>172923202</v>
      </c>
      <c r="D912" s="175" t="s">
        <v>235</v>
      </c>
      <c r="E912" s="175">
        <v>125</v>
      </c>
      <c r="F912" s="175" t="s">
        <v>265</v>
      </c>
      <c r="G912" s="175" t="s">
        <v>749</v>
      </c>
    </row>
    <row r="913" spans="1:7">
      <c r="A913" s="175" t="s">
        <v>3442</v>
      </c>
      <c r="B913" s="217" t="str">
        <f t="shared" si="14"/>
        <v>172923203[円]</v>
      </c>
      <c r="C913" s="216">
        <v>172923203</v>
      </c>
      <c r="D913" s="175" t="s">
        <v>235</v>
      </c>
      <c r="E913" s="175">
        <v>125</v>
      </c>
      <c r="F913" s="175" t="s">
        <v>265</v>
      </c>
      <c r="G913" s="175" t="s">
        <v>750</v>
      </c>
    </row>
    <row r="914" spans="1:7">
      <c r="A914" s="175" t="s">
        <v>3443</v>
      </c>
      <c r="B914" s="217" t="str">
        <f t="shared" si="14"/>
        <v>172924000[円]</v>
      </c>
      <c r="C914" s="216">
        <v>172924000</v>
      </c>
      <c r="D914" s="175" t="s">
        <v>235</v>
      </c>
      <c r="E914" s="175">
        <v>29609.222585924701</v>
      </c>
      <c r="F914" s="175" t="s">
        <v>265</v>
      </c>
      <c r="G914" s="175" t="s">
        <v>751</v>
      </c>
    </row>
    <row r="915" spans="1:7">
      <c r="A915" s="175" t="s">
        <v>3444</v>
      </c>
      <c r="B915" s="217" t="str">
        <f t="shared" si="14"/>
        <v>172925000[円]</v>
      </c>
      <c r="C915" s="216">
        <v>172925000</v>
      </c>
      <c r="D915" s="175" t="s">
        <v>235</v>
      </c>
      <c r="E915" s="175">
        <v>83.517359601958603</v>
      </c>
      <c r="F915" s="175" t="s">
        <v>265</v>
      </c>
      <c r="G915" s="175" t="s">
        <v>752</v>
      </c>
    </row>
    <row r="916" spans="1:7">
      <c r="A916" s="175" t="s">
        <v>3445</v>
      </c>
      <c r="B916" s="217" t="str">
        <f t="shared" si="14"/>
        <v>172926000[円]</v>
      </c>
      <c r="C916" s="216">
        <v>172926000</v>
      </c>
      <c r="D916" s="175" t="s">
        <v>235</v>
      </c>
      <c r="E916" s="175">
        <v>36.614408450945803</v>
      </c>
      <c r="F916" s="175" t="s">
        <v>265</v>
      </c>
      <c r="G916" s="175" t="s">
        <v>753</v>
      </c>
    </row>
    <row r="917" spans="1:7">
      <c r="A917" s="175" t="s">
        <v>3446</v>
      </c>
      <c r="B917" s="217" t="str">
        <f t="shared" si="14"/>
        <v>172926200[円]</v>
      </c>
      <c r="C917" s="216">
        <v>172926200</v>
      </c>
      <c r="D917" s="175" t="s">
        <v>235</v>
      </c>
      <c r="E917" s="175">
        <v>36.614408450945803</v>
      </c>
      <c r="F917" s="175" t="s">
        <v>265</v>
      </c>
      <c r="G917" s="175" t="s">
        <v>3447</v>
      </c>
    </row>
    <row r="918" spans="1:7">
      <c r="A918" s="175" t="s">
        <v>3448</v>
      </c>
      <c r="B918" s="217" t="str">
        <f t="shared" si="14"/>
        <v>172926201[円]</v>
      </c>
      <c r="C918" s="216">
        <v>172926201</v>
      </c>
      <c r="D918" s="175" t="s">
        <v>235</v>
      </c>
      <c r="E918" s="175">
        <v>36.614408450945803</v>
      </c>
      <c r="F918" s="175" t="s">
        <v>265</v>
      </c>
      <c r="G918" s="175" t="s">
        <v>3449</v>
      </c>
    </row>
    <row r="919" spans="1:7">
      <c r="A919" s="175" t="s">
        <v>3450</v>
      </c>
      <c r="B919" s="217" t="str">
        <f t="shared" si="14"/>
        <v>172927000[円]</v>
      </c>
      <c r="C919" s="216">
        <v>172927000</v>
      </c>
      <c r="D919" s="175" t="s">
        <v>235</v>
      </c>
      <c r="E919" s="175">
        <v>290.29712691194698</v>
      </c>
      <c r="F919" s="175" t="s">
        <v>265</v>
      </c>
      <c r="G919" s="175" t="s">
        <v>754</v>
      </c>
    </row>
    <row r="920" spans="1:7">
      <c r="A920" s="175" t="s">
        <v>3451</v>
      </c>
      <c r="B920" s="217" t="str">
        <f t="shared" si="14"/>
        <v>172928000[円]</v>
      </c>
      <c r="C920" s="216">
        <v>172928000</v>
      </c>
      <c r="D920" s="175" t="s">
        <v>235</v>
      </c>
      <c r="E920" s="175">
        <v>246.55484973187001</v>
      </c>
      <c r="F920" s="175" t="s">
        <v>265</v>
      </c>
      <c r="G920" s="175" t="s">
        <v>755</v>
      </c>
    </row>
    <row r="921" spans="1:7">
      <c r="A921" s="175" t="s">
        <v>3452</v>
      </c>
      <c r="B921" s="217" t="str">
        <f t="shared" si="14"/>
        <v>172931000[円]</v>
      </c>
      <c r="C921" s="216">
        <v>172931000</v>
      </c>
      <c r="D921" s="175" t="s">
        <v>235</v>
      </c>
      <c r="E921" s="175">
        <v>240</v>
      </c>
      <c r="F921" s="175" t="s">
        <v>265</v>
      </c>
      <c r="G921" s="175" t="s">
        <v>756</v>
      </c>
    </row>
    <row r="922" spans="1:7">
      <c r="A922" s="175" t="s">
        <v>3453</v>
      </c>
      <c r="B922" s="217" t="str">
        <f t="shared" si="14"/>
        <v>172931200[円]</v>
      </c>
      <c r="C922" s="216">
        <v>172931200</v>
      </c>
      <c r="D922" s="175" t="s">
        <v>235</v>
      </c>
      <c r="E922" s="175">
        <v>240</v>
      </c>
      <c r="F922" s="175" t="s">
        <v>265</v>
      </c>
      <c r="G922" s="175" t="s">
        <v>757</v>
      </c>
    </row>
    <row r="923" spans="1:7">
      <c r="A923" s="175" t="s">
        <v>3454</v>
      </c>
      <c r="B923" s="217" t="str">
        <f t="shared" si="14"/>
        <v>172931201[円]</v>
      </c>
      <c r="C923" s="216">
        <v>172931201</v>
      </c>
      <c r="D923" s="175" t="s">
        <v>235</v>
      </c>
      <c r="E923" s="175">
        <v>240</v>
      </c>
      <c r="F923" s="175" t="s">
        <v>265</v>
      </c>
      <c r="G923" s="175" t="s">
        <v>3455</v>
      </c>
    </row>
    <row r="924" spans="1:7">
      <c r="A924" s="175" t="s">
        <v>3456</v>
      </c>
      <c r="B924" s="217" t="str">
        <f t="shared" si="14"/>
        <v>172931202[円]</v>
      </c>
      <c r="C924" s="216">
        <v>172931202</v>
      </c>
      <c r="D924" s="175" t="s">
        <v>235</v>
      </c>
      <c r="E924" s="175">
        <v>240</v>
      </c>
      <c r="F924" s="175" t="s">
        <v>265</v>
      </c>
      <c r="G924" s="175" t="s">
        <v>3457</v>
      </c>
    </row>
    <row r="925" spans="1:7">
      <c r="A925" s="175" t="s">
        <v>3458</v>
      </c>
      <c r="B925" s="217" t="str">
        <f t="shared" si="14"/>
        <v>172932000[円]</v>
      </c>
      <c r="C925" s="216">
        <v>172932000</v>
      </c>
      <c r="D925" s="175" t="s">
        <v>235</v>
      </c>
      <c r="E925" s="175">
        <v>1192.401263</v>
      </c>
      <c r="F925" s="175" t="s">
        <v>265</v>
      </c>
      <c r="G925" s="175" t="s">
        <v>758</v>
      </c>
    </row>
    <row r="926" spans="1:7">
      <c r="A926" s="175" t="s">
        <v>3459</v>
      </c>
      <c r="B926" s="217" t="str">
        <f t="shared" si="14"/>
        <v>172933000[円]</v>
      </c>
      <c r="C926" s="216">
        <v>172933000</v>
      </c>
      <c r="D926" s="175" t="s">
        <v>235</v>
      </c>
      <c r="E926" s="175">
        <v>24.824230933887801</v>
      </c>
      <c r="F926" s="175" t="s">
        <v>265</v>
      </c>
      <c r="G926" s="175" t="s">
        <v>3460</v>
      </c>
    </row>
    <row r="927" spans="1:7">
      <c r="A927" s="175" t="s">
        <v>3461</v>
      </c>
      <c r="B927" s="217" t="str">
        <f t="shared" si="14"/>
        <v>172934000[円]</v>
      </c>
      <c r="C927" s="216">
        <v>172934000</v>
      </c>
      <c r="D927" s="175" t="s">
        <v>235</v>
      </c>
      <c r="E927" s="175">
        <v>185.182174015562</v>
      </c>
      <c r="F927" s="175" t="s">
        <v>265</v>
      </c>
      <c r="G927" s="175" t="s">
        <v>3462</v>
      </c>
    </row>
    <row r="928" spans="1:7">
      <c r="A928" s="175" t="s">
        <v>3463</v>
      </c>
      <c r="B928" s="217" t="str">
        <f t="shared" si="14"/>
        <v>172949000[円]</v>
      </c>
      <c r="C928" s="216">
        <v>172949000</v>
      </c>
      <c r="D928" s="175" t="s">
        <v>235</v>
      </c>
      <c r="E928" s="175">
        <v>315.40199999999999</v>
      </c>
      <c r="F928" s="175" t="s">
        <v>265</v>
      </c>
      <c r="G928" s="175" t="s">
        <v>759</v>
      </c>
    </row>
    <row r="929" spans="1:7">
      <c r="A929" s="175" t="s">
        <v>3464</v>
      </c>
      <c r="B929" s="217" t="str">
        <f t="shared" si="14"/>
        <v>172949105[円]</v>
      </c>
      <c r="C929" s="216">
        <v>172949105</v>
      </c>
      <c r="D929" s="175" t="s">
        <v>235</v>
      </c>
      <c r="E929" s="175">
        <v>315.40199999999999</v>
      </c>
      <c r="F929" s="175" t="s">
        <v>265</v>
      </c>
      <c r="G929" s="175" t="s">
        <v>3465</v>
      </c>
    </row>
    <row r="930" spans="1:7">
      <c r="A930" s="175" t="s">
        <v>3466</v>
      </c>
      <c r="B930" s="217" t="str">
        <f t="shared" si="14"/>
        <v>172949237[円]</v>
      </c>
      <c r="C930" s="216">
        <v>172949237</v>
      </c>
      <c r="D930" s="175" t="s">
        <v>235</v>
      </c>
      <c r="E930" s="175">
        <v>315.40199999999999</v>
      </c>
      <c r="F930" s="175" t="s">
        <v>265</v>
      </c>
      <c r="G930" s="175" t="s">
        <v>3467</v>
      </c>
    </row>
    <row r="931" spans="1:7">
      <c r="A931" s="175" t="s">
        <v>3468</v>
      </c>
      <c r="B931" s="217" t="str">
        <f t="shared" si="14"/>
        <v>172949246[円]</v>
      </c>
      <c r="C931" s="216">
        <v>172949246</v>
      </c>
      <c r="D931" s="175" t="s">
        <v>235</v>
      </c>
      <c r="E931" s="175">
        <v>108.07899999999999</v>
      </c>
      <c r="F931" s="175" t="s">
        <v>265</v>
      </c>
      <c r="G931" s="175" t="s">
        <v>784</v>
      </c>
    </row>
    <row r="932" spans="1:7">
      <c r="A932" s="175" t="s">
        <v>3469</v>
      </c>
      <c r="B932" s="217" t="str">
        <f t="shared" si="14"/>
        <v>173100000[円]</v>
      </c>
      <c r="C932" s="216">
        <v>173100000</v>
      </c>
      <c r="D932" s="175" t="s">
        <v>235</v>
      </c>
      <c r="E932" s="175">
        <v>91.088203025183105</v>
      </c>
      <c r="F932" s="175" t="s">
        <v>265</v>
      </c>
      <c r="G932" s="175" t="s">
        <v>3470</v>
      </c>
    </row>
    <row r="933" spans="1:7">
      <c r="A933" s="175" t="s">
        <v>3471</v>
      </c>
      <c r="B933" s="217" t="str">
        <f t="shared" si="14"/>
        <v>173111000[円]</v>
      </c>
      <c r="C933" s="216">
        <v>173111000</v>
      </c>
      <c r="D933" s="175" t="s">
        <v>235</v>
      </c>
      <c r="E933" s="175">
        <v>96.631904769949898</v>
      </c>
      <c r="F933" s="175" t="s">
        <v>265</v>
      </c>
      <c r="G933" s="175" t="s">
        <v>3472</v>
      </c>
    </row>
    <row r="934" spans="1:7">
      <c r="A934" s="175" t="s">
        <v>3473</v>
      </c>
      <c r="B934" s="217" t="str">
        <f t="shared" si="14"/>
        <v>173112000[円]</v>
      </c>
      <c r="C934" s="216">
        <v>173112000</v>
      </c>
      <c r="D934" s="175" t="s">
        <v>235</v>
      </c>
      <c r="E934" s="175">
        <v>96.384672276314404</v>
      </c>
      <c r="F934" s="175" t="s">
        <v>265</v>
      </c>
      <c r="G934" s="175" t="s">
        <v>3474</v>
      </c>
    </row>
    <row r="935" spans="1:7">
      <c r="A935" s="175" t="s">
        <v>3475</v>
      </c>
      <c r="B935" s="217" t="str">
        <f t="shared" si="14"/>
        <v>173113000[円]</v>
      </c>
      <c r="C935" s="216">
        <v>173113000</v>
      </c>
      <c r="D935" s="175" t="s">
        <v>235</v>
      </c>
      <c r="E935" s="175">
        <v>74.588823364223501</v>
      </c>
      <c r="F935" s="175" t="s">
        <v>265</v>
      </c>
      <c r="G935" s="175" t="s">
        <v>790</v>
      </c>
    </row>
    <row r="936" spans="1:7">
      <c r="A936" s="175" t="s">
        <v>3476</v>
      </c>
      <c r="B936" s="217" t="str">
        <f t="shared" si="14"/>
        <v>173114000[円]</v>
      </c>
      <c r="C936" s="216">
        <v>173114000</v>
      </c>
      <c r="D936" s="175" t="s">
        <v>235</v>
      </c>
      <c r="E936" s="175">
        <v>83.560995806321102</v>
      </c>
      <c r="F936" s="175" t="s">
        <v>265</v>
      </c>
      <c r="G936" s="175" t="s">
        <v>3477</v>
      </c>
    </row>
    <row r="937" spans="1:7">
      <c r="A937" s="175" t="s">
        <v>3478</v>
      </c>
      <c r="B937" s="217" t="str">
        <f t="shared" si="14"/>
        <v>173114102[円]</v>
      </c>
      <c r="C937" s="216">
        <v>173114102</v>
      </c>
      <c r="D937" s="175" t="s">
        <v>235</v>
      </c>
      <c r="E937" s="175">
        <v>83.560995806321102</v>
      </c>
      <c r="F937" s="175" t="s">
        <v>265</v>
      </c>
      <c r="G937" s="175" t="s">
        <v>3479</v>
      </c>
    </row>
    <row r="938" spans="1:7">
      <c r="A938" s="175" t="s">
        <v>3480</v>
      </c>
      <c r="B938" s="217" t="str">
        <f t="shared" si="14"/>
        <v>173114103[円]</v>
      </c>
      <c r="C938" s="216">
        <v>173114103</v>
      </c>
      <c r="D938" s="175" t="s">
        <v>235</v>
      </c>
      <c r="E938" s="175">
        <v>83.560995806321102</v>
      </c>
      <c r="F938" s="175" t="s">
        <v>265</v>
      </c>
      <c r="G938" s="175" t="s">
        <v>3481</v>
      </c>
    </row>
    <row r="939" spans="1:7">
      <c r="A939" s="175" t="s">
        <v>3482</v>
      </c>
      <c r="B939" s="217" t="str">
        <f t="shared" si="14"/>
        <v>173115000[円]</v>
      </c>
      <c r="C939" s="216">
        <v>173115000</v>
      </c>
      <c r="D939" s="175" t="s">
        <v>235</v>
      </c>
      <c r="E939" s="175">
        <v>84.829523629711105</v>
      </c>
      <c r="F939" s="175" t="s">
        <v>265</v>
      </c>
      <c r="G939" s="175" t="s">
        <v>3483</v>
      </c>
    </row>
    <row r="940" spans="1:7">
      <c r="A940" s="175" t="s">
        <v>3484</v>
      </c>
      <c r="B940" s="217" t="str">
        <f t="shared" si="14"/>
        <v>173115103[円]</v>
      </c>
      <c r="C940" s="216">
        <v>173115103</v>
      </c>
      <c r="D940" s="175" t="s">
        <v>235</v>
      </c>
      <c r="E940" s="175">
        <v>84.829523629711105</v>
      </c>
      <c r="F940" s="175" t="s">
        <v>265</v>
      </c>
      <c r="G940" s="175" t="s">
        <v>3485</v>
      </c>
    </row>
    <row r="941" spans="1:7">
      <c r="A941" s="175" t="s">
        <v>3486</v>
      </c>
      <c r="B941" s="217" t="str">
        <f t="shared" si="14"/>
        <v>173115104[円]</v>
      </c>
      <c r="C941" s="216">
        <v>173115104</v>
      </c>
      <c r="D941" s="175" t="s">
        <v>235</v>
      </c>
      <c r="E941" s="175">
        <v>84.829523629711105</v>
      </c>
      <c r="F941" s="175" t="s">
        <v>265</v>
      </c>
      <c r="G941" s="175" t="s">
        <v>3487</v>
      </c>
    </row>
    <row r="942" spans="1:7">
      <c r="A942" s="175" t="s">
        <v>3488</v>
      </c>
      <c r="B942" s="217" t="str">
        <f t="shared" si="14"/>
        <v>173116000[円]</v>
      </c>
      <c r="C942" s="216">
        <v>173116000</v>
      </c>
      <c r="D942" s="175" t="s">
        <v>235</v>
      </c>
      <c r="E942" s="175">
        <v>87.392065080042897</v>
      </c>
      <c r="F942" s="175" t="s">
        <v>265</v>
      </c>
      <c r="G942" s="175" t="s">
        <v>3489</v>
      </c>
    </row>
    <row r="943" spans="1:7">
      <c r="A943" s="175" t="s">
        <v>3490</v>
      </c>
      <c r="B943" s="217" t="str">
        <f t="shared" si="14"/>
        <v>173116111[円]</v>
      </c>
      <c r="C943" s="216">
        <v>173116111</v>
      </c>
      <c r="D943" s="175" t="s">
        <v>235</v>
      </c>
      <c r="E943" s="175">
        <v>87.392065080042897</v>
      </c>
      <c r="F943" s="175" t="s">
        <v>265</v>
      </c>
      <c r="G943" s="175" t="s">
        <v>3491</v>
      </c>
    </row>
    <row r="944" spans="1:7">
      <c r="A944" s="175" t="s">
        <v>3492</v>
      </c>
      <c r="B944" s="217" t="str">
        <f t="shared" si="14"/>
        <v>173116112[円]</v>
      </c>
      <c r="C944" s="216">
        <v>173116112</v>
      </c>
      <c r="D944" s="175" t="s">
        <v>235</v>
      </c>
      <c r="E944" s="175">
        <v>87.392065080042897</v>
      </c>
      <c r="F944" s="175" t="s">
        <v>265</v>
      </c>
      <c r="G944" s="175" t="s">
        <v>3493</v>
      </c>
    </row>
    <row r="945" spans="1:7">
      <c r="A945" s="175" t="s">
        <v>3494</v>
      </c>
      <c r="B945" s="217" t="str">
        <f t="shared" si="14"/>
        <v>173117000[円]</v>
      </c>
      <c r="C945" s="216">
        <v>173117000</v>
      </c>
      <c r="D945" s="175" t="s">
        <v>235</v>
      </c>
      <c r="E945" s="175">
        <v>140.23085378681901</v>
      </c>
      <c r="F945" s="175" t="s">
        <v>265</v>
      </c>
      <c r="G945" s="175" t="s">
        <v>792</v>
      </c>
    </row>
    <row r="946" spans="1:7">
      <c r="A946" s="175" t="s">
        <v>3495</v>
      </c>
      <c r="B946" s="217" t="str">
        <f t="shared" si="14"/>
        <v>173118000[円]</v>
      </c>
      <c r="C946" s="216">
        <v>173118000</v>
      </c>
      <c r="D946" s="175" t="s">
        <v>235</v>
      </c>
      <c r="E946" s="175">
        <v>111.827330109713</v>
      </c>
      <c r="F946" s="175" t="s">
        <v>265</v>
      </c>
      <c r="G946" s="175" t="s">
        <v>3496</v>
      </c>
    </row>
    <row r="947" spans="1:7">
      <c r="A947" s="175" t="s">
        <v>3497</v>
      </c>
      <c r="B947" s="217" t="str">
        <f t="shared" si="14"/>
        <v>173119000[円]</v>
      </c>
      <c r="C947" s="216">
        <v>173119000</v>
      </c>
      <c r="D947" s="175" t="s">
        <v>235</v>
      </c>
      <c r="E947" s="175">
        <v>74.588823364223501</v>
      </c>
      <c r="F947" s="175" t="s">
        <v>265</v>
      </c>
      <c r="G947" s="175" t="s">
        <v>3498</v>
      </c>
    </row>
    <row r="948" spans="1:7">
      <c r="A948" s="175" t="s">
        <v>3499</v>
      </c>
      <c r="B948" s="217" t="str">
        <f t="shared" si="14"/>
        <v>173200000[円]</v>
      </c>
      <c r="C948" s="216">
        <v>173200000</v>
      </c>
      <c r="D948" s="175" t="s">
        <v>235</v>
      </c>
      <c r="E948" s="175">
        <v>137.309527545907</v>
      </c>
      <c r="F948" s="175" t="s">
        <v>265</v>
      </c>
      <c r="G948" s="175" t="s">
        <v>3500</v>
      </c>
    </row>
    <row r="949" spans="1:7">
      <c r="A949" s="175" t="s">
        <v>3501</v>
      </c>
      <c r="B949" s="217" t="str">
        <f t="shared" si="14"/>
        <v>173211000[円]</v>
      </c>
      <c r="C949" s="216">
        <v>173211000</v>
      </c>
      <c r="D949" s="175" t="s">
        <v>235</v>
      </c>
      <c r="E949" s="175">
        <v>122.825901500329</v>
      </c>
      <c r="F949" s="175" t="s">
        <v>265</v>
      </c>
      <c r="G949" s="175" t="s">
        <v>794</v>
      </c>
    </row>
    <row r="950" spans="1:7">
      <c r="A950" s="175" t="s">
        <v>3502</v>
      </c>
      <c r="B950" s="217" t="str">
        <f t="shared" si="14"/>
        <v>173211100[円]</v>
      </c>
      <c r="C950" s="216">
        <v>173211100</v>
      </c>
      <c r="D950" s="175" t="s">
        <v>235</v>
      </c>
      <c r="E950" s="175">
        <v>122.825901500329</v>
      </c>
      <c r="F950" s="175" t="s">
        <v>265</v>
      </c>
      <c r="G950" s="175" t="s">
        <v>3503</v>
      </c>
    </row>
    <row r="951" spans="1:7">
      <c r="A951" s="175" t="s">
        <v>3504</v>
      </c>
      <c r="B951" s="217" t="str">
        <f t="shared" si="14"/>
        <v>173211102[円]</v>
      </c>
      <c r="C951" s="216">
        <v>173211102</v>
      </c>
      <c r="D951" s="175" t="s">
        <v>235</v>
      </c>
      <c r="E951" s="175">
        <v>122.825901500329</v>
      </c>
      <c r="F951" s="175" t="s">
        <v>265</v>
      </c>
      <c r="G951" s="175" t="s">
        <v>793</v>
      </c>
    </row>
    <row r="952" spans="1:7">
      <c r="A952" s="175" t="s">
        <v>3505</v>
      </c>
      <c r="B952" s="217" t="str">
        <f t="shared" si="14"/>
        <v>173212000[円]</v>
      </c>
      <c r="C952" s="216">
        <v>173212000</v>
      </c>
      <c r="D952" s="175" t="s">
        <v>235</v>
      </c>
      <c r="E952" s="175">
        <v>134.61969306962999</v>
      </c>
      <c r="F952" s="175" t="s">
        <v>265</v>
      </c>
      <c r="G952" s="175" t="s">
        <v>795</v>
      </c>
    </row>
    <row r="953" spans="1:7">
      <c r="A953" s="175" t="s">
        <v>3506</v>
      </c>
      <c r="B953" s="217" t="str">
        <f t="shared" si="14"/>
        <v>173213000[円]</v>
      </c>
      <c r="C953" s="216">
        <v>173213000</v>
      </c>
      <c r="D953" s="175" t="s">
        <v>235</v>
      </c>
      <c r="E953" s="175">
        <v>273.280686772693</v>
      </c>
      <c r="F953" s="175" t="s">
        <v>265</v>
      </c>
      <c r="G953" s="175" t="s">
        <v>881</v>
      </c>
    </row>
    <row r="954" spans="1:7">
      <c r="A954" s="175" t="s">
        <v>3507</v>
      </c>
      <c r="B954" s="217" t="str">
        <f t="shared" si="14"/>
        <v>173213100[円]</v>
      </c>
      <c r="C954" s="216">
        <v>173213100</v>
      </c>
      <c r="D954" s="175" t="s">
        <v>235</v>
      </c>
      <c r="E954" s="175">
        <v>273.280686772693</v>
      </c>
      <c r="F954" s="175" t="s">
        <v>265</v>
      </c>
      <c r="G954" s="175" t="s">
        <v>3508</v>
      </c>
    </row>
    <row r="955" spans="1:7">
      <c r="A955" s="175" t="s">
        <v>3509</v>
      </c>
      <c r="B955" s="217" t="str">
        <f t="shared" si="14"/>
        <v>173213101[円]</v>
      </c>
      <c r="C955" s="216">
        <v>173213101</v>
      </c>
      <c r="D955" s="175" t="s">
        <v>235</v>
      </c>
      <c r="E955" s="175">
        <v>273.280686772693</v>
      </c>
      <c r="F955" s="175" t="s">
        <v>265</v>
      </c>
      <c r="G955" s="175" t="s">
        <v>3510</v>
      </c>
    </row>
    <row r="956" spans="1:7">
      <c r="A956" s="175" t="s">
        <v>3511</v>
      </c>
      <c r="B956" s="217" t="str">
        <f t="shared" si="14"/>
        <v>173213102[円]</v>
      </c>
      <c r="C956" s="216">
        <v>173213102</v>
      </c>
      <c r="D956" s="175" t="s">
        <v>235</v>
      </c>
      <c r="E956" s="175">
        <v>273.280686772693</v>
      </c>
      <c r="F956" s="175" t="s">
        <v>265</v>
      </c>
      <c r="G956" s="175" t="s">
        <v>3512</v>
      </c>
    </row>
    <row r="957" spans="1:7">
      <c r="A957" s="175" t="s">
        <v>3513</v>
      </c>
      <c r="B957" s="217" t="str">
        <f t="shared" si="14"/>
        <v>173213103[円]</v>
      </c>
      <c r="C957" s="216">
        <v>173213103</v>
      </c>
      <c r="D957" s="175" t="s">
        <v>235</v>
      </c>
      <c r="E957" s="175">
        <v>273.280686772693</v>
      </c>
      <c r="F957" s="175" t="s">
        <v>265</v>
      </c>
      <c r="G957" s="175" t="s">
        <v>3514</v>
      </c>
    </row>
    <row r="958" spans="1:7">
      <c r="A958" s="175" t="s">
        <v>3515</v>
      </c>
      <c r="B958" s="217" t="str">
        <f t="shared" si="14"/>
        <v>173214000[円]</v>
      </c>
      <c r="C958" s="216">
        <v>173214000</v>
      </c>
      <c r="D958" s="175" t="s">
        <v>235</v>
      </c>
      <c r="E958" s="175">
        <v>47.410457301934301</v>
      </c>
      <c r="F958" s="175" t="s">
        <v>265</v>
      </c>
      <c r="G958" s="175" t="s">
        <v>3516</v>
      </c>
    </row>
    <row r="959" spans="1:7">
      <c r="A959" s="175" t="s">
        <v>3517</v>
      </c>
      <c r="B959" s="217" t="str">
        <f t="shared" si="14"/>
        <v>173215000[円]</v>
      </c>
      <c r="C959" s="216">
        <v>173215000</v>
      </c>
      <c r="D959" s="175" t="s">
        <v>235</v>
      </c>
      <c r="E959" s="175">
        <v>235.287815991662</v>
      </c>
      <c r="F959" s="175" t="s">
        <v>265</v>
      </c>
      <c r="G959" s="175" t="s">
        <v>786</v>
      </c>
    </row>
    <row r="960" spans="1:7">
      <c r="A960" s="175" t="s">
        <v>3518</v>
      </c>
      <c r="B960" s="217" t="str">
        <f t="shared" si="14"/>
        <v>173216000[円]</v>
      </c>
      <c r="C960" s="216">
        <v>173216000</v>
      </c>
      <c r="D960" s="175" t="s">
        <v>235</v>
      </c>
      <c r="E960" s="175">
        <v>120.864395506752</v>
      </c>
      <c r="F960" s="175" t="s">
        <v>265</v>
      </c>
      <c r="G960" s="175" t="s">
        <v>787</v>
      </c>
    </row>
    <row r="961" spans="1:7">
      <c r="A961" s="175" t="s">
        <v>3519</v>
      </c>
      <c r="B961" s="217" t="str">
        <f t="shared" si="14"/>
        <v>173217000[円]</v>
      </c>
      <c r="C961" s="216">
        <v>173217000</v>
      </c>
      <c r="D961" s="175" t="s">
        <v>235</v>
      </c>
      <c r="E961" s="175">
        <v>172.15510449494101</v>
      </c>
      <c r="F961" s="175" t="s">
        <v>265</v>
      </c>
      <c r="G961" s="175" t="s">
        <v>796</v>
      </c>
    </row>
    <row r="962" spans="1:7">
      <c r="A962" s="175" t="s">
        <v>3520</v>
      </c>
      <c r="B962" s="217" t="str">
        <f t="shared" ref="B962:B1025" si="15">C962&amp;"["&amp;F962&amp;"]"</f>
        <v>173218000[円]</v>
      </c>
      <c r="C962" s="216">
        <v>173218000</v>
      </c>
      <c r="D962" s="175" t="s">
        <v>235</v>
      </c>
      <c r="E962" s="175">
        <v>154.745978831569</v>
      </c>
      <c r="F962" s="175" t="s">
        <v>265</v>
      </c>
      <c r="G962" s="175" t="s">
        <v>797</v>
      </c>
    </row>
    <row r="963" spans="1:7">
      <c r="A963" s="175" t="s">
        <v>3521</v>
      </c>
      <c r="B963" s="217" t="str">
        <f t="shared" si="15"/>
        <v>173221000[円]</v>
      </c>
      <c r="C963" s="216">
        <v>173221000</v>
      </c>
      <c r="D963" s="175" t="s">
        <v>235</v>
      </c>
      <c r="E963" s="175">
        <v>206.45493910237701</v>
      </c>
      <c r="F963" s="175" t="s">
        <v>265</v>
      </c>
      <c r="G963" s="175" t="s">
        <v>798</v>
      </c>
    </row>
    <row r="964" spans="1:7">
      <c r="A964" s="175" t="s">
        <v>3522</v>
      </c>
      <c r="B964" s="217" t="str">
        <f t="shared" si="15"/>
        <v>173222000[円]</v>
      </c>
      <c r="C964" s="216">
        <v>173222000</v>
      </c>
      <c r="D964" s="175" t="s">
        <v>235</v>
      </c>
      <c r="E964" s="175">
        <v>152.05500139093101</v>
      </c>
      <c r="F964" s="175" t="s">
        <v>265</v>
      </c>
      <c r="G964" s="175" t="s">
        <v>2009</v>
      </c>
    </row>
    <row r="965" spans="1:7">
      <c r="A965" s="175" t="s">
        <v>3523</v>
      </c>
      <c r="B965" s="217" t="str">
        <f t="shared" si="15"/>
        <v>173223000[円]</v>
      </c>
      <c r="C965" s="216">
        <v>173223000</v>
      </c>
      <c r="D965" s="175" t="s">
        <v>235</v>
      </c>
      <c r="E965" s="175">
        <v>59.832608072543501</v>
      </c>
      <c r="F965" s="175" t="s">
        <v>265</v>
      </c>
      <c r="G965" s="175" t="s">
        <v>799</v>
      </c>
    </row>
    <row r="966" spans="1:7">
      <c r="A966" s="175" t="s">
        <v>3524</v>
      </c>
      <c r="B966" s="217" t="str">
        <f t="shared" si="15"/>
        <v>173224000[円]</v>
      </c>
      <c r="C966" s="216">
        <v>173224000</v>
      </c>
      <c r="D966" s="175" t="s">
        <v>235</v>
      </c>
      <c r="E966" s="175">
        <v>73.237982204940394</v>
      </c>
      <c r="F966" s="175" t="s">
        <v>265</v>
      </c>
      <c r="G966" s="175" t="s">
        <v>800</v>
      </c>
    </row>
    <row r="967" spans="1:7">
      <c r="A967" s="175" t="s">
        <v>3525</v>
      </c>
      <c r="B967" s="217" t="str">
        <f t="shared" si="15"/>
        <v>173225000[円]</v>
      </c>
      <c r="C967" s="216">
        <v>173225000</v>
      </c>
      <c r="D967" s="175" t="s">
        <v>235</v>
      </c>
      <c r="E967" s="175">
        <v>167.82482552098199</v>
      </c>
      <c r="F967" s="175" t="s">
        <v>265</v>
      </c>
      <c r="G967" s="175" t="s">
        <v>801</v>
      </c>
    </row>
    <row r="968" spans="1:7">
      <c r="A968" s="175" t="s">
        <v>3526</v>
      </c>
      <c r="B968" s="217" t="str">
        <f t="shared" si="15"/>
        <v>173226000[円]</v>
      </c>
      <c r="C968" s="216">
        <v>173226000</v>
      </c>
      <c r="D968" s="175" t="s">
        <v>235</v>
      </c>
      <c r="E968" s="175">
        <v>117.04544857825501</v>
      </c>
      <c r="F968" s="175" t="s">
        <v>265</v>
      </c>
      <c r="G968" s="175" t="s">
        <v>802</v>
      </c>
    </row>
    <row r="969" spans="1:7">
      <c r="A969" s="175" t="s">
        <v>3527</v>
      </c>
      <c r="B969" s="217" t="str">
        <f t="shared" si="15"/>
        <v>173227000[円]</v>
      </c>
      <c r="C969" s="216">
        <v>173227000</v>
      </c>
      <c r="D969" s="175" t="s">
        <v>235</v>
      </c>
      <c r="E969" s="175">
        <v>138.323985442218</v>
      </c>
      <c r="F969" s="175" t="s">
        <v>265</v>
      </c>
      <c r="G969" s="175" t="s">
        <v>803</v>
      </c>
    </row>
    <row r="970" spans="1:7">
      <c r="A970" s="175" t="s">
        <v>3528</v>
      </c>
      <c r="B970" s="217" t="str">
        <f t="shared" si="15"/>
        <v>173228000[円]</v>
      </c>
      <c r="C970" s="216">
        <v>173228000</v>
      </c>
      <c r="D970" s="175" t="s">
        <v>235</v>
      </c>
      <c r="E970" s="175">
        <v>180</v>
      </c>
      <c r="F970" s="175" t="s">
        <v>265</v>
      </c>
      <c r="G970" s="175" t="s">
        <v>939</v>
      </c>
    </row>
    <row r="971" spans="1:7">
      <c r="A971" s="175" t="s">
        <v>3529</v>
      </c>
      <c r="B971" s="217" t="str">
        <f t="shared" si="15"/>
        <v>173231000[円]</v>
      </c>
      <c r="C971" s="216">
        <v>173231000</v>
      </c>
      <c r="D971" s="175" t="s">
        <v>235</v>
      </c>
      <c r="E971" s="175">
        <v>262.228505960071</v>
      </c>
      <c r="F971" s="175" t="s">
        <v>265</v>
      </c>
      <c r="G971" s="175" t="s">
        <v>804</v>
      </c>
    </row>
    <row r="972" spans="1:7">
      <c r="A972" s="175" t="s">
        <v>3530</v>
      </c>
      <c r="B972" s="217" t="str">
        <f t="shared" si="15"/>
        <v>173239000[円]</v>
      </c>
      <c r="C972" s="216">
        <v>173239000</v>
      </c>
      <c r="D972" s="175" t="s">
        <v>235</v>
      </c>
      <c r="E972" s="175">
        <v>226.631</v>
      </c>
      <c r="F972" s="175" t="s">
        <v>265</v>
      </c>
      <c r="G972" s="175" t="s">
        <v>805</v>
      </c>
    </row>
    <row r="973" spans="1:7">
      <c r="A973" s="175" t="s">
        <v>3531</v>
      </c>
      <c r="B973" s="217" t="str">
        <f t="shared" si="15"/>
        <v>173239100[円]</v>
      </c>
      <c r="C973" s="216">
        <v>173239100</v>
      </c>
      <c r="D973" s="175" t="s">
        <v>235</v>
      </c>
      <c r="E973" s="175">
        <v>226.631</v>
      </c>
      <c r="F973" s="175" t="s">
        <v>265</v>
      </c>
      <c r="G973" s="175" t="s">
        <v>806</v>
      </c>
    </row>
    <row r="974" spans="1:7">
      <c r="A974" s="175" t="s">
        <v>3532</v>
      </c>
      <c r="B974" s="217" t="str">
        <f t="shared" si="15"/>
        <v>173239104[円]</v>
      </c>
      <c r="C974" s="216">
        <v>173239104</v>
      </c>
      <c r="D974" s="175" t="s">
        <v>235</v>
      </c>
      <c r="E974" s="175">
        <v>226.631</v>
      </c>
      <c r="F974" s="175" t="s">
        <v>265</v>
      </c>
      <c r="G974" s="175" t="s">
        <v>850</v>
      </c>
    </row>
    <row r="975" spans="1:7">
      <c r="A975" s="175" t="s">
        <v>3533</v>
      </c>
      <c r="B975" s="217" t="str">
        <f t="shared" si="15"/>
        <v>173239117[円]</v>
      </c>
      <c r="C975" s="216">
        <v>173239117</v>
      </c>
      <c r="D975" s="175" t="s">
        <v>235</v>
      </c>
      <c r="E975" s="175">
        <v>226.631</v>
      </c>
      <c r="F975" s="175" t="s">
        <v>265</v>
      </c>
      <c r="G975" s="175" t="s">
        <v>813</v>
      </c>
    </row>
    <row r="976" spans="1:7">
      <c r="A976" s="175" t="s">
        <v>3534</v>
      </c>
      <c r="B976" s="217" t="str">
        <f t="shared" si="15"/>
        <v>173239127[円]</v>
      </c>
      <c r="C976" s="216">
        <v>173239127</v>
      </c>
      <c r="D976" s="175" t="s">
        <v>235</v>
      </c>
      <c r="E976" s="175">
        <v>149.32</v>
      </c>
      <c r="F976" s="175" t="s">
        <v>265</v>
      </c>
      <c r="G976" s="175" t="s">
        <v>820</v>
      </c>
    </row>
    <row r="977" spans="1:7">
      <c r="A977" s="175" t="s">
        <v>3535</v>
      </c>
      <c r="B977" s="217" t="str">
        <f t="shared" si="15"/>
        <v>173239194[円]</v>
      </c>
      <c r="C977" s="216">
        <v>173239194</v>
      </c>
      <c r="D977" s="175" t="s">
        <v>235</v>
      </c>
      <c r="E977" s="175">
        <v>226.631</v>
      </c>
      <c r="F977" s="175" t="s">
        <v>265</v>
      </c>
      <c r="G977" s="175" t="s">
        <v>3536</v>
      </c>
    </row>
    <row r="978" spans="1:7">
      <c r="A978" s="175" t="s">
        <v>3537</v>
      </c>
      <c r="B978" s="217" t="str">
        <f t="shared" si="15"/>
        <v>173239195[円]</v>
      </c>
      <c r="C978" s="216">
        <v>173239195</v>
      </c>
      <c r="D978" s="175" t="s">
        <v>235</v>
      </c>
      <c r="E978" s="175">
        <v>226.631</v>
      </c>
      <c r="F978" s="175" t="s">
        <v>265</v>
      </c>
      <c r="G978" s="175" t="s">
        <v>842</v>
      </c>
    </row>
    <row r="979" spans="1:7">
      <c r="A979" s="175" t="s">
        <v>3538</v>
      </c>
      <c r="B979" s="217" t="str">
        <f t="shared" si="15"/>
        <v>173239198[円]</v>
      </c>
      <c r="C979" s="216">
        <v>173239198</v>
      </c>
      <c r="D979" s="175" t="s">
        <v>235</v>
      </c>
      <c r="E979" s="175">
        <v>226.631</v>
      </c>
      <c r="F979" s="175" t="s">
        <v>265</v>
      </c>
      <c r="G979" s="175" t="s">
        <v>858</v>
      </c>
    </row>
    <row r="980" spans="1:7">
      <c r="A980" s="175" t="s">
        <v>3539</v>
      </c>
      <c r="B980" s="217" t="str">
        <f t="shared" si="15"/>
        <v>173239204[円]</v>
      </c>
      <c r="C980" s="216">
        <v>173239204</v>
      </c>
      <c r="D980" s="175" t="s">
        <v>235</v>
      </c>
      <c r="E980" s="175">
        <v>226.631</v>
      </c>
      <c r="F980" s="175" t="s">
        <v>265</v>
      </c>
      <c r="G980" s="175" t="s">
        <v>3540</v>
      </c>
    </row>
    <row r="981" spans="1:7">
      <c r="A981" s="175" t="s">
        <v>3541</v>
      </c>
      <c r="B981" s="217" t="str">
        <f t="shared" si="15"/>
        <v>173239209[円]</v>
      </c>
      <c r="C981" s="216">
        <v>173239209</v>
      </c>
      <c r="D981" s="175" t="s">
        <v>235</v>
      </c>
      <c r="E981" s="175">
        <v>226.631</v>
      </c>
      <c r="F981" s="175" t="s">
        <v>265</v>
      </c>
      <c r="G981" s="175" t="s">
        <v>845</v>
      </c>
    </row>
    <row r="982" spans="1:7">
      <c r="A982" s="175" t="s">
        <v>3542</v>
      </c>
      <c r="B982" s="217" t="str">
        <f t="shared" si="15"/>
        <v>173239210[円]</v>
      </c>
      <c r="C982" s="216">
        <v>173239210</v>
      </c>
      <c r="D982" s="175" t="s">
        <v>235</v>
      </c>
      <c r="E982" s="175">
        <v>226.631</v>
      </c>
      <c r="F982" s="175" t="s">
        <v>265</v>
      </c>
      <c r="G982" s="175" t="s">
        <v>846</v>
      </c>
    </row>
    <row r="983" spans="1:7">
      <c r="A983" s="175" t="s">
        <v>3543</v>
      </c>
      <c r="B983" s="217" t="str">
        <f t="shared" si="15"/>
        <v>173239213[円]</v>
      </c>
      <c r="C983" s="216">
        <v>173239213</v>
      </c>
      <c r="D983" s="175" t="s">
        <v>235</v>
      </c>
      <c r="E983" s="175">
        <v>226.631</v>
      </c>
      <c r="F983" s="175" t="s">
        <v>265</v>
      </c>
      <c r="G983" s="175" t="s">
        <v>3544</v>
      </c>
    </row>
    <row r="984" spans="1:7">
      <c r="A984" s="175" t="s">
        <v>3545</v>
      </c>
      <c r="B984" s="217" t="str">
        <f t="shared" si="15"/>
        <v>173239250[円]</v>
      </c>
      <c r="C984" s="216">
        <v>173239250</v>
      </c>
      <c r="D984" s="175" t="s">
        <v>235</v>
      </c>
      <c r="E984" s="175">
        <v>226.631</v>
      </c>
      <c r="F984" s="175" t="s">
        <v>265</v>
      </c>
      <c r="G984" s="175" t="s">
        <v>3546</v>
      </c>
    </row>
    <row r="985" spans="1:7">
      <c r="A985" s="175" t="s">
        <v>3547</v>
      </c>
      <c r="B985" s="217" t="str">
        <f t="shared" si="15"/>
        <v>173239251[円]</v>
      </c>
      <c r="C985" s="216">
        <v>173239251</v>
      </c>
      <c r="D985" s="175" t="s">
        <v>235</v>
      </c>
      <c r="E985" s="175">
        <v>226.631</v>
      </c>
      <c r="F985" s="175" t="s">
        <v>265</v>
      </c>
      <c r="G985" s="175" t="s">
        <v>3548</v>
      </c>
    </row>
    <row r="986" spans="1:7">
      <c r="A986" s="175" t="s">
        <v>3549</v>
      </c>
      <c r="B986" s="217" t="str">
        <f t="shared" si="15"/>
        <v>173300000[kg]</v>
      </c>
      <c r="C986" s="216">
        <v>173300000</v>
      </c>
      <c r="D986" s="175" t="s">
        <v>265</v>
      </c>
      <c r="E986" s="175">
        <v>9.0400933853599999E-3</v>
      </c>
      <c r="F986" s="175" t="s">
        <v>235</v>
      </c>
      <c r="G986" s="175" t="s">
        <v>3550</v>
      </c>
    </row>
    <row r="987" spans="1:7">
      <c r="A987" s="175" t="s">
        <v>3551</v>
      </c>
      <c r="B987" s="217" t="str">
        <f t="shared" si="15"/>
        <v>173311000[L]</v>
      </c>
      <c r="C987" s="216">
        <v>173311000</v>
      </c>
      <c r="D987" s="175" t="s">
        <v>235</v>
      </c>
      <c r="E987" s="175">
        <v>1.2674271229404299</v>
      </c>
      <c r="F987" s="175" t="s">
        <v>400</v>
      </c>
      <c r="G987" s="175" t="s">
        <v>3552</v>
      </c>
    </row>
    <row r="988" spans="1:7">
      <c r="A988" s="175" t="s">
        <v>3551</v>
      </c>
      <c r="B988" s="217" t="str">
        <f t="shared" si="15"/>
        <v>173311000[円]</v>
      </c>
      <c r="C988" s="216">
        <v>173311000</v>
      </c>
      <c r="D988" s="175" t="s">
        <v>235</v>
      </c>
      <c r="E988" s="175">
        <v>167.41397608052901</v>
      </c>
      <c r="F988" s="175" t="s">
        <v>265</v>
      </c>
      <c r="G988" s="175" t="s">
        <v>3552</v>
      </c>
    </row>
    <row r="989" spans="1:7">
      <c r="A989" s="175" t="s">
        <v>3553</v>
      </c>
      <c r="B989" s="217" t="str">
        <f t="shared" si="15"/>
        <v>173400000[円]</v>
      </c>
      <c r="C989" s="216">
        <v>173400000</v>
      </c>
      <c r="D989" s="175" t="s">
        <v>235</v>
      </c>
      <c r="E989" s="175">
        <v>180.676924624202</v>
      </c>
      <c r="F989" s="175" t="s">
        <v>265</v>
      </c>
      <c r="G989" s="175" t="s">
        <v>3554</v>
      </c>
    </row>
    <row r="990" spans="1:7">
      <c r="A990" s="175" t="s">
        <v>3555</v>
      </c>
      <c r="B990" s="217" t="str">
        <f t="shared" si="15"/>
        <v>173411000[円]</v>
      </c>
      <c r="C990" s="216">
        <v>173411000</v>
      </c>
      <c r="D990" s="175" t="s">
        <v>235</v>
      </c>
      <c r="E990" s="175">
        <v>91.519983666728095</v>
      </c>
      <c r="F990" s="175" t="s">
        <v>265</v>
      </c>
      <c r="G990" s="175" t="s">
        <v>3556</v>
      </c>
    </row>
    <row r="991" spans="1:7">
      <c r="A991" s="175" t="s">
        <v>3557</v>
      </c>
      <c r="B991" s="217" t="str">
        <f t="shared" si="15"/>
        <v>173411101[円]</v>
      </c>
      <c r="C991" s="216">
        <v>173411101</v>
      </c>
      <c r="D991" s="175" t="s">
        <v>235</v>
      </c>
      <c r="E991" s="175">
        <v>91.519983666728095</v>
      </c>
      <c r="F991" s="175" t="s">
        <v>265</v>
      </c>
      <c r="G991" s="175" t="s">
        <v>874</v>
      </c>
    </row>
    <row r="992" spans="1:7">
      <c r="A992" s="175" t="s">
        <v>3558</v>
      </c>
      <c r="B992" s="217" t="str">
        <f t="shared" si="15"/>
        <v>173411103[円]</v>
      </c>
      <c r="C992" s="216">
        <v>173411103</v>
      </c>
      <c r="D992" s="175" t="s">
        <v>235</v>
      </c>
      <c r="E992" s="175">
        <v>101.4521666</v>
      </c>
      <c r="F992" s="175" t="s">
        <v>265</v>
      </c>
      <c r="G992" s="175" t="s">
        <v>875</v>
      </c>
    </row>
    <row r="993" spans="1:7">
      <c r="A993" s="175" t="s">
        <v>3559</v>
      </c>
      <c r="B993" s="217" t="str">
        <f t="shared" si="15"/>
        <v>173412000[円]</v>
      </c>
      <c r="C993" s="216">
        <v>173412000</v>
      </c>
      <c r="D993" s="175" t="s">
        <v>235</v>
      </c>
      <c r="E993" s="175">
        <v>115.934131816998</v>
      </c>
      <c r="F993" s="175" t="s">
        <v>265</v>
      </c>
      <c r="G993" s="175" t="s">
        <v>876</v>
      </c>
    </row>
    <row r="994" spans="1:7">
      <c r="A994" s="175" t="s">
        <v>3560</v>
      </c>
      <c r="B994" s="217" t="str">
        <f t="shared" si="15"/>
        <v>173413000[円]</v>
      </c>
      <c r="C994" s="216">
        <v>173413000</v>
      </c>
      <c r="D994" s="175" t="s">
        <v>235</v>
      </c>
      <c r="E994" s="175">
        <v>242.74622258166301</v>
      </c>
      <c r="F994" s="175" t="s">
        <v>265</v>
      </c>
      <c r="G994" s="175" t="s">
        <v>877</v>
      </c>
    </row>
    <row r="995" spans="1:7">
      <c r="A995" s="175" t="s">
        <v>3561</v>
      </c>
      <c r="B995" s="217" t="str">
        <f t="shared" si="15"/>
        <v>173414000[円]</v>
      </c>
      <c r="C995" s="216">
        <v>173414000</v>
      </c>
      <c r="D995" s="175" t="s">
        <v>235</v>
      </c>
      <c r="E995" s="175">
        <v>266.78117195282198</v>
      </c>
      <c r="F995" s="175" t="s">
        <v>265</v>
      </c>
      <c r="G995" s="175" t="s">
        <v>878</v>
      </c>
    </row>
    <row r="996" spans="1:7">
      <c r="A996" s="175" t="s">
        <v>3562</v>
      </c>
      <c r="B996" s="217" t="str">
        <f t="shared" si="15"/>
        <v>173415000[円]</v>
      </c>
      <c r="C996" s="216">
        <v>173415000</v>
      </c>
      <c r="D996" s="175" t="s">
        <v>235</v>
      </c>
      <c r="E996" s="175">
        <v>86.256507751923195</v>
      </c>
      <c r="F996" s="175" t="s">
        <v>265</v>
      </c>
      <c r="G996" s="175" t="s">
        <v>880</v>
      </c>
    </row>
    <row r="997" spans="1:7">
      <c r="A997" s="175" t="s">
        <v>3563</v>
      </c>
      <c r="B997" s="217" t="str">
        <f t="shared" si="15"/>
        <v>173416000[円]</v>
      </c>
      <c r="C997" s="216">
        <v>173416000</v>
      </c>
      <c r="D997" s="175" t="s">
        <v>235</v>
      </c>
      <c r="E997" s="175">
        <v>390.00794081258601</v>
      </c>
      <c r="F997" s="175" t="s">
        <v>265</v>
      </c>
      <c r="G997" s="175" t="s">
        <v>3564</v>
      </c>
    </row>
    <row r="998" spans="1:7">
      <c r="A998" s="175" t="s">
        <v>3565</v>
      </c>
      <c r="B998" s="217" t="str">
        <f t="shared" si="15"/>
        <v>173417000[円]</v>
      </c>
      <c r="C998" s="216">
        <v>173417000</v>
      </c>
      <c r="D998" s="175" t="s">
        <v>235</v>
      </c>
      <c r="E998" s="175">
        <v>152.94315123143099</v>
      </c>
      <c r="F998" s="175" t="s">
        <v>265</v>
      </c>
      <c r="G998" s="175" t="s">
        <v>882</v>
      </c>
    </row>
    <row r="999" spans="1:7">
      <c r="A999" s="175" t="s">
        <v>3566</v>
      </c>
      <c r="B999" s="217" t="str">
        <f t="shared" si="15"/>
        <v>173418000[円]</v>
      </c>
      <c r="C999" s="216">
        <v>173418000</v>
      </c>
      <c r="D999" s="175" t="s">
        <v>235</v>
      </c>
      <c r="E999" s="175">
        <v>102.23893434025599</v>
      </c>
      <c r="F999" s="175" t="s">
        <v>265</v>
      </c>
      <c r="G999" s="175" t="s">
        <v>883</v>
      </c>
    </row>
    <row r="1000" spans="1:7">
      <c r="A1000" s="175" t="s">
        <v>3567</v>
      </c>
      <c r="B1000" s="217" t="str">
        <f t="shared" si="15"/>
        <v>173418100[円]</v>
      </c>
      <c r="C1000" s="216">
        <v>173418100</v>
      </c>
      <c r="D1000" s="175" t="s">
        <v>235</v>
      </c>
      <c r="E1000" s="175">
        <v>102.23893434025599</v>
      </c>
      <c r="F1000" s="175" t="s">
        <v>265</v>
      </c>
      <c r="G1000" s="175" t="s">
        <v>3568</v>
      </c>
    </row>
    <row r="1001" spans="1:7">
      <c r="A1001" s="175" t="s">
        <v>3569</v>
      </c>
      <c r="B1001" s="217" t="str">
        <f t="shared" si="15"/>
        <v>173418200[円]</v>
      </c>
      <c r="C1001" s="216">
        <v>173418200</v>
      </c>
      <c r="D1001" s="175" t="s">
        <v>235</v>
      </c>
      <c r="E1001" s="175">
        <v>102.23893434025599</v>
      </c>
      <c r="F1001" s="175" t="s">
        <v>265</v>
      </c>
      <c r="G1001" s="175" t="s">
        <v>3570</v>
      </c>
    </row>
    <row r="1002" spans="1:7">
      <c r="A1002" s="175" t="s">
        <v>3571</v>
      </c>
      <c r="B1002" s="217" t="str">
        <f t="shared" si="15"/>
        <v>173421000[円]</v>
      </c>
      <c r="C1002" s="216">
        <v>173421000</v>
      </c>
      <c r="D1002" s="175" t="s">
        <v>235</v>
      </c>
      <c r="E1002" s="175">
        <v>209.66467893141601</v>
      </c>
      <c r="F1002" s="175" t="s">
        <v>265</v>
      </c>
      <c r="G1002" s="175" t="s">
        <v>2005</v>
      </c>
    </row>
    <row r="1003" spans="1:7">
      <c r="A1003" s="175" t="s">
        <v>3572</v>
      </c>
      <c r="B1003" s="217" t="str">
        <f t="shared" si="15"/>
        <v>173422000[円]</v>
      </c>
      <c r="C1003" s="216">
        <v>173422000</v>
      </c>
      <c r="D1003" s="175" t="s">
        <v>235</v>
      </c>
      <c r="E1003" s="175">
        <v>136.5787694</v>
      </c>
      <c r="F1003" s="175" t="s">
        <v>265</v>
      </c>
      <c r="G1003" s="175" t="s">
        <v>884</v>
      </c>
    </row>
    <row r="1004" spans="1:7">
      <c r="A1004" s="175" t="s">
        <v>3573</v>
      </c>
      <c r="B1004" s="217" t="str">
        <f t="shared" si="15"/>
        <v>173429000[円]</v>
      </c>
      <c r="C1004" s="216">
        <v>173429000</v>
      </c>
      <c r="D1004" s="175" t="s">
        <v>235</v>
      </c>
      <c r="E1004" s="175">
        <v>174.273</v>
      </c>
      <c r="F1004" s="175" t="s">
        <v>265</v>
      </c>
      <c r="G1004" s="175" t="s">
        <v>885</v>
      </c>
    </row>
    <row r="1005" spans="1:7">
      <c r="A1005" s="175" t="s">
        <v>3574</v>
      </c>
      <c r="B1005" s="217" t="str">
        <f t="shared" si="15"/>
        <v>173429109[円]</v>
      </c>
      <c r="C1005" s="216">
        <v>173429109</v>
      </c>
      <c r="D1005" s="175" t="s">
        <v>235</v>
      </c>
      <c r="E1005" s="175">
        <v>174.273</v>
      </c>
      <c r="F1005" s="175" t="s">
        <v>265</v>
      </c>
      <c r="G1005" s="175" t="s">
        <v>889</v>
      </c>
    </row>
    <row r="1006" spans="1:7">
      <c r="A1006" s="175" t="s">
        <v>3575</v>
      </c>
      <c r="B1006" s="217" t="str">
        <f t="shared" si="15"/>
        <v>173429112[円]</v>
      </c>
      <c r="C1006" s="216">
        <v>173429112</v>
      </c>
      <c r="D1006" s="175" t="s">
        <v>235</v>
      </c>
      <c r="E1006" s="175">
        <v>174.273</v>
      </c>
      <c r="F1006" s="175" t="s">
        <v>265</v>
      </c>
      <c r="G1006" s="175" t="s">
        <v>3576</v>
      </c>
    </row>
    <row r="1007" spans="1:7">
      <c r="A1007" s="175" t="s">
        <v>3577</v>
      </c>
      <c r="B1007" s="217" t="str">
        <f t="shared" si="15"/>
        <v>173429130[円]</v>
      </c>
      <c r="C1007" s="216">
        <v>173429130</v>
      </c>
      <c r="D1007" s="175" t="s">
        <v>235</v>
      </c>
      <c r="E1007" s="175">
        <v>174.273</v>
      </c>
      <c r="F1007" s="175" t="s">
        <v>265</v>
      </c>
      <c r="G1007" s="175" t="s">
        <v>906</v>
      </c>
    </row>
    <row r="1008" spans="1:7">
      <c r="A1008" s="175" t="s">
        <v>3578</v>
      </c>
      <c r="B1008" s="217" t="str">
        <f t="shared" si="15"/>
        <v>173431000[円]</v>
      </c>
      <c r="C1008" s="216">
        <v>173431000</v>
      </c>
      <c r="D1008" s="175" t="s">
        <v>235</v>
      </c>
      <c r="E1008" s="175">
        <v>843.04509829114704</v>
      </c>
      <c r="F1008" s="175" t="s">
        <v>265</v>
      </c>
      <c r="G1008" s="175" t="s">
        <v>908</v>
      </c>
    </row>
    <row r="1009" spans="1:7">
      <c r="A1009" s="175" t="s">
        <v>3579</v>
      </c>
      <c r="B1009" s="217" t="str">
        <f t="shared" si="15"/>
        <v>173432000[円]</v>
      </c>
      <c r="C1009" s="216">
        <v>173432000</v>
      </c>
      <c r="D1009" s="175" t="s">
        <v>235</v>
      </c>
      <c r="E1009" s="175">
        <v>1115.02523590081</v>
      </c>
      <c r="F1009" s="175" t="s">
        <v>265</v>
      </c>
      <c r="G1009" s="175" t="s">
        <v>909</v>
      </c>
    </row>
    <row r="1010" spans="1:7">
      <c r="A1010" s="175" t="s">
        <v>3580</v>
      </c>
      <c r="B1010" s="217" t="str">
        <f t="shared" si="15"/>
        <v>173439000[円]</v>
      </c>
      <c r="C1010" s="216">
        <v>173439000</v>
      </c>
      <c r="D1010" s="175" t="s">
        <v>235</v>
      </c>
      <c r="E1010" s="175">
        <v>2681.7285569999999</v>
      </c>
      <c r="F1010" s="175" t="s">
        <v>265</v>
      </c>
      <c r="G1010" s="175" t="s">
        <v>910</v>
      </c>
    </row>
    <row r="1011" spans="1:7">
      <c r="A1011" s="175" t="s">
        <v>3581</v>
      </c>
      <c r="B1011" s="217" t="str">
        <f t="shared" si="15"/>
        <v>173441000[円]</v>
      </c>
      <c r="C1011" s="216">
        <v>173441000</v>
      </c>
      <c r="D1011" s="175" t="s">
        <v>235</v>
      </c>
      <c r="E1011" s="175">
        <v>915.24462449361204</v>
      </c>
      <c r="F1011" s="175" t="s">
        <v>265</v>
      </c>
      <c r="G1011" s="175" t="s">
        <v>911</v>
      </c>
    </row>
    <row r="1012" spans="1:7">
      <c r="A1012" s="175" t="s">
        <v>3582</v>
      </c>
      <c r="B1012" s="217" t="str">
        <f t="shared" si="15"/>
        <v>173442000[円]</v>
      </c>
      <c r="C1012" s="216">
        <v>173442000</v>
      </c>
      <c r="D1012" s="175" t="s">
        <v>235</v>
      </c>
      <c r="E1012" s="175">
        <v>1286.91420063279</v>
      </c>
      <c r="F1012" s="175" t="s">
        <v>265</v>
      </c>
      <c r="G1012" s="175" t="s">
        <v>912</v>
      </c>
    </row>
    <row r="1013" spans="1:7">
      <c r="A1013" s="175" t="s">
        <v>3583</v>
      </c>
      <c r="B1013" s="217" t="str">
        <f t="shared" si="15"/>
        <v>173500000[円]</v>
      </c>
      <c r="C1013" s="216">
        <v>173500000</v>
      </c>
      <c r="D1013" s="175" t="s">
        <v>235</v>
      </c>
      <c r="E1013" s="175">
        <v>235.06317901523099</v>
      </c>
      <c r="F1013" s="175" t="s">
        <v>265</v>
      </c>
      <c r="G1013" s="175" t="s">
        <v>3584</v>
      </c>
    </row>
    <row r="1014" spans="1:7">
      <c r="A1014" s="175" t="s">
        <v>3585</v>
      </c>
      <c r="B1014" s="217" t="str">
        <f t="shared" si="15"/>
        <v>173511000[円]</v>
      </c>
      <c r="C1014" s="216">
        <v>173511000</v>
      </c>
      <c r="D1014" s="175" t="s">
        <v>235</v>
      </c>
      <c r="E1014" s="175">
        <v>280.711131290553</v>
      </c>
      <c r="F1014" s="175" t="s">
        <v>265</v>
      </c>
      <c r="G1014" s="175" t="s">
        <v>913</v>
      </c>
    </row>
    <row r="1015" spans="1:7">
      <c r="A1015" s="175" t="s">
        <v>3586</v>
      </c>
      <c r="B1015" s="217" t="str">
        <f t="shared" si="15"/>
        <v>173512000[円]</v>
      </c>
      <c r="C1015" s="216">
        <v>173512000</v>
      </c>
      <c r="D1015" s="175" t="s">
        <v>235</v>
      </c>
      <c r="E1015" s="175">
        <v>121.373128598848</v>
      </c>
      <c r="F1015" s="175" t="s">
        <v>265</v>
      </c>
      <c r="G1015" s="175" t="s">
        <v>3587</v>
      </c>
    </row>
    <row r="1016" spans="1:7">
      <c r="A1016" s="175" t="s">
        <v>3588</v>
      </c>
      <c r="B1016" s="217" t="str">
        <f t="shared" si="15"/>
        <v>173513000[円]</v>
      </c>
      <c r="C1016" s="216">
        <v>173513000</v>
      </c>
      <c r="D1016" s="175" t="s">
        <v>235</v>
      </c>
      <c r="E1016" s="175">
        <v>252.74508920526199</v>
      </c>
      <c r="F1016" s="175" t="s">
        <v>265</v>
      </c>
      <c r="G1016" s="175" t="s">
        <v>3589</v>
      </c>
    </row>
    <row r="1017" spans="1:7">
      <c r="A1017" s="175" t="s">
        <v>3590</v>
      </c>
      <c r="B1017" s="217" t="str">
        <f t="shared" si="15"/>
        <v>173514000[円]</v>
      </c>
      <c r="C1017" s="216">
        <v>173514000</v>
      </c>
      <c r="D1017" s="175" t="s">
        <v>235</v>
      </c>
      <c r="E1017" s="175">
        <v>306.81266316705501</v>
      </c>
      <c r="F1017" s="175" t="s">
        <v>265</v>
      </c>
      <c r="G1017" s="175" t="s">
        <v>914</v>
      </c>
    </row>
    <row r="1018" spans="1:7">
      <c r="A1018" s="175" t="s">
        <v>3591</v>
      </c>
      <c r="B1018" s="217" t="str">
        <f t="shared" si="15"/>
        <v>173515000[円]</v>
      </c>
      <c r="C1018" s="216">
        <v>173515000</v>
      </c>
      <c r="D1018" s="175" t="s">
        <v>235</v>
      </c>
      <c r="E1018" s="175">
        <v>355.989947944714</v>
      </c>
      <c r="F1018" s="175" t="s">
        <v>265</v>
      </c>
      <c r="G1018" s="175" t="s">
        <v>915</v>
      </c>
    </row>
    <row r="1019" spans="1:7">
      <c r="A1019" s="175" t="s">
        <v>3592</v>
      </c>
      <c r="B1019" s="217" t="str">
        <f t="shared" si="15"/>
        <v>173516000[円]</v>
      </c>
      <c r="C1019" s="216">
        <v>173516000</v>
      </c>
      <c r="D1019" s="175" t="s">
        <v>235</v>
      </c>
      <c r="E1019" s="175">
        <v>175.09393402644801</v>
      </c>
      <c r="F1019" s="175" t="s">
        <v>265</v>
      </c>
      <c r="G1019" s="175" t="s">
        <v>916</v>
      </c>
    </row>
    <row r="1020" spans="1:7">
      <c r="A1020" s="175" t="s">
        <v>3593</v>
      </c>
      <c r="B1020" s="217" t="str">
        <f t="shared" si="15"/>
        <v>173516100[円]</v>
      </c>
      <c r="C1020" s="216">
        <v>173516100</v>
      </c>
      <c r="D1020" s="175" t="s">
        <v>235</v>
      </c>
      <c r="E1020" s="175">
        <v>141.81275149999999</v>
      </c>
      <c r="F1020" s="175" t="s">
        <v>265</v>
      </c>
      <c r="G1020" s="175" t="s">
        <v>288</v>
      </c>
    </row>
    <row r="1021" spans="1:7">
      <c r="A1021" s="175" t="s">
        <v>3594</v>
      </c>
      <c r="B1021" s="217" t="str">
        <f t="shared" si="15"/>
        <v>173516102[円]</v>
      </c>
      <c r="C1021" s="216">
        <v>173516102</v>
      </c>
      <c r="D1021" s="175" t="s">
        <v>235</v>
      </c>
      <c r="E1021" s="175">
        <v>173.792948</v>
      </c>
      <c r="F1021" s="175" t="s">
        <v>265</v>
      </c>
      <c r="G1021" s="175" t="s">
        <v>918</v>
      </c>
    </row>
    <row r="1022" spans="1:7">
      <c r="A1022" s="175" t="s">
        <v>3595</v>
      </c>
      <c r="B1022" s="217" t="str">
        <f t="shared" si="15"/>
        <v>173517000[円]</v>
      </c>
      <c r="C1022" s="216">
        <v>173517000</v>
      </c>
      <c r="D1022" s="175" t="s">
        <v>235</v>
      </c>
      <c r="E1022" s="175">
        <v>224.55639011039</v>
      </c>
      <c r="F1022" s="175" t="s">
        <v>265</v>
      </c>
      <c r="G1022" s="175" t="s">
        <v>289</v>
      </c>
    </row>
    <row r="1023" spans="1:7">
      <c r="A1023" s="175" t="s">
        <v>3596</v>
      </c>
      <c r="B1023" s="217" t="str">
        <f t="shared" si="15"/>
        <v>173517100[円]</v>
      </c>
      <c r="C1023" s="216">
        <v>173517100</v>
      </c>
      <c r="D1023" s="175" t="s">
        <v>235</v>
      </c>
      <c r="E1023" s="175">
        <v>224.55639011039</v>
      </c>
      <c r="F1023" s="175" t="s">
        <v>265</v>
      </c>
      <c r="G1023" s="175" t="s">
        <v>290</v>
      </c>
    </row>
    <row r="1024" spans="1:7">
      <c r="A1024" s="175" t="s">
        <v>3597</v>
      </c>
      <c r="B1024" s="217" t="str">
        <f t="shared" si="15"/>
        <v>173517102[円]</v>
      </c>
      <c r="C1024" s="216">
        <v>173517102</v>
      </c>
      <c r="D1024" s="175" t="s">
        <v>235</v>
      </c>
      <c r="E1024" s="175">
        <v>224.55639011039</v>
      </c>
      <c r="F1024" s="175" t="s">
        <v>265</v>
      </c>
      <c r="G1024" s="175" t="s">
        <v>3598</v>
      </c>
    </row>
    <row r="1025" spans="1:7">
      <c r="A1025" s="175" t="s">
        <v>3599</v>
      </c>
      <c r="B1025" s="217" t="str">
        <f t="shared" si="15"/>
        <v>173517103[円]</v>
      </c>
      <c r="C1025" s="216">
        <v>173517103</v>
      </c>
      <c r="D1025" s="175" t="s">
        <v>235</v>
      </c>
      <c r="E1025" s="175">
        <v>224.55639011039</v>
      </c>
      <c r="F1025" s="175" t="s">
        <v>265</v>
      </c>
      <c r="G1025" s="175" t="s">
        <v>3600</v>
      </c>
    </row>
    <row r="1026" spans="1:7">
      <c r="A1026" s="175" t="s">
        <v>3601</v>
      </c>
      <c r="B1026" s="217" t="str">
        <f t="shared" ref="B1026:B1089" si="16">C1026&amp;"["&amp;F1026&amp;"]"</f>
        <v>173517104[円]</v>
      </c>
      <c r="C1026" s="216">
        <v>173517104</v>
      </c>
      <c r="D1026" s="175" t="s">
        <v>235</v>
      </c>
      <c r="E1026" s="175">
        <v>224.55639011039</v>
      </c>
      <c r="F1026" s="175" t="s">
        <v>265</v>
      </c>
      <c r="G1026" s="175" t="s">
        <v>3602</v>
      </c>
    </row>
    <row r="1027" spans="1:7">
      <c r="A1027" s="175" t="s">
        <v>3603</v>
      </c>
      <c r="B1027" s="217" t="str">
        <f t="shared" si="16"/>
        <v>173517105[円]</v>
      </c>
      <c r="C1027" s="216">
        <v>173517105</v>
      </c>
      <c r="D1027" s="175" t="s">
        <v>235</v>
      </c>
      <c r="E1027" s="175">
        <v>224.55639011039</v>
      </c>
      <c r="F1027" s="175" t="s">
        <v>265</v>
      </c>
      <c r="G1027" s="175" t="s">
        <v>3604</v>
      </c>
    </row>
    <row r="1028" spans="1:7">
      <c r="A1028" s="175" t="s">
        <v>3605</v>
      </c>
      <c r="B1028" s="217" t="str">
        <f t="shared" si="16"/>
        <v>173517106[円]</v>
      </c>
      <c r="C1028" s="216">
        <v>173517106</v>
      </c>
      <c r="D1028" s="175" t="s">
        <v>235</v>
      </c>
      <c r="E1028" s="175">
        <v>224.55639011039</v>
      </c>
      <c r="F1028" s="175" t="s">
        <v>265</v>
      </c>
      <c r="G1028" s="175" t="s">
        <v>291</v>
      </c>
    </row>
    <row r="1029" spans="1:7">
      <c r="A1029" s="175" t="s">
        <v>3606</v>
      </c>
      <c r="B1029" s="217" t="str">
        <f t="shared" si="16"/>
        <v>173518000[円]</v>
      </c>
      <c r="C1029" s="216">
        <v>173518000</v>
      </c>
      <c r="D1029" s="175" t="s">
        <v>235</v>
      </c>
      <c r="E1029" s="175">
        <v>165.39196493613599</v>
      </c>
      <c r="F1029" s="175" t="s">
        <v>265</v>
      </c>
      <c r="G1029" s="175" t="s">
        <v>292</v>
      </c>
    </row>
    <row r="1030" spans="1:7">
      <c r="A1030" s="175" t="s">
        <v>3607</v>
      </c>
      <c r="B1030" s="217" t="str">
        <f t="shared" si="16"/>
        <v>173521000[円]</v>
      </c>
      <c r="C1030" s="216">
        <v>173521000</v>
      </c>
      <c r="D1030" s="175" t="s">
        <v>235</v>
      </c>
      <c r="E1030" s="175">
        <v>122.302903687862</v>
      </c>
      <c r="F1030" s="175" t="s">
        <v>265</v>
      </c>
      <c r="G1030" s="175" t="s">
        <v>3608</v>
      </c>
    </row>
    <row r="1031" spans="1:7">
      <c r="A1031" s="175" t="s">
        <v>3609</v>
      </c>
      <c r="B1031" s="217" t="str">
        <f t="shared" si="16"/>
        <v>173522000[円]</v>
      </c>
      <c r="C1031" s="216">
        <v>173522000</v>
      </c>
      <c r="D1031" s="175" t="s">
        <v>235</v>
      </c>
      <c r="E1031" s="175">
        <v>256.45963664309602</v>
      </c>
      <c r="F1031" s="175" t="s">
        <v>265</v>
      </c>
      <c r="G1031" s="175" t="s">
        <v>293</v>
      </c>
    </row>
    <row r="1032" spans="1:7">
      <c r="A1032" s="175" t="s">
        <v>3610</v>
      </c>
      <c r="B1032" s="217" t="str">
        <f t="shared" si="16"/>
        <v>173523000[円]</v>
      </c>
      <c r="C1032" s="216">
        <v>173523000</v>
      </c>
      <c r="D1032" s="175" t="s">
        <v>235</v>
      </c>
      <c r="E1032" s="175">
        <v>332.34998155905799</v>
      </c>
      <c r="F1032" s="175" t="s">
        <v>265</v>
      </c>
      <c r="G1032" s="175" t="s">
        <v>294</v>
      </c>
    </row>
    <row r="1033" spans="1:7">
      <c r="A1033" s="175" t="s">
        <v>3611</v>
      </c>
      <c r="B1033" s="217" t="str">
        <f t="shared" si="16"/>
        <v>173524000[円]</v>
      </c>
      <c r="C1033" s="216">
        <v>173524000</v>
      </c>
      <c r="D1033" s="175" t="s">
        <v>235</v>
      </c>
      <c r="E1033" s="175">
        <v>386.34383612836899</v>
      </c>
      <c r="F1033" s="175" t="s">
        <v>265</v>
      </c>
      <c r="G1033" s="175" t="s">
        <v>295</v>
      </c>
    </row>
    <row r="1034" spans="1:7">
      <c r="A1034" s="175" t="s">
        <v>3612</v>
      </c>
      <c r="B1034" s="217" t="str">
        <f t="shared" si="16"/>
        <v>173525000[円]</v>
      </c>
      <c r="C1034" s="216">
        <v>173525000</v>
      </c>
      <c r="D1034" s="175" t="s">
        <v>235</v>
      </c>
      <c r="E1034" s="175">
        <v>2234.6621331424499</v>
      </c>
      <c r="F1034" s="175" t="s">
        <v>265</v>
      </c>
      <c r="G1034" s="175" t="s">
        <v>296</v>
      </c>
    </row>
    <row r="1035" spans="1:7">
      <c r="A1035" s="175" t="s">
        <v>3613</v>
      </c>
      <c r="B1035" s="217" t="str">
        <f t="shared" si="16"/>
        <v>173526000[円]</v>
      </c>
      <c r="C1035" s="216">
        <v>173526000</v>
      </c>
      <c r="D1035" s="175" t="s">
        <v>235</v>
      </c>
      <c r="E1035" s="175">
        <v>202.56767005191799</v>
      </c>
      <c r="F1035" s="175" t="s">
        <v>265</v>
      </c>
      <c r="G1035" s="175" t="s">
        <v>297</v>
      </c>
    </row>
    <row r="1036" spans="1:7">
      <c r="A1036" s="175" t="s">
        <v>3614</v>
      </c>
      <c r="B1036" s="217" t="str">
        <f t="shared" si="16"/>
        <v>173527000[円]</v>
      </c>
      <c r="C1036" s="216">
        <v>173527000</v>
      </c>
      <c r="D1036" s="175" t="s">
        <v>235</v>
      </c>
      <c r="E1036" s="175">
        <v>476.75108620064498</v>
      </c>
      <c r="F1036" s="175" t="s">
        <v>265</v>
      </c>
      <c r="G1036" s="175" t="s">
        <v>919</v>
      </c>
    </row>
    <row r="1037" spans="1:7">
      <c r="A1037" s="175" t="s">
        <v>3615</v>
      </c>
      <c r="B1037" s="217" t="str">
        <f t="shared" si="16"/>
        <v>173528000[円]</v>
      </c>
      <c r="C1037" s="216">
        <v>173528000</v>
      </c>
      <c r="D1037" s="175" t="s">
        <v>235</v>
      </c>
      <c r="E1037" s="175">
        <v>180</v>
      </c>
      <c r="F1037" s="175" t="s">
        <v>265</v>
      </c>
      <c r="G1037" s="175" t="s">
        <v>920</v>
      </c>
    </row>
    <row r="1038" spans="1:7">
      <c r="A1038" s="175" t="s">
        <v>3616</v>
      </c>
      <c r="B1038" s="217" t="str">
        <f t="shared" si="16"/>
        <v>173531000[円]</v>
      </c>
      <c r="C1038" s="216">
        <v>173531000</v>
      </c>
      <c r="D1038" s="175" t="s">
        <v>235</v>
      </c>
      <c r="E1038" s="175">
        <v>362.47085420000002</v>
      </c>
      <c r="F1038" s="175" t="s">
        <v>265</v>
      </c>
      <c r="G1038" s="175" t="s">
        <v>921</v>
      </c>
    </row>
    <row r="1039" spans="1:7">
      <c r="A1039" s="175" t="s">
        <v>3617</v>
      </c>
      <c r="B1039" s="217" t="str">
        <f t="shared" si="16"/>
        <v>173532000[円]</v>
      </c>
      <c r="C1039" s="216">
        <v>173532000</v>
      </c>
      <c r="D1039" s="175" t="s">
        <v>235</v>
      </c>
      <c r="E1039" s="175">
        <v>329.95957966603999</v>
      </c>
      <c r="F1039" s="175" t="s">
        <v>265</v>
      </c>
      <c r="G1039" s="175" t="s">
        <v>922</v>
      </c>
    </row>
    <row r="1040" spans="1:7">
      <c r="A1040" s="175" t="s">
        <v>3618</v>
      </c>
      <c r="B1040" s="217" t="str">
        <f t="shared" si="16"/>
        <v>173532200[円]</v>
      </c>
      <c r="C1040" s="216">
        <v>173532200</v>
      </c>
      <c r="D1040" s="175" t="s">
        <v>235</v>
      </c>
      <c r="E1040" s="175">
        <v>329.95957966603999</v>
      </c>
      <c r="F1040" s="175" t="s">
        <v>265</v>
      </c>
      <c r="G1040" s="175" t="s">
        <v>3619</v>
      </c>
    </row>
    <row r="1041" spans="1:7">
      <c r="A1041" s="175" t="s">
        <v>3620</v>
      </c>
      <c r="B1041" s="217" t="str">
        <f t="shared" si="16"/>
        <v>173532201[円]</v>
      </c>
      <c r="C1041" s="216">
        <v>173532201</v>
      </c>
      <c r="D1041" s="175" t="s">
        <v>235</v>
      </c>
      <c r="E1041" s="175">
        <v>329.95957966603999</v>
      </c>
      <c r="F1041" s="175" t="s">
        <v>265</v>
      </c>
      <c r="G1041" s="175" t="s">
        <v>3621</v>
      </c>
    </row>
    <row r="1042" spans="1:7">
      <c r="A1042" s="175" t="s">
        <v>3622</v>
      </c>
      <c r="B1042" s="217" t="str">
        <f t="shared" si="16"/>
        <v>173539000[円]</v>
      </c>
      <c r="C1042" s="216">
        <v>173539000</v>
      </c>
      <c r="D1042" s="175" t="s">
        <v>235</v>
      </c>
      <c r="E1042" s="175">
        <v>305.51352869999999</v>
      </c>
      <c r="F1042" s="175" t="s">
        <v>265</v>
      </c>
      <c r="G1042" s="175" t="s">
        <v>923</v>
      </c>
    </row>
    <row r="1043" spans="1:7">
      <c r="A1043" s="175" t="s">
        <v>3623</v>
      </c>
      <c r="B1043" s="217" t="str">
        <f t="shared" si="16"/>
        <v>173539106[円]</v>
      </c>
      <c r="C1043" s="216">
        <v>173539106</v>
      </c>
      <c r="D1043" s="175" t="s">
        <v>235</v>
      </c>
      <c r="E1043" s="175">
        <v>305.51352869999999</v>
      </c>
      <c r="F1043" s="175" t="s">
        <v>265</v>
      </c>
      <c r="G1043" s="175" t="s">
        <v>933</v>
      </c>
    </row>
    <row r="1044" spans="1:7">
      <c r="A1044" s="175" t="s">
        <v>3624</v>
      </c>
      <c r="B1044" s="217" t="str">
        <f t="shared" si="16"/>
        <v>173600000[円]</v>
      </c>
      <c r="C1044" s="216">
        <v>173600000</v>
      </c>
      <c r="D1044" s="175" t="s">
        <v>235</v>
      </c>
      <c r="E1044" s="175">
        <v>267.11545472344898</v>
      </c>
      <c r="F1044" s="175" t="s">
        <v>265</v>
      </c>
      <c r="G1044" s="175" t="s">
        <v>3625</v>
      </c>
    </row>
    <row r="1045" spans="1:7">
      <c r="A1045" s="175" t="s">
        <v>3626</v>
      </c>
      <c r="B1045" s="217" t="str">
        <f t="shared" si="16"/>
        <v>173611000[円]</v>
      </c>
      <c r="C1045" s="216">
        <v>173611000</v>
      </c>
      <c r="D1045" s="175" t="s">
        <v>235</v>
      </c>
      <c r="E1045" s="175">
        <v>267.11545472344898</v>
      </c>
      <c r="F1045" s="175" t="s">
        <v>265</v>
      </c>
      <c r="G1045" s="175" t="s">
        <v>3627</v>
      </c>
    </row>
    <row r="1046" spans="1:7">
      <c r="A1046" s="175" t="s">
        <v>3628</v>
      </c>
      <c r="B1046" s="217" t="str">
        <f t="shared" si="16"/>
        <v>173611100[円]</v>
      </c>
      <c r="C1046" s="216">
        <v>173611100</v>
      </c>
      <c r="D1046" s="175" t="s">
        <v>235</v>
      </c>
      <c r="E1046" s="175">
        <v>249.34425669999999</v>
      </c>
      <c r="F1046" s="175" t="s">
        <v>265</v>
      </c>
      <c r="G1046" s="175" t="s">
        <v>934</v>
      </c>
    </row>
    <row r="1047" spans="1:7">
      <c r="A1047" s="175" t="s">
        <v>3629</v>
      </c>
      <c r="B1047" s="217" t="str">
        <f t="shared" si="16"/>
        <v>173611103[円]</v>
      </c>
      <c r="C1047" s="216">
        <v>173611103</v>
      </c>
      <c r="D1047" s="175" t="s">
        <v>235</v>
      </c>
      <c r="E1047" s="175">
        <v>391.08906969999998</v>
      </c>
      <c r="F1047" s="175" t="s">
        <v>265</v>
      </c>
      <c r="G1047" s="175" t="s">
        <v>3630</v>
      </c>
    </row>
    <row r="1048" spans="1:7">
      <c r="A1048" s="175" t="s">
        <v>3631</v>
      </c>
      <c r="B1048" s="217" t="str">
        <f t="shared" si="16"/>
        <v>173611200[円]</v>
      </c>
      <c r="C1048" s="216">
        <v>173611200</v>
      </c>
      <c r="D1048" s="175" t="s">
        <v>235</v>
      </c>
      <c r="E1048" s="175">
        <v>391.08906969999998</v>
      </c>
      <c r="F1048" s="175" t="s">
        <v>265</v>
      </c>
      <c r="G1048" s="175" t="s">
        <v>3632</v>
      </c>
    </row>
    <row r="1049" spans="1:7">
      <c r="A1049" s="175" t="s">
        <v>3633</v>
      </c>
      <c r="B1049" s="217" t="str">
        <f t="shared" si="16"/>
        <v>173900000[円]</v>
      </c>
      <c r="C1049" s="216">
        <v>173900000</v>
      </c>
      <c r="D1049" s="175" t="s">
        <v>235</v>
      </c>
      <c r="E1049" s="175">
        <v>184.03065811224999</v>
      </c>
      <c r="F1049" s="175" t="s">
        <v>265</v>
      </c>
      <c r="G1049" s="175" t="s">
        <v>3634</v>
      </c>
    </row>
    <row r="1050" spans="1:7">
      <c r="A1050" s="175" t="s">
        <v>3635</v>
      </c>
      <c r="B1050" s="217" t="str">
        <f t="shared" si="16"/>
        <v>173911000[円]</v>
      </c>
      <c r="C1050" s="216">
        <v>173911000</v>
      </c>
      <c r="D1050" s="175" t="s">
        <v>235</v>
      </c>
      <c r="E1050" s="175">
        <v>30.680677737529599</v>
      </c>
      <c r="F1050" s="175" t="s">
        <v>265</v>
      </c>
      <c r="G1050" s="175" t="s">
        <v>940</v>
      </c>
    </row>
    <row r="1051" spans="1:7">
      <c r="A1051" s="175" t="s">
        <v>3636</v>
      </c>
      <c r="B1051" s="217" t="str">
        <f t="shared" si="16"/>
        <v>173912000[円]</v>
      </c>
      <c r="C1051" s="216">
        <v>173912000</v>
      </c>
      <c r="D1051" s="175" t="s">
        <v>235</v>
      </c>
      <c r="E1051" s="175">
        <v>730.88669590643303</v>
      </c>
      <c r="F1051" s="175" t="s">
        <v>265</v>
      </c>
      <c r="G1051" s="175" t="s">
        <v>3637</v>
      </c>
    </row>
    <row r="1052" spans="1:7">
      <c r="A1052" s="175" t="s">
        <v>3638</v>
      </c>
      <c r="B1052" s="217" t="str">
        <f t="shared" si="16"/>
        <v>173912104[円]</v>
      </c>
      <c r="C1052" s="216">
        <v>173912104</v>
      </c>
      <c r="D1052" s="175" t="s">
        <v>235</v>
      </c>
      <c r="E1052" s="175">
        <v>730.88669590643303</v>
      </c>
      <c r="F1052" s="175" t="s">
        <v>265</v>
      </c>
      <c r="G1052" s="175" t="s">
        <v>3639</v>
      </c>
    </row>
    <row r="1053" spans="1:7">
      <c r="A1053" s="175" t="s">
        <v>3640</v>
      </c>
      <c r="B1053" s="217" t="str">
        <f t="shared" si="16"/>
        <v>173912105[円]</v>
      </c>
      <c r="C1053" s="216">
        <v>173912105</v>
      </c>
      <c r="D1053" s="175" t="s">
        <v>235</v>
      </c>
      <c r="E1053" s="175">
        <v>730.88669590643303</v>
      </c>
      <c r="F1053" s="175" t="s">
        <v>265</v>
      </c>
      <c r="G1053" s="175" t="s">
        <v>3641</v>
      </c>
    </row>
    <row r="1054" spans="1:7">
      <c r="A1054" s="175" t="s">
        <v>3642</v>
      </c>
      <c r="B1054" s="217" t="str">
        <f t="shared" si="16"/>
        <v>173912107[円]</v>
      </c>
      <c r="C1054" s="216">
        <v>173912107</v>
      </c>
      <c r="D1054" s="175" t="s">
        <v>235</v>
      </c>
      <c r="E1054" s="175">
        <v>730.88669590643303</v>
      </c>
      <c r="F1054" s="175" t="s">
        <v>265</v>
      </c>
      <c r="G1054" s="175" t="s">
        <v>941</v>
      </c>
    </row>
    <row r="1055" spans="1:7">
      <c r="A1055" s="175" t="s">
        <v>3643</v>
      </c>
      <c r="B1055" s="217" t="str">
        <f t="shared" si="16"/>
        <v>173919000[円]</v>
      </c>
      <c r="C1055" s="216">
        <v>173919000</v>
      </c>
      <c r="D1055" s="175" t="s">
        <v>235</v>
      </c>
      <c r="E1055" s="175">
        <v>70.495999999999995</v>
      </c>
      <c r="F1055" s="175" t="s">
        <v>265</v>
      </c>
      <c r="G1055" s="175" t="s">
        <v>942</v>
      </c>
    </row>
    <row r="1056" spans="1:7">
      <c r="A1056" s="175" t="s">
        <v>3644</v>
      </c>
      <c r="B1056" s="217" t="str">
        <f t="shared" si="16"/>
        <v>173919100[L]</v>
      </c>
      <c r="C1056" s="216">
        <v>173919100</v>
      </c>
      <c r="D1056" s="175" t="s">
        <v>235</v>
      </c>
      <c r="E1056" s="175">
        <v>1.2562814069999999</v>
      </c>
      <c r="F1056" s="175" t="s">
        <v>400</v>
      </c>
      <c r="G1056" s="175" t="s">
        <v>943</v>
      </c>
    </row>
    <row r="1057" spans="1:7">
      <c r="A1057" s="175" t="s">
        <v>3645</v>
      </c>
      <c r="B1057" s="217" t="str">
        <f t="shared" si="16"/>
        <v>173919108[Nm3]</v>
      </c>
      <c r="C1057" s="216">
        <v>173919108</v>
      </c>
      <c r="D1057" s="175" t="s">
        <v>235</v>
      </c>
      <c r="E1057" s="175">
        <v>1.394700139</v>
      </c>
      <c r="F1057" s="175" t="s">
        <v>402</v>
      </c>
      <c r="G1057" s="175" t="s">
        <v>3646</v>
      </c>
    </row>
    <row r="1058" spans="1:7">
      <c r="A1058" s="175" t="s">
        <v>3647</v>
      </c>
      <c r="B1058" s="217" t="str">
        <f t="shared" si="16"/>
        <v>173919114[Nm3]</v>
      </c>
      <c r="C1058" s="216">
        <v>173919114</v>
      </c>
      <c r="D1058" s="175" t="s">
        <v>235</v>
      </c>
      <c r="E1058" s="175">
        <v>0.47438330200000001</v>
      </c>
      <c r="F1058" s="175" t="s">
        <v>402</v>
      </c>
      <c r="G1058" s="175" t="s">
        <v>946</v>
      </c>
    </row>
    <row r="1059" spans="1:7">
      <c r="A1059" s="175" t="s">
        <v>3648</v>
      </c>
      <c r="B1059" s="217" t="str">
        <f t="shared" si="16"/>
        <v>173919801[L]</v>
      </c>
      <c r="C1059" s="216">
        <v>173919801</v>
      </c>
      <c r="D1059" s="175" t="s">
        <v>279</v>
      </c>
      <c r="E1059" s="175">
        <v>5.53427932614615E-2</v>
      </c>
      <c r="F1059" s="175" t="s">
        <v>400</v>
      </c>
      <c r="G1059" s="175" t="s">
        <v>3649</v>
      </c>
    </row>
    <row r="1060" spans="1:7">
      <c r="A1060" s="175" t="s">
        <v>3648</v>
      </c>
      <c r="B1060" s="217" t="str">
        <f t="shared" si="16"/>
        <v>173919801[kg]</v>
      </c>
      <c r="C1060" s="216">
        <v>173919801</v>
      </c>
      <c r="D1060" s="175" t="s">
        <v>279</v>
      </c>
      <c r="E1060" s="175">
        <v>4.4052863436123399E-2</v>
      </c>
      <c r="F1060" s="175" t="s">
        <v>235</v>
      </c>
      <c r="G1060" s="175" t="s">
        <v>3649</v>
      </c>
    </row>
    <row r="1061" spans="1:7">
      <c r="A1061" s="175" t="s">
        <v>3650</v>
      </c>
      <c r="B1061" s="217" t="str">
        <f t="shared" si="16"/>
        <v>173919802[Nm3]</v>
      </c>
      <c r="C1061" s="216">
        <v>173919802</v>
      </c>
      <c r="D1061" s="175" t="s">
        <v>279</v>
      </c>
      <c r="E1061" s="175">
        <v>1.49647729245356E-2</v>
      </c>
      <c r="F1061" s="175" t="s">
        <v>402</v>
      </c>
      <c r="G1061" s="175" t="s">
        <v>3651</v>
      </c>
    </row>
    <row r="1062" spans="1:7">
      <c r="A1062" s="175" t="s">
        <v>3650</v>
      </c>
      <c r="B1062" s="217" t="str">
        <f t="shared" si="16"/>
        <v>173919802[kg]</v>
      </c>
      <c r="C1062" s="216">
        <v>173919802</v>
      </c>
      <c r="D1062" s="175" t="s">
        <v>279</v>
      </c>
      <c r="E1062" s="175">
        <v>3.1545741324921099E-2</v>
      </c>
      <c r="F1062" s="175" t="s">
        <v>235</v>
      </c>
      <c r="G1062" s="175" t="s">
        <v>3651</v>
      </c>
    </row>
    <row r="1063" spans="1:7">
      <c r="A1063" s="175" t="s">
        <v>3652</v>
      </c>
      <c r="B1063" s="217" t="str">
        <f t="shared" si="16"/>
        <v>173919803[Nm3]</v>
      </c>
      <c r="C1063" s="216">
        <v>173919803</v>
      </c>
      <c r="D1063" s="175" t="s">
        <v>279</v>
      </c>
      <c r="E1063" s="175">
        <v>2.5129732242702998E-2</v>
      </c>
      <c r="F1063" s="175" t="s">
        <v>402</v>
      </c>
      <c r="G1063" s="175" t="s">
        <v>3653</v>
      </c>
    </row>
    <row r="1064" spans="1:7">
      <c r="A1064" s="175" t="s">
        <v>3652</v>
      </c>
      <c r="B1064" s="217" t="str">
        <f t="shared" si="16"/>
        <v>173919803[kg]</v>
      </c>
      <c r="C1064" s="216">
        <v>173919803</v>
      </c>
      <c r="D1064" s="175" t="s">
        <v>279</v>
      </c>
      <c r="E1064" s="175">
        <v>1.8018018018018001E-2</v>
      </c>
      <c r="F1064" s="175" t="s">
        <v>235</v>
      </c>
      <c r="G1064" s="175" t="s">
        <v>3653</v>
      </c>
    </row>
    <row r="1065" spans="1:7">
      <c r="A1065" s="175" t="s">
        <v>3654</v>
      </c>
      <c r="B1065" s="217" t="str">
        <f t="shared" si="16"/>
        <v>173921000[円]</v>
      </c>
      <c r="C1065" s="216">
        <v>173921000</v>
      </c>
      <c r="D1065" s="175" t="s">
        <v>235</v>
      </c>
      <c r="E1065" s="175">
        <v>39.015023445970499</v>
      </c>
      <c r="F1065" s="175" t="s">
        <v>265</v>
      </c>
      <c r="G1065" s="175" t="s">
        <v>950</v>
      </c>
    </row>
    <row r="1066" spans="1:7">
      <c r="A1066" s="175" t="s">
        <v>3655</v>
      </c>
      <c r="B1066" s="217" t="str">
        <f t="shared" si="16"/>
        <v>173922000[L]</v>
      </c>
      <c r="C1066" s="216">
        <v>173922000</v>
      </c>
      <c r="D1066" s="175" t="s">
        <v>235</v>
      </c>
      <c r="E1066" s="175">
        <v>0.86956521739130399</v>
      </c>
      <c r="F1066" s="175" t="s">
        <v>400</v>
      </c>
      <c r="G1066" s="175" t="s">
        <v>951</v>
      </c>
    </row>
    <row r="1067" spans="1:7">
      <c r="A1067" s="175" t="s">
        <v>3655</v>
      </c>
      <c r="B1067" s="217" t="str">
        <f t="shared" si="16"/>
        <v>173922000[円]</v>
      </c>
      <c r="C1067" s="216">
        <v>173922000</v>
      </c>
      <c r="D1067" s="175" t="s">
        <v>235</v>
      </c>
      <c r="E1067" s="175">
        <v>52.116993041655903</v>
      </c>
      <c r="F1067" s="175" t="s">
        <v>265</v>
      </c>
      <c r="G1067" s="175" t="s">
        <v>951</v>
      </c>
    </row>
    <row r="1068" spans="1:7">
      <c r="A1068" s="175" t="s">
        <v>3656</v>
      </c>
      <c r="B1068" s="217" t="str">
        <f t="shared" si="16"/>
        <v>173923000[円]</v>
      </c>
      <c r="C1068" s="216">
        <v>173923000</v>
      </c>
      <c r="D1068" s="175" t="s">
        <v>235</v>
      </c>
      <c r="E1068" s="175">
        <v>12.456894041457801</v>
      </c>
      <c r="F1068" s="175" t="s">
        <v>265</v>
      </c>
      <c r="G1068" s="175" t="s">
        <v>2007</v>
      </c>
    </row>
    <row r="1069" spans="1:7">
      <c r="A1069" s="175" t="s">
        <v>3657</v>
      </c>
      <c r="B1069" s="217" t="str">
        <f t="shared" si="16"/>
        <v>173929000[円]</v>
      </c>
      <c r="C1069" s="216">
        <v>173929000</v>
      </c>
      <c r="D1069" s="175" t="s">
        <v>235</v>
      </c>
      <c r="E1069" s="175">
        <v>93.716829809999993</v>
      </c>
      <c r="F1069" s="175" t="s">
        <v>265</v>
      </c>
      <c r="G1069" s="175" t="s">
        <v>952</v>
      </c>
    </row>
    <row r="1070" spans="1:7">
      <c r="A1070" s="175" t="s">
        <v>3658</v>
      </c>
      <c r="B1070" s="217" t="str">
        <f t="shared" si="16"/>
        <v>173931000[円]</v>
      </c>
      <c r="C1070" s="216">
        <v>173931000</v>
      </c>
      <c r="D1070" s="175" t="s">
        <v>235</v>
      </c>
      <c r="E1070" s="175">
        <v>148.49248356380301</v>
      </c>
      <c r="F1070" s="175" t="s">
        <v>265</v>
      </c>
      <c r="G1070" s="175" t="s">
        <v>955</v>
      </c>
    </row>
    <row r="1071" spans="1:7">
      <c r="A1071" s="175" t="s">
        <v>3659</v>
      </c>
      <c r="B1071" s="217" t="str">
        <f t="shared" si="16"/>
        <v>173939000[円]</v>
      </c>
      <c r="C1071" s="216">
        <v>173939000</v>
      </c>
      <c r="D1071" s="175" t="s">
        <v>235</v>
      </c>
      <c r="E1071" s="175">
        <v>426.70285699999999</v>
      </c>
      <c r="F1071" s="175" t="s">
        <v>265</v>
      </c>
      <c r="G1071" s="175" t="s">
        <v>956</v>
      </c>
    </row>
    <row r="1072" spans="1:7">
      <c r="A1072" s="175" t="s">
        <v>3660</v>
      </c>
      <c r="B1072" s="217" t="str">
        <f t="shared" si="16"/>
        <v>173941000[円]</v>
      </c>
      <c r="C1072" s="216">
        <v>173941000</v>
      </c>
      <c r="D1072" s="175" t="s">
        <v>235</v>
      </c>
      <c r="E1072" s="175">
        <v>482.99167282898799</v>
      </c>
      <c r="F1072" s="175" t="s">
        <v>265</v>
      </c>
      <c r="G1072" s="175" t="s">
        <v>957</v>
      </c>
    </row>
    <row r="1073" spans="1:7">
      <c r="A1073" s="175" t="s">
        <v>3661</v>
      </c>
      <c r="B1073" s="217" t="str">
        <f t="shared" si="16"/>
        <v>173942000[円]</v>
      </c>
      <c r="C1073" s="216">
        <v>173942000</v>
      </c>
      <c r="D1073" s="175" t="s">
        <v>235</v>
      </c>
      <c r="E1073" s="175">
        <v>292.43274582560298</v>
      </c>
      <c r="F1073" s="175" t="s">
        <v>265</v>
      </c>
      <c r="G1073" s="175" t="s">
        <v>3662</v>
      </c>
    </row>
    <row r="1074" spans="1:7">
      <c r="A1074" s="175" t="s">
        <v>3663</v>
      </c>
      <c r="B1074" s="217" t="str">
        <f t="shared" si="16"/>
        <v>173949000[円]</v>
      </c>
      <c r="C1074" s="216">
        <v>173949000</v>
      </c>
      <c r="D1074" s="175" t="s">
        <v>235</v>
      </c>
      <c r="E1074" s="175">
        <v>472.00599999999997</v>
      </c>
      <c r="F1074" s="175" t="s">
        <v>265</v>
      </c>
      <c r="G1074" s="175" t="s">
        <v>958</v>
      </c>
    </row>
    <row r="1075" spans="1:7">
      <c r="A1075" s="175" t="s">
        <v>3664</v>
      </c>
      <c r="B1075" s="217" t="str">
        <f t="shared" si="16"/>
        <v>173949104[L]</v>
      </c>
      <c r="C1075" s="216">
        <v>173949104</v>
      </c>
      <c r="D1075" s="175" t="s">
        <v>235</v>
      </c>
      <c r="E1075" s="175">
        <v>1.3333333329999999</v>
      </c>
      <c r="F1075" s="175" t="s">
        <v>400</v>
      </c>
      <c r="G1075" s="175" t="s">
        <v>961</v>
      </c>
    </row>
    <row r="1076" spans="1:7">
      <c r="A1076" s="175" t="s">
        <v>3665</v>
      </c>
      <c r="B1076" s="217" t="str">
        <f t="shared" si="16"/>
        <v>173949802[kg]</v>
      </c>
      <c r="C1076" s="216">
        <v>173949802</v>
      </c>
      <c r="D1076" s="175" t="s">
        <v>279</v>
      </c>
      <c r="E1076" s="175">
        <v>2.6178010471204199E-2</v>
      </c>
      <c r="F1076" s="175" t="s">
        <v>235</v>
      </c>
      <c r="G1076" s="175" t="s">
        <v>3666</v>
      </c>
    </row>
    <row r="1077" spans="1:7">
      <c r="A1077" s="175" t="s">
        <v>3665</v>
      </c>
      <c r="B1077" s="217" t="str">
        <f t="shared" si="16"/>
        <v>173949802[L]</v>
      </c>
      <c r="C1077" s="216">
        <v>173949802</v>
      </c>
      <c r="D1077" s="175" t="s">
        <v>279</v>
      </c>
      <c r="E1077" s="175">
        <v>3.4904013961605598E-2</v>
      </c>
      <c r="F1077" s="175" t="s">
        <v>400</v>
      </c>
      <c r="G1077" s="175" t="s">
        <v>3666</v>
      </c>
    </row>
    <row r="1078" spans="1:7">
      <c r="A1078" s="175" t="s">
        <v>3667</v>
      </c>
      <c r="B1078" s="217" t="str">
        <f t="shared" si="16"/>
        <v>174100000[円]</v>
      </c>
      <c r="C1078" s="216">
        <v>174100000</v>
      </c>
      <c r="D1078" s="175" t="s">
        <v>235</v>
      </c>
      <c r="E1078" s="175">
        <v>584.10035116451104</v>
      </c>
      <c r="F1078" s="175" t="s">
        <v>265</v>
      </c>
      <c r="G1078" s="175" t="s">
        <v>3668</v>
      </c>
    </row>
    <row r="1079" spans="1:7">
      <c r="A1079" s="175" t="s">
        <v>3669</v>
      </c>
      <c r="B1079" s="217" t="str">
        <f t="shared" si="16"/>
        <v>174111000[円]</v>
      </c>
      <c r="C1079" s="216">
        <v>174111000</v>
      </c>
      <c r="D1079" s="175" t="s">
        <v>235</v>
      </c>
      <c r="E1079" s="175">
        <v>652.22348920000002</v>
      </c>
      <c r="F1079" s="175" t="s">
        <v>265</v>
      </c>
      <c r="G1079" s="175" t="s">
        <v>970</v>
      </c>
    </row>
    <row r="1080" spans="1:7">
      <c r="A1080" s="175" t="s">
        <v>3670</v>
      </c>
      <c r="B1080" s="217" t="str">
        <f t="shared" si="16"/>
        <v>174112000[円]</v>
      </c>
      <c r="C1080" s="216">
        <v>174112000</v>
      </c>
      <c r="D1080" s="175" t="s">
        <v>235</v>
      </c>
      <c r="E1080" s="175">
        <v>652.30330672748005</v>
      </c>
      <c r="F1080" s="175" t="s">
        <v>265</v>
      </c>
      <c r="G1080" s="175" t="s">
        <v>971</v>
      </c>
    </row>
    <row r="1081" spans="1:7">
      <c r="A1081" s="175" t="s">
        <v>3671</v>
      </c>
      <c r="B1081" s="217" t="str">
        <f t="shared" si="16"/>
        <v>174113000[円]</v>
      </c>
      <c r="C1081" s="216">
        <v>174113000</v>
      </c>
      <c r="D1081" s="175" t="s">
        <v>235</v>
      </c>
      <c r="E1081" s="175">
        <v>561.89732866774796</v>
      </c>
      <c r="F1081" s="175" t="s">
        <v>265</v>
      </c>
      <c r="G1081" s="175" t="s">
        <v>3672</v>
      </c>
    </row>
    <row r="1082" spans="1:7">
      <c r="A1082" s="175" t="s">
        <v>3673</v>
      </c>
      <c r="B1082" s="217" t="str">
        <f t="shared" si="16"/>
        <v>174200000[kg]</v>
      </c>
      <c r="C1082" s="216">
        <v>174200000</v>
      </c>
      <c r="D1082" s="175" t="s">
        <v>265</v>
      </c>
      <c r="E1082" s="175">
        <v>2.7399954362016098E-3</v>
      </c>
      <c r="F1082" s="175" t="s">
        <v>235</v>
      </c>
      <c r="G1082" s="175" t="s">
        <v>3674</v>
      </c>
    </row>
    <row r="1083" spans="1:7">
      <c r="A1083" s="175" t="s">
        <v>3675</v>
      </c>
      <c r="B1083" s="217" t="str">
        <f t="shared" si="16"/>
        <v>174211000[円]</v>
      </c>
      <c r="C1083" s="216">
        <v>174211000</v>
      </c>
      <c r="D1083" s="175" t="s">
        <v>235</v>
      </c>
      <c r="E1083" s="175">
        <v>625.18961493582299</v>
      </c>
      <c r="F1083" s="175" t="s">
        <v>265</v>
      </c>
      <c r="G1083" s="175" t="s">
        <v>972</v>
      </c>
    </row>
    <row r="1084" spans="1:7">
      <c r="A1084" s="175" t="s">
        <v>3676</v>
      </c>
      <c r="B1084" s="217" t="str">
        <f t="shared" si="16"/>
        <v>174212000[円]</v>
      </c>
      <c r="C1084" s="216">
        <v>174212000</v>
      </c>
      <c r="D1084" s="175" t="s">
        <v>235</v>
      </c>
      <c r="E1084" s="175">
        <v>486.64725551339399</v>
      </c>
      <c r="F1084" s="175" t="s">
        <v>265</v>
      </c>
      <c r="G1084" s="175" t="s">
        <v>974</v>
      </c>
    </row>
    <row r="1085" spans="1:7">
      <c r="A1085" s="175" t="s">
        <v>3677</v>
      </c>
      <c r="B1085" s="217" t="str">
        <f t="shared" si="16"/>
        <v>174213000[円]</v>
      </c>
      <c r="C1085" s="216">
        <v>174213000</v>
      </c>
      <c r="D1085" s="175" t="s">
        <v>235</v>
      </c>
      <c r="E1085" s="175">
        <v>239.807317281178</v>
      </c>
      <c r="F1085" s="175" t="s">
        <v>265</v>
      </c>
      <c r="G1085" s="175" t="s">
        <v>975</v>
      </c>
    </row>
    <row r="1086" spans="1:7">
      <c r="A1086" s="175" t="s">
        <v>3678</v>
      </c>
      <c r="B1086" s="217" t="str">
        <f t="shared" si="16"/>
        <v>174214000[円]</v>
      </c>
      <c r="C1086" s="216">
        <v>174214000</v>
      </c>
      <c r="D1086" s="175" t="s">
        <v>235</v>
      </c>
      <c r="E1086" s="175">
        <v>314.20183076579599</v>
      </c>
      <c r="F1086" s="175" t="s">
        <v>265</v>
      </c>
      <c r="G1086" s="175" t="s">
        <v>976</v>
      </c>
    </row>
    <row r="1087" spans="1:7">
      <c r="A1087" s="175" t="s">
        <v>3679</v>
      </c>
      <c r="B1087" s="217" t="str">
        <f t="shared" si="16"/>
        <v>174215000[円]</v>
      </c>
      <c r="C1087" s="216">
        <v>174215000</v>
      </c>
      <c r="D1087" s="175" t="s">
        <v>235</v>
      </c>
      <c r="E1087" s="175">
        <v>517.55545484901995</v>
      </c>
      <c r="F1087" s="175" t="s">
        <v>265</v>
      </c>
      <c r="G1087" s="175" t="s">
        <v>977</v>
      </c>
    </row>
    <row r="1088" spans="1:7">
      <c r="A1088" s="175" t="s">
        <v>3680</v>
      </c>
      <c r="B1088" s="217" t="str">
        <f t="shared" si="16"/>
        <v>174216000[円]</v>
      </c>
      <c r="C1088" s="216">
        <v>174216000</v>
      </c>
      <c r="D1088" s="175" t="s">
        <v>235</v>
      </c>
      <c r="E1088" s="175">
        <v>290.58286902383998</v>
      </c>
      <c r="F1088" s="175" t="s">
        <v>265</v>
      </c>
      <c r="G1088" s="175" t="s">
        <v>978</v>
      </c>
    </row>
    <row r="1089" spans="1:7">
      <c r="A1089" s="175" t="s">
        <v>3681</v>
      </c>
      <c r="B1089" s="217" t="str">
        <f t="shared" si="16"/>
        <v>174219000[kg]</v>
      </c>
      <c r="C1089" s="216">
        <v>174219000</v>
      </c>
      <c r="D1089" s="175" t="s">
        <v>265</v>
      </c>
      <c r="E1089" s="175">
        <v>2.7399954362016098E-3</v>
      </c>
      <c r="F1089" s="175" t="s">
        <v>235</v>
      </c>
      <c r="G1089" s="175" t="s">
        <v>979</v>
      </c>
    </row>
    <row r="1090" spans="1:7">
      <c r="A1090" s="175" t="s">
        <v>3682</v>
      </c>
      <c r="B1090" s="217" t="str">
        <f t="shared" ref="B1090:B1153" si="17">C1090&amp;"["&amp;F1090&amp;"]"</f>
        <v>175100000[円]</v>
      </c>
      <c r="C1090" s="216">
        <v>175100000</v>
      </c>
      <c r="D1090" s="175" t="s">
        <v>235</v>
      </c>
      <c r="E1090" s="175">
        <v>153.13288249342801</v>
      </c>
      <c r="F1090" s="175" t="s">
        <v>265</v>
      </c>
      <c r="G1090" s="175" t="s">
        <v>3683</v>
      </c>
    </row>
    <row r="1091" spans="1:7">
      <c r="A1091" s="175" t="s">
        <v>3684</v>
      </c>
      <c r="B1091" s="217" t="str">
        <f t="shared" si="17"/>
        <v>175111000[円]</v>
      </c>
      <c r="C1091" s="216">
        <v>175111000</v>
      </c>
      <c r="D1091" s="175" t="s">
        <v>235</v>
      </c>
      <c r="E1091" s="175">
        <v>125.147569444444</v>
      </c>
      <c r="F1091" s="175" t="s">
        <v>265</v>
      </c>
      <c r="G1091" s="175" t="s">
        <v>3685</v>
      </c>
    </row>
    <row r="1092" spans="1:7">
      <c r="A1092" s="175" t="s">
        <v>3686</v>
      </c>
      <c r="B1092" s="217" t="str">
        <f t="shared" si="17"/>
        <v>175112000[円]</v>
      </c>
      <c r="C1092" s="216">
        <v>175112000</v>
      </c>
      <c r="D1092" s="175" t="s">
        <v>235</v>
      </c>
      <c r="E1092" s="175">
        <v>246.78356288356599</v>
      </c>
      <c r="F1092" s="175" t="s">
        <v>265</v>
      </c>
      <c r="G1092" s="175" t="s">
        <v>982</v>
      </c>
    </row>
    <row r="1093" spans="1:7">
      <c r="A1093" s="175" t="s">
        <v>3687</v>
      </c>
      <c r="B1093" s="217" t="str">
        <f t="shared" si="17"/>
        <v>175113000[円]</v>
      </c>
      <c r="C1093" s="216">
        <v>175113000</v>
      </c>
      <c r="D1093" s="175" t="s">
        <v>235</v>
      </c>
      <c r="E1093" s="175">
        <v>164.445132971856</v>
      </c>
      <c r="F1093" s="175" t="s">
        <v>265</v>
      </c>
      <c r="G1093" s="175" t="s">
        <v>3688</v>
      </c>
    </row>
    <row r="1094" spans="1:7">
      <c r="A1094" s="175" t="s">
        <v>3689</v>
      </c>
      <c r="B1094" s="217" t="str">
        <f t="shared" si="17"/>
        <v>175114000[円]</v>
      </c>
      <c r="C1094" s="216">
        <v>175114000</v>
      </c>
      <c r="D1094" s="175" t="s">
        <v>235</v>
      </c>
      <c r="E1094" s="175">
        <v>155.663400448256</v>
      </c>
      <c r="F1094" s="175" t="s">
        <v>265</v>
      </c>
      <c r="G1094" s="175" t="s">
        <v>3690</v>
      </c>
    </row>
    <row r="1095" spans="1:7">
      <c r="A1095" s="175" t="s">
        <v>3691</v>
      </c>
      <c r="B1095" s="217" t="str">
        <f t="shared" si="17"/>
        <v>175115000[円]</v>
      </c>
      <c r="C1095" s="216">
        <v>175115000</v>
      </c>
      <c r="D1095" s="175" t="s">
        <v>235</v>
      </c>
      <c r="E1095" s="175">
        <v>299.432629546778</v>
      </c>
      <c r="F1095" s="175" t="s">
        <v>265</v>
      </c>
      <c r="G1095" s="175" t="s">
        <v>3692</v>
      </c>
    </row>
    <row r="1096" spans="1:7">
      <c r="A1096" s="175" t="s">
        <v>3693</v>
      </c>
      <c r="B1096" s="217" t="str">
        <f t="shared" si="17"/>
        <v>175119000[円]</v>
      </c>
      <c r="C1096" s="216">
        <v>175119000</v>
      </c>
      <c r="D1096" s="175" t="s">
        <v>235</v>
      </c>
      <c r="E1096" s="175">
        <v>106.831</v>
      </c>
      <c r="F1096" s="175" t="s">
        <v>265</v>
      </c>
      <c r="G1096" s="175" t="s">
        <v>298</v>
      </c>
    </row>
    <row r="1097" spans="1:7">
      <c r="A1097" s="175" t="s">
        <v>3694</v>
      </c>
      <c r="B1097" s="217" t="str">
        <f t="shared" si="17"/>
        <v>175200000[円]</v>
      </c>
      <c r="C1097" s="216">
        <v>175200000</v>
      </c>
      <c r="D1097" s="175" t="s">
        <v>235</v>
      </c>
      <c r="E1097" s="175">
        <v>266.11834336329201</v>
      </c>
      <c r="F1097" s="175" t="s">
        <v>265</v>
      </c>
      <c r="G1097" s="175" t="s">
        <v>3695</v>
      </c>
    </row>
    <row r="1098" spans="1:7">
      <c r="A1098" s="175" t="s">
        <v>3696</v>
      </c>
      <c r="B1098" s="217" t="str">
        <f t="shared" si="17"/>
        <v>175211000[円]</v>
      </c>
      <c r="C1098" s="216">
        <v>175211000</v>
      </c>
      <c r="D1098" s="175" t="s">
        <v>235</v>
      </c>
      <c r="E1098" s="175">
        <v>557.52589414700299</v>
      </c>
      <c r="F1098" s="175" t="s">
        <v>265</v>
      </c>
      <c r="G1098" s="175" t="s">
        <v>3697</v>
      </c>
    </row>
    <row r="1099" spans="1:7">
      <c r="A1099" s="175" t="s">
        <v>3698</v>
      </c>
      <c r="B1099" s="217" t="str">
        <f t="shared" si="17"/>
        <v>175212000[円]</v>
      </c>
      <c r="C1099" s="216">
        <v>175212000</v>
      </c>
      <c r="D1099" s="175" t="s">
        <v>235</v>
      </c>
      <c r="E1099" s="175">
        <v>241.846119336025</v>
      </c>
      <c r="F1099" s="175" t="s">
        <v>265</v>
      </c>
      <c r="G1099" s="175" t="s">
        <v>3699</v>
      </c>
    </row>
    <row r="1100" spans="1:7">
      <c r="A1100" s="175" t="s">
        <v>3700</v>
      </c>
      <c r="B1100" s="217" t="str">
        <f t="shared" si="17"/>
        <v>175219000[円]</v>
      </c>
      <c r="C1100" s="216">
        <v>175219000</v>
      </c>
      <c r="D1100" s="175" t="s">
        <v>235</v>
      </c>
      <c r="E1100" s="175">
        <v>184.89432350000001</v>
      </c>
      <c r="F1100" s="175" t="s">
        <v>265</v>
      </c>
      <c r="G1100" s="175" t="s">
        <v>983</v>
      </c>
    </row>
    <row r="1101" spans="1:7">
      <c r="A1101" s="175" t="s">
        <v>3701</v>
      </c>
      <c r="B1101" s="217" t="str">
        <f t="shared" si="17"/>
        <v>175221000[円]</v>
      </c>
      <c r="C1101" s="216">
        <v>175221000</v>
      </c>
      <c r="D1101" s="175" t="s">
        <v>235</v>
      </c>
      <c r="E1101" s="175">
        <v>246.571772924595</v>
      </c>
      <c r="F1101" s="175" t="s">
        <v>265</v>
      </c>
      <c r="G1101" s="175" t="s">
        <v>986</v>
      </c>
    </row>
    <row r="1102" spans="1:7">
      <c r="A1102" s="175" t="s">
        <v>3702</v>
      </c>
      <c r="B1102" s="217" t="str">
        <f t="shared" si="17"/>
        <v>175222000[円]</v>
      </c>
      <c r="C1102" s="216">
        <v>175222000</v>
      </c>
      <c r="D1102" s="175" t="s">
        <v>235</v>
      </c>
      <c r="E1102" s="175">
        <v>174.16077793937299</v>
      </c>
      <c r="F1102" s="175" t="s">
        <v>265</v>
      </c>
      <c r="G1102" s="175" t="s">
        <v>987</v>
      </c>
    </row>
    <row r="1103" spans="1:7">
      <c r="A1103" s="175" t="s">
        <v>3703</v>
      </c>
      <c r="B1103" s="217" t="str">
        <f t="shared" si="17"/>
        <v>175223000[円]</v>
      </c>
      <c r="C1103" s="216">
        <v>175223000</v>
      </c>
      <c r="D1103" s="175" t="s">
        <v>235</v>
      </c>
      <c r="E1103" s="175">
        <v>264.02844329999999</v>
      </c>
      <c r="F1103" s="175" t="s">
        <v>265</v>
      </c>
      <c r="G1103" s="175" t="s">
        <v>988</v>
      </c>
    </row>
    <row r="1104" spans="1:7">
      <c r="A1104" s="175" t="s">
        <v>3704</v>
      </c>
      <c r="B1104" s="217" t="str">
        <f t="shared" si="17"/>
        <v>175224000[円]</v>
      </c>
      <c r="C1104" s="216">
        <v>175224000</v>
      </c>
      <c r="D1104" s="175" t="s">
        <v>235</v>
      </c>
      <c r="E1104" s="175">
        <v>568.27466968345095</v>
      </c>
      <c r="F1104" s="175" t="s">
        <v>265</v>
      </c>
      <c r="G1104" s="175" t="s">
        <v>3705</v>
      </c>
    </row>
    <row r="1105" spans="1:7">
      <c r="A1105" s="175" t="s">
        <v>3706</v>
      </c>
      <c r="B1105" s="217" t="str">
        <f t="shared" si="17"/>
        <v>175225000[円]</v>
      </c>
      <c r="C1105" s="216">
        <v>175225000</v>
      </c>
      <c r="D1105" s="175" t="s">
        <v>235</v>
      </c>
      <c r="E1105" s="175">
        <v>219.842559866941</v>
      </c>
      <c r="F1105" s="175" t="s">
        <v>265</v>
      </c>
      <c r="G1105" s="175" t="s">
        <v>989</v>
      </c>
    </row>
    <row r="1106" spans="1:7">
      <c r="A1106" s="175" t="s">
        <v>3707</v>
      </c>
      <c r="B1106" s="217" t="str">
        <f t="shared" si="17"/>
        <v>175300000[円]</v>
      </c>
      <c r="C1106" s="216">
        <v>175300000</v>
      </c>
      <c r="D1106" s="175" t="s">
        <v>235</v>
      </c>
      <c r="E1106" s="175">
        <v>266.18014616919697</v>
      </c>
      <c r="F1106" s="175" t="s">
        <v>265</v>
      </c>
      <c r="G1106" s="175" t="s">
        <v>3708</v>
      </c>
    </row>
    <row r="1107" spans="1:7">
      <c r="A1107" s="175" t="s">
        <v>3709</v>
      </c>
      <c r="B1107" s="217" t="str">
        <f t="shared" si="17"/>
        <v>175311000[円]</v>
      </c>
      <c r="C1107" s="216">
        <v>175311000</v>
      </c>
      <c r="D1107" s="175" t="s">
        <v>235</v>
      </c>
      <c r="E1107" s="175">
        <v>209.01328190828599</v>
      </c>
      <c r="F1107" s="175" t="s">
        <v>265</v>
      </c>
      <c r="G1107" s="175" t="s">
        <v>990</v>
      </c>
    </row>
    <row r="1108" spans="1:7">
      <c r="A1108" s="175" t="s">
        <v>3710</v>
      </c>
      <c r="B1108" s="217" t="str">
        <f t="shared" si="17"/>
        <v>175312000[円]</v>
      </c>
      <c r="C1108" s="216">
        <v>175312000</v>
      </c>
      <c r="D1108" s="175" t="s">
        <v>235</v>
      </c>
      <c r="E1108" s="175">
        <v>262.29659894936202</v>
      </c>
      <c r="F1108" s="175" t="s">
        <v>265</v>
      </c>
      <c r="G1108" s="175" t="s">
        <v>991</v>
      </c>
    </row>
    <row r="1109" spans="1:7">
      <c r="A1109" s="175" t="s">
        <v>3711</v>
      </c>
      <c r="B1109" s="217" t="str">
        <f t="shared" si="17"/>
        <v>175313000[円]</v>
      </c>
      <c r="C1109" s="216">
        <v>175313000</v>
      </c>
      <c r="D1109" s="175" t="s">
        <v>235</v>
      </c>
      <c r="E1109" s="175">
        <v>292.71553493636901</v>
      </c>
      <c r="F1109" s="175" t="s">
        <v>265</v>
      </c>
      <c r="G1109" s="175" t="s">
        <v>992</v>
      </c>
    </row>
    <row r="1110" spans="1:7">
      <c r="A1110" s="175" t="s">
        <v>3712</v>
      </c>
      <c r="B1110" s="217" t="str">
        <f t="shared" si="17"/>
        <v>175319000[円]</v>
      </c>
      <c r="C1110" s="216">
        <v>175319000</v>
      </c>
      <c r="D1110" s="175" t="s">
        <v>235</v>
      </c>
      <c r="E1110" s="175">
        <v>410.82271509999998</v>
      </c>
      <c r="F1110" s="175" t="s">
        <v>265</v>
      </c>
      <c r="G1110" s="175" t="s">
        <v>993</v>
      </c>
    </row>
    <row r="1111" spans="1:7">
      <c r="A1111" s="175" t="s">
        <v>3713</v>
      </c>
      <c r="B1111" s="217" t="str">
        <f t="shared" si="17"/>
        <v>175400000[円]</v>
      </c>
      <c r="C1111" s="216">
        <v>175400000</v>
      </c>
      <c r="D1111" s="175" t="s">
        <v>235</v>
      </c>
      <c r="E1111" s="175">
        <v>382.88582378671299</v>
      </c>
      <c r="F1111" s="175" t="s">
        <v>265</v>
      </c>
      <c r="G1111" s="175" t="s">
        <v>3714</v>
      </c>
    </row>
    <row r="1112" spans="1:7">
      <c r="A1112" s="175" t="s">
        <v>3715</v>
      </c>
      <c r="B1112" s="217" t="str">
        <f t="shared" si="17"/>
        <v>175411000[円]</v>
      </c>
      <c r="C1112" s="216">
        <v>175411000</v>
      </c>
      <c r="D1112" s="175" t="s">
        <v>235</v>
      </c>
      <c r="E1112" s="175">
        <v>354.706479481641</v>
      </c>
      <c r="F1112" s="175" t="s">
        <v>265</v>
      </c>
      <c r="G1112" s="175" t="s">
        <v>994</v>
      </c>
    </row>
    <row r="1113" spans="1:7">
      <c r="A1113" s="175" t="s">
        <v>3716</v>
      </c>
      <c r="B1113" s="217" t="str">
        <f t="shared" si="17"/>
        <v>175412000[円]</v>
      </c>
      <c r="C1113" s="216">
        <v>175412000</v>
      </c>
      <c r="D1113" s="175" t="s">
        <v>235</v>
      </c>
      <c r="E1113" s="175">
        <v>462.728043700581</v>
      </c>
      <c r="F1113" s="175" t="s">
        <v>265</v>
      </c>
      <c r="G1113" s="175" t="s">
        <v>995</v>
      </c>
    </row>
    <row r="1114" spans="1:7">
      <c r="A1114" s="175" t="s">
        <v>3717</v>
      </c>
      <c r="B1114" s="217" t="str">
        <f t="shared" si="17"/>
        <v>175413000[円]</v>
      </c>
      <c r="C1114" s="216">
        <v>175413000</v>
      </c>
      <c r="D1114" s="175" t="s">
        <v>235</v>
      </c>
      <c r="E1114" s="175">
        <v>894.09184920560301</v>
      </c>
      <c r="F1114" s="175" t="s">
        <v>265</v>
      </c>
      <c r="G1114" s="175" t="s">
        <v>996</v>
      </c>
    </row>
    <row r="1115" spans="1:7">
      <c r="A1115" s="175" t="s">
        <v>3718</v>
      </c>
      <c r="B1115" s="217" t="str">
        <f t="shared" si="17"/>
        <v>175414000[円]</v>
      </c>
      <c r="C1115" s="216">
        <v>175414000</v>
      </c>
      <c r="D1115" s="175" t="s">
        <v>235</v>
      </c>
      <c r="E1115" s="175">
        <v>534.58327364933803</v>
      </c>
      <c r="F1115" s="175" t="s">
        <v>265</v>
      </c>
      <c r="G1115" s="175" t="s">
        <v>997</v>
      </c>
    </row>
    <row r="1116" spans="1:7">
      <c r="A1116" s="175" t="s">
        <v>3719</v>
      </c>
      <c r="B1116" s="217" t="str">
        <f t="shared" si="17"/>
        <v>175415000[円]</v>
      </c>
      <c r="C1116" s="216">
        <v>175415000</v>
      </c>
      <c r="D1116" s="175" t="s">
        <v>235</v>
      </c>
      <c r="E1116" s="175">
        <v>271.23406782796701</v>
      </c>
      <c r="F1116" s="175" t="s">
        <v>265</v>
      </c>
      <c r="G1116" s="175" t="s">
        <v>998</v>
      </c>
    </row>
    <row r="1117" spans="1:7">
      <c r="A1117" s="175" t="s">
        <v>3720</v>
      </c>
      <c r="B1117" s="217" t="str">
        <f t="shared" si="17"/>
        <v>175416000[円]</v>
      </c>
      <c r="C1117" s="216">
        <v>175416000</v>
      </c>
      <c r="D1117" s="175" t="s">
        <v>235</v>
      </c>
      <c r="E1117" s="175">
        <v>596.80585055863503</v>
      </c>
      <c r="F1117" s="175" t="s">
        <v>265</v>
      </c>
      <c r="G1117" s="175" t="s">
        <v>999</v>
      </c>
    </row>
    <row r="1118" spans="1:7">
      <c r="A1118" s="175" t="s">
        <v>3721</v>
      </c>
      <c r="B1118" s="217" t="str">
        <f t="shared" si="17"/>
        <v>175417000[円]</v>
      </c>
      <c r="C1118" s="216">
        <v>175417000</v>
      </c>
      <c r="D1118" s="175" t="s">
        <v>235</v>
      </c>
      <c r="E1118" s="175">
        <v>170.080115397745</v>
      </c>
      <c r="F1118" s="175" t="s">
        <v>265</v>
      </c>
      <c r="G1118" s="175" t="s">
        <v>1001</v>
      </c>
    </row>
    <row r="1119" spans="1:7">
      <c r="A1119" s="175" t="s">
        <v>3722</v>
      </c>
      <c r="B1119" s="217" t="str">
        <f t="shared" si="17"/>
        <v>175419000[円]</v>
      </c>
      <c r="C1119" s="216">
        <v>175419000</v>
      </c>
      <c r="D1119" s="175" t="s">
        <v>235</v>
      </c>
      <c r="E1119" s="175">
        <v>455.57950829999999</v>
      </c>
      <c r="F1119" s="175" t="s">
        <v>265</v>
      </c>
      <c r="G1119" s="175" t="s">
        <v>3723</v>
      </c>
    </row>
    <row r="1120" spans="1:7">
      <c r="A1120" s="175" t="s">
        <v>3724</v>
      </c>
      <c r="B1120" s="217" t="str">
        <f t="shared" si="17"/>
        <v>175500000[円]</v>
      </c>
      <c r="C1120" s="216">
        <v>175500000</v>
      </c>
      <c r="D1120" s="175" t="s">
        <v>235</v>
      </c>
      <c r="E1120" s="175">
        <v>504.98472688073599</v>
      </c>
      <c r="F1120" s="175" t="s">
        <v>265</v>
      </c>
      <c r="G1120" s="175" t="s">
        <v>3725</v>
      </c>
    </row>
    <row r="1121" spans="1:7">
      <c r="A1121" s="175" t="s">
        <v>3726</v>
      </c>
      <c r="B1121" s="217" t="str">
        <f t="shared" si="17"/>
        <v>175511000[円]</v>
      </c>
      <c r="C1121" s="216">
        <v>175511000</v>
      </c>
      <c r="D1121" s="175" t="s">
        <v>235</v>
      </c>
      <c r="E1121" s="175">
        <v>564.18464742148103</v>
      </c>
      <c r="F1121" s="175" t="s">
        <v>265</v>
      </c>
      <c r="G1121" s="175" t="s">
        <v>1003</v>
      </c>
    </row>
    <row r="1122" spans="1:7">
      <c r="A1122" s="175" t="s">
        <v>3727</v>
      </c>
      <c r="B1122" s="217" t="str">
        <f t="shared" si="17"/>
        <v>175512000[円]</v>
      </c>
      <c r="C1122" s="216">
        <v>175512000</v>
      </c>
      <c r="D1122" s="175" t="s">
        <v>235</v>
      </c>
      <c r="E1122" s="175">
        <v>347.84453185336901</v>
      </c>
      <c r="F1122" s="175" t="s">
        <v>265</v>
      </c>
      <c r="G1122" s="175" t="s">
        <v>1004</v>
      </c>
    </row>
    <row r="1123" spans="1:7">
      <c r="A1123" s="175" t="s">
        <v>3728</v>
      </c>
      <c r="B1123" s="217" t="str">
        <f t="shared" si="17"/>
        <v>175513000[円]</v>
      </c>
      <c r="C1123" s="216">
        <v>175513000</v>
      </c>
      <c r="D1123" s="175" t="s">
        <v>235</v>
      </c>
      <c r="E1123" s="175">
        <v>410.31222607171202</v>
      </c>
      <c r="F1123" s="175" t="s">
        <v>265</v>
      </c>
      <c r="G1123" s="175" t="s">
        <v>1005</v>
      </c>
    </row>
    <row r="1124" spans="1:7">
      <c r="A1124" s="175" t="s">
        <v>3729</v>
      </c>
      <c r="B1124" s="217" t="str">
        <f t="shared" si="17"/>
        <v>175600000[kg]</v>
      </c>
      <c r="C1124" s="216">
        <v>175600000</v>
      </c>
      <c r="D1124" s="175" t="s">
        <v>265</v>
      </c>
      <c r="E1124" s="175">
        <v>2.2557233172394902E-3</v>
      </c>
      <c r="F1124" s="175" t="s">
        <v>235</v>
      </c>
      <c r="G1124" s="175" t="s">
        <v>3730</v>
      </c>
    </row>
    <row r="1125" spans="1:7">
      <c r="A1125" s="175" t="s">
        <v>3731</v>
      </c>
      <c r="B1125" s="217" t="str">
        <f t="shared" si="17"/>
        <v>175611000[円]</v>
      </c>
      <c r="C1125" s="216">
        <v>175611000</v>
      </c>
      <c r="D1125" s="175" t="s">
        <v>235</v>
      </c>
      <c r="E1125" s="175">
        <v>246.959409014107</v>
      </c>
      <c r="F1125" s="175" t="s">
        <v>265</v>
      </c>
      <c r="G1125" s="175" t="s">
        <v>1006</v>
      </c>
    </row>
    <row r="1126" spans="1:7">
      <c r="A1126" s="175" t="s">
        <v>3732</v>
      </c>
      <c r="B1126" s="217" t="str">
        <f t="shared" si="17"/>
        <v>175612000[円]</v>
      </c>
      <c r="C1126" s="216">
        <v>175612000</v>
      </c>
      <c r="D1126" s="175" t="s">
        <v>235</v>
      </c>
      <c r="E1126" s="175">
        <v>312.82261678488101</v>
      </c>
      <c r="F1126" s="175" t="s">
        <v>265</v>
      </c>
      <c r="G1126" s="175" t="s">
        <v>1007</v>
      </c>
    </row>
    <row r="1127" spans="1:7">
      <c r="A1127" s="175" t="s">
        <v>3733</v>
      </c>
      <c r="B1127" s="217" t="str">
        <f t="shared" si="17"/>
        <v>175613000[円]</v>
      </c>
      <c r="C1127" s="216">
        <v>175613000</v>
      </c>
      <c r="D1127" s="175" t="s">
        <v>235</v>
      </c>
      <c r="E1127" s="175">
        <v>4036.4170040485801</v>
      </c>
      <c r="F1127" s="175" t="s">
        <v>265</v>
      </c>
      <c r="G1127" s="175" t="s">
        <v>1008</v>
      </c>
    </row>
    <row r="1128" spans="1:7">
      <c r="A1128" s="175" t="s">
        <v>3734</v>
      </c>
      <c r="B1128" s="217" t="str">
        <f t="shared" si="17"/>
        <v>175700000[円]</v>
      </c>
      <c r="C1128" s="216">
        <v>175700000</v>
      </c>
      <c r="D1128" s="175" t="s">
        <v>235</v>
      </c>
      <c r="E1128" s="175">
        <v>777.67846998674497</v>
      </c>
      <c r="F1128" s="175" t="s">
        <v>265</v>
      </c>
      <c r="G1128" s="175" t="s">
        <v>3735</v>
      </c>
    </row>
    <row r="1129" spans="1:7">
      <c r="A1129" s="175" t="s">
        <v>3736</v>
      </c>
      <c r="B1129" s="217" t="str">
        <f t="shared" si="17"/>
        <v>175711000[円]</v>
      </c>
      <c r="C1129" s="216">
        <v>175711000</v>
      </c>
      <c r="D1129" s="175" t="s">
        <v>235</v>
      </c>
      <c r="E1129" s="175">
        <v>777.67846998674497</v>
      </c>
      <c r="F1129" s="175" t="s">
        <v>265</v>
      </c>
      <c r="G1129" s="175" t="s">
        <v>1010</v>
      </c>
    </row>
    <row r="1130" spans="1:7">
      <c r="A1130" s="175" t="s">
        <v>3737</v>
      </c>
      <c r="B1130" s="217" t="str">
        <f t="shared" si="17"/>
        <v>176200000[kg]</v>
      </c>
      <c r="C1130" s="216">
        <v>176200000</v>
      </c>
      <c r="D1130" s="175" t="s">
        <v>265</v>
      </c>
      <c r="E1130" s="175">
        <v>3.4240448766876098E-6</v>
      </c>
      <c r="F1130" s="175" t="s">
        <v>235</v>
      </c>
      <c r="G1130" s="175" t="s">
        <v>3738</v>
      </c>
    </row>
    <row r="1131" spans="1:7">
      <c r="A1131" s="175" t="s">
        <v>3739</v>
      </c>
      <c r="B1131" s="217" t="str">
        <f t="shared" si="17"/>
        <v>176211000[kg]</v>
      </c>
      <c r="C1131" s="216">
        <v>176211000</v>
      </c>
      <c r="D1131" s="175" t="s">
        <v>265</v>
      </c>
      <c r="E1131" s="175">
        <v>3.42404E-6</v>
      </c>
      <c r="F1131" s="175" t="s">
        <v>235</v>
      </c>
      <c r="G1131" s="175" t="s">
        <v>3740</v>
      </c>
    </row>
    <row r="1132" spans="1:7">
      <c r="A1132" s="175" t="s">
        <v>3741</v>
      </c>
      <c r="B1132" s="217" t="str">
        <f t="shared" si="17"/>
        <v>177100000[円]</v>
      </c>
      <c r="C1132" s="216">
        <v>177100000</v>
      </c>
      <c r="D1132" s="175" t="s">
        <v>235</v>
      </c>
      <c r="E1132" s="175">
        <v>39905.493747247601</v>
      </c>
      <c r="F1132" s="175" t="s">
        <v>265</v>
      </c>
      <c r="G1132" s="175" t="s">
        <v>3742</v>
      </c>
    </row>
    <row r="1133" spans="1:7">
      <c r="A1133" s="175" t="s">
        <v>3743</v>
      </c>
      <c r="B1133" s="217" t="str">
        <f t="shared" si="17"/>
        <v>177111000[円]</v>
      </c>
      <c r="C1133" s="216">
        <v>177111000</v>
      </c>
      <c r="D1133" s="175" t="s">
        <v>235</v>
      </c>
      <c r="E1133" s="175">
        <v>14738.941210000001</v>
      </c>
      <c r="F1133" s="175" t="s">
        <v>265</v>
      </c>
      <c r="G1133" s="175" t="s">
        <v>3744</v>
      </c>
    </row>
    <row r="1134" spans="1:7">
      <c r="A1134" s="175" t="s">
        <v>3745</v>
      </c>
      <c r="B1134" s="217" t="str">
        <f t="shared" si="17"/>
        <v>177112000[円]</v>
      </c>
      <c r="C1134" s="216">
        <v>177112000</v>
      </c>
      <c r="D1134" s="175" t="s">
        <v>235</v>
      </c>
      <c r="E1134" s="175">
        <v>57386.472500000003</v>
      </c>
      <c r="F1134" s="175" t="s">
        <v>265</v>
      </c>
      <c r="G1134" s="175" t="s">
        <v>1014</v>
      </c>
    </row>
    <row r="1135" spans="1:7">
      <c r="A1135" s="175" t="s">
        <v>3746</v>
      </c>
      <c r="B1135" s="217" t="str">
        <f t="shared" si="17"/>
        <v>177113000[円]</v>
      </c>
      <c r="C1135" s="216">
        <v>177113000</v>
      </c>
      <c r="D1135" s="175" t="s">
        <v>235</v>
      </c>
      <c r="E1135" s="175">
        <v>93059.943740000002</v>
      </c>
      <c r="F1135" s="175" t="s">
        <v>265</v>
      </c>
      <c r="G1135" s="175" t="s">
        <v>1015</v>
      </c>
    </row>
    <row r="1136" spans="1:7">
      <c r="A1136" s="175" t="s">
        <v>3747</v>
      </c>
      <c r="B1136" s="217" t="str">
        <f t="shared" si="17"/>
        <v>177114000[円]</v>
      </c>
      <c r="C1136" s="216">
        <v>177114000</v>
      </c>
      <c r="D1136" s="175" t="s">
        <v>235</v>
      </c>
      <c r="E1136" s="175">
        <v>160943.37479999999</v>
      </c>
      <c r="F1136" s="175" t="s">
        <v>265</v>
      </c>
      <c r="G1136" s="175" t="s">
        <v>3748</v>
      </c>
    </row>
    <row r="1137" spans="1:7">
      <c r="A1137" s="175" t="s">
        <v>3749</v>
      </c>
      <c r="B1137" s="217" t="str">
        <f t="shared" si="17"/>
        <v>177115000[円]</v>
      </c>
      <c r="C1137" s="216">
        <v>177115000</v>
      </c>
      <c r="D1137" s="175" t="s">
        <v>235</v>
      </c>
      <c r="E1137" s="175">
        <v>6965.8086700000003</v>
      </c>
      <c r="F1137" s="175" t="s">
        <v>265</v>
      </c>
      <c r="G1137" s="175" t="s">
        <v>1016</v>
      </c>
    </row>
    <row r="1138" spans="1:7">
      <c r="A1138" s="175" t="s">
        <v>3750</v>
      </c>
      <c r="B1138" s="217" t="str">
        <f t="shared" si="17"/>
        <v>177116000[円]</v>
      </c>
      <c r="C1138" s="216">
        <v>177116000</v>
      </c>
      <c r="D1138" s="175" t="s">
        <v>235</v>
      </c>
      <c r="E1138" s="175">
        <v>6716.0205079999996</v>
      </c>
      <c r="F1138" s="175" t="s">
        <v>265</v>
      </c>
      <c r="G1138" s="175" t="s">
        <v>1017</v>
      </c>
    </row>
    <row r="1139" spans="1:7">
      <c r="A1139" s="175" t="s">
        <v>3751</v>
      </c>
      <c r="B1139" s="217" t="str">
        <f t="shared" si="17"/>
        <v>177117000[円]</v>
      </c>
      <c r="C1139" s="216">
        <v>177117000</v>
      </c>
      <c r="D1139" s="175" t="s">
        <v>235</v>
      </c>
      <c r="E1139" s="175">
        <v>13062.999830000001</v>
      </c>
      <c r="F1139" s="175" t="s">
        <v>265</v>
      </c>
      <c r="G1139" s="175" t="s">
        <v>1018</v>
      </c>
    </row>
    <row r="1140" spans="1:7">
      <c r="A1140" s="175" t="s">
        <v>3752</v>
      </c>
      <c r="B1140" s="217" t="str">
        <f t="shared" si="17"/>
        <v>177119000[円]</v>
      </c>
      <c r="C1140" s="216">
        <v>177119000</v>
      </c>
      <c r="D1140" s="175" t="s">
        <v>235</v>
      </c>
      <c r="E1140" s="175">
        <v>102254.8112</v>
      </c>
      <c r="F1140" s="175" t="s">
        <v>265</v>
      </c>
      <c r="G1140" s="175" t="s">
        <v>1019</v>
      </c>
    </row>
    <row r="1141" spans="1:7">
      <c r="A1141" s="175" t="s">
        <v>3753</v>
      </c>
      <c r="B1141" s="217" t="str">
        <f t="shared" si="17"/>
        <v>177200000[円]</v>
      </c>
      <c r="C1141" s="216">
        <v>177200000</v>
      </c>
      <c r="D1141" s="175" t="s">
        <v>235</v>
      </c>
      <c r="E1141" s="175">
        <v>963.23047208252001</v>
      </c>
      <c r="F1141" s="175" t="s">
        <v>265</v>
      </c>
      <c r="G1141" s="175" t="s">
        <v>3754</v>
      </c>
    </row>
    <row r="1142" spans="1:7">
      <c r="A1142" s="175" t="s">
        <v>3755</v>
      </c>
      <c r="B1142" s="217" t="str">
        <f t="shared" si="17"/>
        <v>177211000[円]</v>
      </c>
      <c r="C1142" s="216">
        <v>177211000</v>
      </c>
      <c r="D1142" s="175" t="s">
        <v>235</v>
      </c>
      <c r="E1142" s="175">
        <v>694.840642</v>
      </c>
      <c r="F1142" s="175" t="s">
        <v>265</v>
      </c>
      <c r="G1142" s="175" t="s">
        <v>3756</v>
      </c>
    </row>
    <row r="1143" spans="1:7">
      <c r="A1143" s="175" t="s">
        <v>3757</v>
      </c>
      <c r="B1143" s="217" t="str">
        <f t="shared" si="17"/>
        <v>177212000[円]</v>
      </c>
      <c r="C1143" s="216">
        <v>177212000</v>
      </c>
      <c r="D1143" s="175" t="s">
        <v>235</v>
      </c>
      <c r="E1143" s="175">
        <v>1799.415072</v>
      </c>
      <c r="F1143" s="175" t="s">
        <v>265</v>
      </c>
      <c r="G1143" s="175" t="s">
        <v>1020</v>
      </c>
    </row>
    <row r="1144" spans="1:7">
      <c r="A1144" s="175" t="s">
        <v>3758</v>
      </c>
      <c r="B1144" s="217" t="str">
        <f t="shared" si="17"/>
        <v>177213000[円]</v>
      </c>
      <c r="C1144" s="216">
        <v>177213000</v>
      </c>
      <c r="D1144" s="175" t="s">
        <v>235</v>
      </c>
      <c r="E1144" s="175">
        <v>1799.415072</v>
      </c>
      <c r="F1144" s="175" t="s">
        <v>265</v>
      </c>
      <c r="G1144" s="175" t="s">
        <v>1021</v>
      </c>
    </row>
    <row r="1145" spans="1:7">
      <c r="A1145" s="175" t="s">
        <v>3759</v>
      </c>
      <c r="B1145" s="217" t="str">
        <f t="shared" si="17"/>
        <v>177219000[円]</v>
      </c>
      <c r="C1145" s="216">
        <v>177219000</v>
      </c>
      <c r="D1145" s="175" t="s">
        <v>235</v>
      </c>
      <c r="E1145" s="175">
        <v>2043.445849</v>
      </c>
      <c r="F1145" s="175" t="s">
        <v>265</v>
      </c>
      <c r="G1145" s="175" t="s">
        <v>1022</v>
      </c>
    </row>
    <row r="1146" spans="1:7">
      <c r="A1146" s="175" t="s">
        <v>3760</v>
      </c>
      <c r="B1146" s="217" t="str">
        <f t="shared" si="17"/>
        <v>179100000[kg]</v>
      </c>
      <c r="C1146" s="216">
        <v>179100000</v>
      </c>
      <c r="D1146" s="175" t="s">
        <v>265</v>
      </c>
      <c r="E1146" s="175">
        <v>3.4400696160115001E-3</v>
      </c>
      <c r="F1146" s="175" t="s">
        <v>235</v>
      </c>
      <c r="G1146" s="175" t="s">
        <v>3761</v>
      </c>
    </row>
    <row r="1147" spans="1:7">
      <c r="A1147" s="175" t="s">
        <v>3762</v>
      </c>
      <c r="B1147" s="217" t="str">
        <f t="shared" si="17"/>
        <v>179111000[円]</v>
      </c>
      <c r="C1147" s="216">
        <v>179111000</v>
      </c>
      <c r="D1147" s="175" t="s">
        <v>235</v>
      </c>
      <c r="E1147" s="175">
        <v>284.46354239999999</v>
      </c>
      <c r="F1147" s="175" t="s">
        <v>265</v>
      </c>
      <c r="G1147" s="175" t="s">
        <v>1025</v>
      </c>
    </row>
    <row r="1148" spans="1:7">
      <c r="A1148" s="175" t="s">
        <v>3763</v>
      </c>
      <c r="B1148" s="217" t="str">
        <f t="shared" si="17"/>
        <v>179121000[円]</v>
      </c>
      <c r="C1148" s="216">
        <v>179121000</v>
      </c>
      <c r="D1148" s="175" t="s">
        <v>235</v>
      </c>
      <c r="E1148" s="175">
        <v>145.17864</v>
      </c>
      <c r="F1148" s="175" t="s">
        <v>265</v>
      </c>
      <c r="G1148" s="175" t="s">
        <v>1027</v>
      </c>
    </row>
    <row r="1149" spans="1:7">
      <c r="A1149" s="175" t="s">
        <v>3764</v>
      </c>
      <c r="B1149" s="217" t="str">
        <f t="shared" si="17"/>
        <v>179200000[円]</v>
      </c>
      <c r="C1149" s="216">
        <v>179200000</v>
      </c>
      <c r="D1149" s="175" t="s">
        <v>235</v>
      </c>
      <c r="E1149" s="175">
        <v>1384.09913026137</v>
      </c>
      <c r="F1149" s="175" t="s">
        <v>265</v>
      </c>
      <c r="G1149" s="175" t="s">
        <v>3765</v>
      </c>
    </row>
    <row r="1150" spans="1:7">
      <c r="A1150" s="175" t="s">
        <v>3766</v>
      </c>
      <c r="B1150" s="217" t="str">
        <f t="shared" si="17"/>
        <v>179211000[円]</v>
      </c>
      <c r="C1150" s="216">
        <v>179211000</v>
      </c>
      <c r="D1150" s="175" t="s">
        <v>235</v>
      </c>
      <c r="E1150" s="175">
        <v>1176.2280000000001</v>
      </c>
      <c r="F1150" s="175" t="s">
        <v>265</v>
      </c>
      <c r="G1150" s="175" t="s">
        <v>1028</v>
      </c>
    </row>
    <row r="1151" spans="1:7">
      <c r="A1151" s="175" t="s">
        <v>3767</v>
      </c>
      <c r="B1151" s="217" t="str">
        <f t="shared" si="17"/>
        <v>179221000[円]</v>
      </c>
      <c r="C1151" s="216">
        <v>179221000</v>
      </c>
      <c r="D1151" s="175" t="s">
        <v>235</v>
      </c>
      <c r="E1151" s="175">
        <v>1421.712</v>
      </c>
      <c r="F1151" s="175" t="s">
        <v>265</v>
      </c>
      <c r="G1151" s="175" t="s">
        <v>1029</v>
      </c>
    </row>
    <row r="1152" spans="1:7">
      <c r="A1152" s="175" t="s">
        <v>3768</v>
      </c>
      <c r="B1152" s="217" t="str">
        <f t="shared" si="17"/>
        <v>179229000[円]</v>
      </c>
      <c r="C1152" s="216">
        <v>179229000</v>
      </c>
      <c r="D1152" s="175" t="s">
        <v>235</v>
      </c>
      <c r="E1152" s="175">
        <v>1583.7460000000001</v>
      </c>
      <c r="F1152" s="175" t="s">
        <v>265</v>
      </c>
      <c r="G1152" s="175" t="s">
        <v>1030</v>
      </c>
    </row>
    <row r="1153" spans="1:7">
      <c r="A1153" s="175" t="s">
        <v>3769</v>
      </c>
      <c r="B1153" s="217" t="str">
        <f t="shared" si="17"/>
        <v>179300000[円]</v>
      </c>
      <c r="C1153" s="216">
        <v>179300000</v>
      </c>
      <c r="D1153" s="175" t="s">
        <v>235</v>
      </c>
      <c r="E1153" s="175">
        <v>1956.9352230495399</v>
      </c>
      <c r="F1153" s="175" t="s">
        <v>265</v>
      </c>
      <c r="G1153" s="175" t="s">
        <v>3770</v>
      </c>
    </row>
    <row r="1154" spans="1:7">
      <c r="A1154" s="175" t="s">
        <v>3771</v>
      </c>
      <c r="B1154" s="217" t="str">
        <f t="shared" ref="B1154:B1217" si="18">C1154&amp;"["&amp;F1154&amp;"]"</f>
        <v>179311000[円]</v>
      </c>
      <c r="C1154" s="216">
        <v>179311000</v>
      </c>
      <c r="D1154" s="175" t="s">
        <v>235</v>
      </c>
      <c r="E1154" s="175">
        <v>1869.16350461141</v>
      </c>
      <c r="F1154" s="175" t="s">
        <v>265</v>
      </c>
      <c r="G1154" s="175" t="s">
        <v>1031</v>
      </c>
    </row>
    <row r="1155" spans="1:7">
      <c r="A1155" s="175" t="s">
        <v>3772</v>
      </c>
      <c r="B1155" s="217" t="str">
        <f t="shared" si="18"/>
        <v>179312000[円]</v>
      </c>
      <c r="C1155" s="216">
        <v>179312000</v>
      </c>
      <c r="D1155" s="175" t="s">
        <v>235</v>
      </c>
      <c r="E1155" s="175">
        <v>2572.0417913903998</v>
      </c>
      <c r="F1155" s="175" t="s">
        <v>265</v>
      </c>
      <c r="G1155" s="175" t="s">
        <v>1032</v>
      </c>
    </row>
    <row r="1156" spans="1:7">
      <c r="A1156" s="175" t="s">
        <v>3773</v>
      </c>
      <c r="B1156" s="217" t="str">
        <f t="shared" si="18"/>
        <v>179313000[円]</v>
      </c>
      <c r="C1156" s="216">
        <v>179313000</v>
      </c>
      <c r="D1156" s="175" t="s">
        <v>235</v>
      </c>
      <c r="E1156" s="175">
        <v>1838.57918138542</v>
      </c>
      <c r="F1156" s="175" t="s">
        <v>265</v>
      </c>
      <c r="G1156" s="175" t="s">
        <v>1033</v>
      </c>
    </row>
    <row r="1157" spans="1:7">
      <c r="A1157" s="175" t="s">
        <v>3774</v>
      </c>
      <c r="B1157" s="217" t="str">
        <f t="shared" si="18"/>
        <v>179400000[kg]</v>
      </c>
      <c r="C1157" s="216">
        <v>179400000</v>
      </c>
      <c r="D1157" s="175" t="s">
        <v>265</v>
      </c>
      <c r="E1157" s="175">
        <v>2.1641495549771998E-3</v>
      </c>
      <c r="F1157" s="175" t="s">
        <v>235</v>
      </c>
      <c r="G1157" s="175" t="s">
        <v>3775</v>
      </c>
    </row>
    <row r="1158" spans="1:7">
      <c r="A1158" s="175" t="s">
        <v>3776</v>
      </c>
      <c r="B1158" s="217" t="str">
        <f t="shared" si="18"/>
        <v>179411000[円]</v>
      </c>
      <c r="C1158" s="216">
        <v>179411000</v>
      </c>
      <c r="D1158" s="175" t="s">
        <v>235</v>
      </c>
      <c r="E1158" s="175">
        <v>998.63293697632605</v>
      </c>
      <c r="F1158" s="175" t="s">
        <v>265</v>
      </c>
      <c r="G1158" s="175" t="s">
        <v>3777</v>
      </c>
    </row>
    <row r="1159" spans="1:7">
      <c r="A1159" s="175" t="s">
        <v>3778</v>
      </c>
      <c r="B1159" s="217" t="str">
        <f t="shared" si="18"/>
        <v>179412000[円]</v>
      </c>
      <c r="C1159" s="216">
        <v>179412000</v>
      </c>
      <c r="D1159" s="175" t="s">
        <v>235</v>
      </c>
      <c r="E1159" s="175">
        <v>306.32877745642799</v>
      </c>
      <c r="F1159" s="175" t="s">
        <v>265</v>
      </c>
      <c r="G1159" s="175" t="s">
        <v>3779</v>
      </c>
    </row>
    <row r="1160" spans="1:7">
      <c r="A1160" s="175" t="s">
        <v>3780</v>
      </c>
      <c r="B1160" s="217" t="str">
        <f t="shared" si="18"/>
        <v>179419000[kg]</v>
      </c>
      <c r="C1160" s="216">
        <v>179419000</v>
      </c>
      <c r="D1160" s="175" t="s">
        <v>265</v>
      </c>
      <c r="E1160" s="175">
        <v>2.31660231660232E-3</v>
      </c>
      <c r="F1160" s="175" t="s">
        <v>235</v>
      </c>
      <c r="G1160" s="175" t="s">
        <v>1038</v>
      </c>
    </row>
    <row r="1161" spans="1:7">
      <c r="A1161" s="175" t="s">
        <v>3781</v>
      </c>
      <c r="B1161" s="217" t="str">
        <f t="shared" si="18"/>
        <v>179500000[m2]</v>
      </c>
      <c r="C1161" s="216">
        <v>179500000</v>
      </c>
      <c r="D1161" s="175" t="s">
        <v>265</v>
      </c>
      <c r="E1161" s="175">
        <v>1.5240336440096799E-3</v>
      </c>
      <c r="F1161" s="175" t="s">
        <v>425</v>
      </c>
      <c r="G1161" s="175" t="s">
        <v>3782</v>
      </c>
    </row>
    <row r="1162" spans="1:7">
      <c r="A1162" s="175" t="s">
        <v>3783</v>
      </c>
      <c r="B1162" s="217" t="str">
        <f t="shared" si="18"/>
        <v>179511000[円]</v>
      </c>
      <c r="C1162" s="216">
        <v>179511000</v>
      </c>
      <c r="D1162" s="175" t="s">
        <v>425</v>
      </c>
      <c r="E1162" s="175">
        <v>402.019684752415</v>
      </c>
      <c r="F1162" s="175" t="s">
        <v>265</v>
      </c>
      <c r="G1162" s="175" t="s">
        <v>3784</v>
      </c>
    </row>
    <row r="1163" spans="1:7">
      <c r="A1163" s="175" t="s">
        <v>3785</v>
      </c>
      <c r="B1163" s="217" t="str">
        <f t="shared" si="18"/>
        <v>179512000[円]</v>
      </c>
      <c r="C1163" s="216">
        <v>179512000</v>
      </c>
      <c r="D1163" s="175" t="s">
        <v>629</v>
      </c>
      <c r="E1163" s="175">
        <v>55.4120296767356</v>
      </c>
      <c r="F1163" s="175" t="s">
        <v>265</v>
      </c>
      <c r="G1163" s="175" t="s">
        <v>1039</v>
      </c>
    </row>
    <row r="1164" spans="1:7">
      <c r="A1164" s="175" t="s">
        <v>3786</v>
      </c>
      <c r="B1164" s="217" t="str">
        <f t="shared" si="18"/>
        <v>179513000[円]</v>
      </c>
      <c r="C1164" s="216">
        <v>179513000</v>
      </c>
      <c r="D1164" s="175" t="s">
        <v>425</v>
      </c>
      <c r="E1164" s="175">
        <v>204.165482100291</v>
      </c>
      <c r="F1164" s="175" t="s">
        <v>265</v>
      </c>
      <c r="G1164" s="175" t="s">
        <v>1040</v>
      </c>
    </row>
    <row r="1165" spans="1:7">
      <c r="A1165" s="175" t="s">
        <v>3787</v>
      </c>
      <c r="B1165" s="217" t="str">
        <f t="shared" si="18"/>
        <v>179514000[円]</v>
      </c>
      <c r="C1165" s="216">
        <v>179514000</v>
      </c>
      <c r="D1165" s="175" t="s">
        <v>425</v>
      </c>
      <c r="E1165" s="175">
        <v>35.561066570539097</v>
      </c>
      <c r="F1165" s="175" t="s">
        <v>265</v>
      </c>
      <c r="G1165" s="175" t="s">
        <v>3788</v>
      </c>
    </row>
    <row r="1166" spans="1:7">
      <c r="A1166" s="175" t="s">
        <v>3789</v>
      </c>
      <c r="B1166" s="217" t="str">
        <f t="shared" si="18"/>
        <v>179611000[kg]</v>
      </c>
      <c r="C1166" s="216">
        <v>179611000</v>
      </c>
      <c r="D1166" s="175" t="s">
        <v>265</v>
      </c>
      <c r="E1166" s="175">
        <v>4.0000000000000001E-3</v>
      </c>
      <c r="F1166" s="175" t="s">
        <v>235</v>
      </c>
      <c r="G1166" s="175" t="s">
        <v>3790</v>
      </c>
    </row>
    <row r="1167" spans="1:7">
      <c r="A1167" s="175" t="s">
        <v>3791</v>
      </c>
      <c r="B1167" s="217" t="str">
        <f t="shared" si="18"/>
        <v>179612000[kg]</v>
      </c>
      <c r="C1167" s="216">
        <v>179612000</v>
      </c>
      <c r="D1167" s="175" t="s">
        <v>265</v>
      </c>
      <c r="E1167" s="175">
        <v>8.3333300000000001E-4</v>
      </c>
      <c r="F1167" s="175" t="s">
        <v>235</v>
      </c>
      <c r="G1167" s="175" t="s">
        <v>1042</v>
      </c>
    </row>
    <row r="1168" spans="1:7">
      <c r="A1168" s="175" t="s">
        <v>3792</v>
      </c>
      <c r="B1168" s="217" t="str">
        <f t="shared" si="18"/>
        <v>179900000[kg]</v>
      </c>
      <c r="C1168" s="216">
        <v>179900000</v>
      </c>
      <c r="D1168" s="175" t="s">
        <v>265</v>
      </c>
      <c r="E1168" s="175">
        <v>5.3759829121893098E-3</v>
      </c>
      <c r="F1168" s="175" t="s">
        <v>235</v>
      </c>
      <c r="G1168" s="175" t="s">
        <v>3793</v>
      </c>
    </row>
    <row r="1169" spans="1:7">
      <c r="A1169" s="175" t="s">
        <v>3794</v>
      </c>
      <c r="B1169" s="217" t="str">
        <f t="shared" si="18"/>
        <v>179911000[円]</v>
      </c>
      <c r="C1169" s="216">
        <v>179911000</v>
      </c>
      <c r="D1169" s="175" t="s">
        <v>235</v>
      </c>
      <c r="E1169" s="175">
        <v>216.530376424813</v>
      </c>
      <c r="F1169" s="175" t="s">
        <v>265</v>
      </c>
      <c r="G1169" s="175" t="s">
        <v>3795</v>
      </c>
    </row>
    <row r="1170" spans="1:7">
      <c r="A1170" s="175" t="s">
        <v>3796</v>
      </c>
      <c r="B1170" s="217" t="str">
        <f t="shared" si="18"/>
        <v>179912000[円]</v>
      </c>
      <c r="C1170" s="216">
        <v>179912000</v>
      </c>
      <c r="D1170" s="175" t="s">
        <v>235</v>
      </c>
      <c r="E1170" s="175">
        <v>207.563736533357</v>
      </c>
      <c r="F1170" s="175" t="s">
        <v>265</v>
      </c>
      <c r="G1170" s="175" t="s">
        <v>1043</v>
      </c>
    </row>
    <row r="1171" spans="1:7">
      <c r="A1171" s="175" t="s">
        <v>3797</v>
      </c>
      <c r="B1171" s="217" t="str">
        <f t="shared" si="18"/>
        <v>179919000[kg]</v>
      </c>
      <c r="C1171" s="216">
        <v>179919000</v>
      </c>
      <c r="D1171" s="175" t="s">
        <v>265</v>
      </c>
      <c r="E1171" s="175">
        <v>1E-3</v>
      </c>
      <c r="F1171" s="175" t="s">
        <v>235</v>
      </c>
      <c r="G1171" s="175" t="s">
        <v>1044</v>
      </c>
    </row>
    <row r="1172" spans="1:7">
      <c r="A1172" s="175" t="s">
        <v>3798</v>
      </c>
      <c r="B1172" s="217" t="str">
        <f t="shared" si="18"/>
        <v>179919100[kg]</v>
      </c>
      <c r="C1172" s="216">
        <v>179919100</v>
      </c>
      <c r="D1172" s="175" t="s">
        <v>278</v>
      </c>
      <c r="E1172" s="175">
        <v>1000</v>
      </c>
      <c r="F1172" s="175" t="s">
        <v>235</v>
      </c>
      <c r="G1172" s="175" t="s">
        <v>3799</v>
      </c>
    </row>
    <row r="1173" spans="1:7">
      <c r="A1173" s="175" t="s">
        <v>3800</v>
      </c>
      <c r="B1173" s="217" t="str">
        <f t="shared" si="18"/>
        <v>179919200[kg]</v>
      </c>
      <c r="C1173" s="216">
        <v>179919200</v>
      </c>
      <c r="D1173" s="175" t="s">
        <v>278</v>
      </c>
      <c r="E1173" s="175">
        <v>1000</v>
      </c>
      <c r="F1173" s="175" t="s">
        <v>235</v>
      </c>
      <c r="G1173" s="175" t="s">
        <v>3801</v>
      </c>
    </row>
    <row r="1174" spans="1:7">
      <c r="A1174" s="175" t="s">
        <v>3802</v>
      </c>
      <c r="B1174" s="217" t="str">
        <f t="shared" si="18"/>
        <v>181100000[L]</v>
      </c>
      <c r="C1174" s="216">
        <v>181100000</v>
      </c>
      <c r="D1174" s="175" t="s">
        <v>265</v>
      </c>
      <c r="E1174" s="175">
        <v>2.01486661411606E-2</v>
      </c>
      <c r="F1174" s="175" t="s">
        <v>400</v>
      </c>
      <c r="G1174" s="175" t="s">
        <v>3803</v>
      </c>
    </row>
    <row r="1175" spans="1:7">
      <c r="A1175" s="175" t="s">
        <v>3804</v>
      </c>
      <c r="B1175" s="217" t="str">
        <f t="shared" si="18"/>
        <v>181111000[kg]</v>
      </c>
      <c r="C1175" s="216">
        <v>181111000</v>
      </c>
      <c r="D1175" s="175" t="s">
        <v>400</v>
      </c>
      <c r="E1175" s="175">
        <v>0.73299999999999998</v>
      </c>
      <c r="F1175" s="175" t="s">
        <v>235</v>
      </c>
      <c r="G1175" s="175" t="s">
        <v>106</v>
      </c>
    </row>
    <row r="1176" spans="1:7">
      <c r="A1176" s="175" t="s">
        <v>3804</v>
      </c>
      <c r="B1176" s="217" t="str">
        <f t="shared" si="18"/>
        <v>181111000[MJ]</v>
      </c>
      <c r="C1176" s="216">
        <v>181111000</v>
      </c>
      <c r="D1176" s="175" t="s">
        <v>400</v>
      </c>
      <c r="E1176" s="175">
        <v>34.6</v>
      </c>
      <c r="F1176" s="175" t="s">
        <v>279</v>
      </c>
      <c r="G1176" s="175" t="s">
        <v>106</v>
      </c>
    </row>
    <row r="1177" spans="1:7">
      <c r="A1177" s="175" t="s">
        <v>3804</v>
      </c>
      <c r="B1177" s="217" t="str">
        <f t="shared" si="18"/>
        <v>181111000[円]</v>
      </c>
      <c r="C1177" s="216">
        <v>181111000</v>
      </c>
      <c r="D1177" s="175" t="s">
        <v>400</v>
      </c>
      <c r="E1177" s="175">
        <v>111.827330109713</v>
      </c>
      <c r="F1177" s="175" t="s">
        <v>265</v>
      </c>
      <c r="G1177" s="175" t="s">
        <v>106</v>
      </c>
    </row>
    <row r="1178" spans="1:7">
      <c r="A1178" s="175" t="s">
        <v>3805</v>
      </c>
      <c r="B1178" s="217" t="str">
        <f t="shared" si="18"/>
        <v>181111801[kg]</v>
      </c>
      <c r="C1178" s="216">
        <v>181111801</v>
      </c>
      <c r="D1178" s="175" t="s">
        <v>279</v>
      </c>
      <c r="E1178" s="175">
        <v>2.1184971098265899E-2</v>
      </c>
      <c r="F1178" s="175" t="s">
        <v>235</v>
      </c>
      <c r="G1178" s="175" t="s">
        <v>3806</v>
      </c>
    </row>
    <row r="1179" spans="1:7">
      <c r="A1179" s="175" t="s">
        <v>3805</v>
      </c>
      <c r="B1179" s="217" t="str">
        <f t="shared" si="18"/>
        <v>181111801[円]</v>
      </c>
      <c r="C1179" s="216">
        <v>181111801</v>
      </c>
      <c r="D1179" s="175" t="s">
        <v>279</v>
      </c>
      <c r="E1179" s="175">
        <v>3.23200376</v>
      </c>
      <c r="F1179" s="175" t="s">
        <v>265</v>
      </c>
      <c r="G1179" s="175" t="s">
        <v>3806</v>
      </c>
    </row>
    <row r="1180" spans="1:7">
      <c r="A1180" s="175" t="s">
        <v>3805</v>
      </c>
      <c r="B1180" s="217" t="str">
        <f t="shared" si="18"/>
        <v>181111801[L]</v>
      </c>
      <c r="C1180" s="216">
        <v>181111801</v>
      </c>
      <c r="D1180" s="175" t="s">
        <v>279</v>
      </c>
      <c r="E1180" s="175">
        <v>2.8901734104046201E-2</v>
      </c>
      <c r="F1180" s="175" t="s">
        <v>400</v>
      </c>
      <c r="G1180" s="175" t="s">
        <v>3806</v>
      </c>
    </row>
    <row r="1181" spans="1:7">
      <c r="A1181" s="175" t="s">
        <v>3807</v>
      </c>
      <c r="B1181" s="217" t="str">
        <f t="shared" si="18"/>
        <v>181112000[kg]</v>
      </c>
      <c r="C1181" s="216">
        <v>181112000</v>
      </c>
      <c r="D1181" s="175" t="s">
        <v>400</v>
      </c>
      <c r="E1181" s="175">
        <v>0.72299999999999998</v>
      </c>
      <c r="F1181" s="175" t="s">
        <v>235</v>
      </c>
      <c r="G1181" s="175" t="s">
        <v>105</v>
      </c>
    </row>
    <row r="1182" spans="1:7">
      <c r="A1182" s="175" t="s">
        <v>3807</v>
      </c>
      <c r="B1182" s="217" t="str">
        <f t="shared" si="18"/>
        <v>181112000[MJ]</v>
      </c>
      <c r="C1182" s="216">
        <v>181112000</v>
      </c>
      <c r="D1182" s="175" t="s">
        <v>400</v>
      </c>
      <c r="E1182" s="175">
        <v>33.6</v>
      </c>
      <c r="F1182" s="175" t="s">
        <v>279</v>
      </c>
      <c r="G1182" s="175" t="s">
        <v>105</v>
      </c>
    </row>
    <row r="1183" spans="1:7">
      <c r="A1183" s="175" t="s">
        <v>3807</v>
      </c>
      <c r="B1183" s="217" t="str">
        <f t="shared" si="18"/>
        <v>181112000[円]</v>
      </c>
      <c r="C1183" s="216">
        <v>181112000</v>
      </c>
      <c r="D1183" s="175" t="s">
        <v>400</v>
      </c>
      <c r="E1183" s="175">
        <v>37.540534600429297</v>
      </c>
      <c r="F1183" s="175" t="s">
        <v>265</v>
      </c>
      <c r="G1183" s="175" t="s">
        <v>105</v>
      </c>
    </row>
    <row r="1184" spans="1:7">
      <c r="A1184" s="175" t="s">
        <v>3808</v>
      </c>
      <c r="B1184" s="217" t="str">
        <f t="shared" si="18"/>
        <v>181112801[円]</v>
      </c>
      <c r="C1184" s="216">
        <v>181112801</v>
      </c>
      <c r="D1184" s="175" t="s">
        <v>279</v>
      </c>
      <c r="E1184" s="175">
        <v>1.117277815</v>
      </c>
      <c r="F1184" s="175" t="s">
        <v>265</v>
      </c>
      <c r="G1184" s="175" t="s">
        <v>3809</v>
      </c>
    </row>
    <row r="1185" spans="1:14">
      <c r="A1185" s="175" t="s">
        <v>3808</v>
      </c>
      <c r="B1185" s="217" t="str">
        <f t="shared" si="18"/>
        <v>181112801[L]</v>
      </c>
      <c r="C1185" s="216">
        <v>181112801</v>
      </c>
      <c r="D1185" s="175" t="s">
        <v>279</v>
      </c>
      <c r="E1185" s="175">
        <v>2.9761904761904798E-2</v>
      </c>
      <c r="F1185" s="175" t="s">
        <v>400</v>
      </c>
      <c r="G1185" s="175" t="s">
        <v>3809</v>
      </c>
    </row>
    <row r="1186" spans="1:14">
      <c r="A1186" s="175" t="s">
        <v>3808</v>
      </c>
      <c r="B1186" s="217" t="str">
        <f t="shared" si="18"/>
        <v>181112801[kg]</v>
      </c>
      <c r="C1186" s="216">
        <v>181112801</v>
      </c>
      <c r="D1186" s="175" t="s">
        <v>279</v>
      </c>
      <c r="E1186" s="175">
        <v>2.1517857142857099E-2</v>
      </c>
      <c r="F1186" s="175" t="s">
        <v>235</v>
      </c>
      <c r="G1186" s="175" t="s">
        <v>3809</v>
      </c>
    </row>
    <row r="1187" spans="1:14">
      <c r="A1187" s="175" t="s">
        <v>3810</v>
      </c>
      <c r="B1187" s="217" t="str">
        <f t="shared" si="18"/>
        <v>181113000[MJ]</v>
      </c>
      <c r="C1187" s="216">
        <v>181113000</v>
      </c>
      <c r="D1187" s="175" t="s">
        <v>400</v>
      </c>
      <c r="E1187" s="175">
        <v>36.700000000000003</v>
      </c>
      <c r="F1187" s="175" t="s">
        <v>279</v>
      </c>
      <c r="G1187" s="175" t="s">
        <v>1045</v>
      </c>
    </row>
    <row r="1188" spans="1:14">
      <c r="A1188" s="175" t="s">
        <v>3810</v>
      </c>
      <c r="B1188" s="217" t="str">
        <f t="shared" si="18"/>
        <v>181113000[円]</v>
      </c>
      <c r="C1188" s="216">
        <v>181113000</v>
      </c>
      <c r="D1188" s="175" t="s">
        <v>400</v>
      </c>
      <c r="E1188" s="175">
        <v>55.395744434481898</v>
      </c>
      <c r="F1188" s="175" t="s">
        <v>265</v>
      </c>
      <c r="G1188" s="175" t="s">
        <v>1045</v>
      </c>
    </row>
    <row r="1189" spans="1:14">
      <c r="A1189" s="175" t="s">
        <v>3811</v>
      </c>
      <c r="B1189" s="217" t="str">
        <f t="shared" si="18"/>
        <v>181113801[L]</v>
      </c>
      <c r="C1189" s="216">
        <v>181113801</v>
      </c>
      <c r="D1189" s="175" t="s">
        <v>279</v>
      </c>
      <c r="E1189" s="175">
        <v>2.72479564032698E-2</v>
      </c>
      <c r="F1189" s="175" t="s">
        <v>400</v>
      </c>
      <c r="G1189" s="175" t="s">
        <v>3812</v>
      </c>
    </row>
    <row r="1190" spans="1:14">
      <c r="A1190" s="175" t="s">
        <v>3811</v>
      </c>
      <c r="B1190" s="217" t="str">
        <f t="shared" si="18"/>
        <v>181113801[円]</v>
      </c>
      <c r="C1190" s="216">
        <v>181113801</v>
      </c>
      <c r="D1190" s="175" t="s">
        <v>279</v>
      </c>
      <c r="E1190" s="175">
        <v>1.509420829</v>
      </c>
      <c r="F1190" s="175" t="s">
        <v>265</v>
      </c>
      <c r="G1190" s="175" t="s">
        <v>3812</v>
      </c>
    </row>
    <row r="1191" spans="1:14">
      <c r="A1191" s="175" t="s">
        <v>3813</v>
      </c>
      <c r="B1191" s="217" t="str">
        <f t="shared" si="18"/>
        <v>181114000[MJ]</v>
      </c>
      <c r="C1191" s="216">
        <v>181114000</v>
      </c>
      <c r="D1191" s="175" t="s">
        <v>400</v>
      </c>
      <c r="E1191" s="175">
        <v>36.700000000000003</v>
      </c>
      <c r="F1191" s="175" t="s">
        <v>279</v>
      </c>
      <c r="G1191" s="175" t="s">
        <v>107</v>
      </c>
    </row>
    <row r="1192" spans="1:14">
      <c r="A1192" s="175" t="s">
        <v>3813</v>
      </c>
      <c r="B1192" s="217" t="str">
        <f t="shared" si="18"/>
        <v>181114000[円]</v>
      </c>
      <c r="C1192" s="216">
        <v>181114000</v>
      </c>
      <c r="D1192" s="175" t="s">
        <v>400</v>
      </c>
      <c r="E1192" s="175">
        <v>57.571751635218398</v>
      </c>
      <c r="F1192" s="175" t="s">
        <v>265</v>
      </c>
      <c r="G1192" s="175" t="s">
        <v>107</v>
      </c>
    </row>
    <row r="1193" spans="1:14">
      <c r="A1193" s="175" t="s">
        <v>3813</v>
      </c>
      <c r="B1193" s="217" t="str">
        <f t="shared" si="18"/>
        <v>181114000[kg]</v>
      </c>
      <c r="C1193" s="216">
        <v>181114000</v>
      </c>
      <c r="D1193" s="175" t="s">
        <v>400</v>
      </c>
      <c r="E1193" s="175">
        <v>0.79200000000000004</v>
      </c>
      <c r="F1193" s="175" t="s">
        <v>235</v>
      </c>
      <c r="G1193" s="175" t="s">
        <v>107</v>
      </c>
      <c r="N1193">
        <f>1/E1194</f>
        <v>36.699999999999939</v>
      </c>
    </row>
    <row r="1194" spans="1:14">
      <c r="A1194" s="175" t="s">
        <v>3814</v>
      </c>
      <c r="B1194" s="217" t="str">
        <f t="shared" si="18"/>
        <v>181114801[L]</v>
      </c>
      <c r="C1194" s="216">
        <v>181114801</v>
      </c>
      <c r="D1194" s="175" t="s">
        <v>279</v>
      </c>
      <c r="E1194" s="175">
        <v>2.72479564032698E-2</v>
      </c>
      <c r="F1194" s="175" t="s">
        <v>400</v>
      </c>
      <c r="G1194" s="175" t="s">
        <v>3815</v>
      </c>
    </row>
    <row r="1195" spans="1:14">
      <c r="A1195" s="175" t="s">
        <v>3814</v>
      </c>
      <c r="B1195" s="217" t="str">
        <f t="shared" si="18"/>
        <v>181114801[kg]</v>
      </c>
      <c r="C1195" s="216">
        <v>181114801</v>
      </c>
      <c r="D1195" s="175" t="s">
        <v>279</v>
      </c>
      <c r="E1195" s="175">
        <v>2.15803814713896E-2</v>
      </c>
      <c r="F1195" s="175" t="s">
        <v>235</v>
      </c>
      <c r="G1195" s="175" t="s">
        <v>3815</v>
      </c>
    </row>
    <row r="1196" spans="1:14">
      <c r="A1196" s="175" t="s">
        <v>3814</v>
      </c>
      <c r="B1196" s="217" t="str">
        <f t="shared" si="18"/>
        <v>181114801[円]</v>
      </c>
      <c r="C1196" s="216">
        <v>181114801</v>
      </c>
      <c r="D1196" s="175" t="s">
        <v>279</v>
      </c>
      <c r="E1196" s="175">
        <v>1.5687125790000001</v>
      </c>
      <c r="F1196" s="175" t="s">
        <v>265</v>
      </c>
      <c r="G1196" s="175" t="s">
        <v>3815</v>
      </c>
    </row>
    <row r="1197" spans="1:14">
      <c r="A1197" s="175" t="s">
        <v>3816</v>
      </c>
      <c r="B1197" s="217" t="str">
        <f t="shared" si="18"/>
        <v>181114874[L]</v>
      </c>
      <c r="C1197" s="216">
        <v>181114874</v>
      </c>
      <c r="D1197" s="175" t="s">
        <v>279</v>
      </c>
      <c r="E1197" s="175">
        <v>2.72479564032698E-2</v>
      </c>
      <c r="F1197" s="175" t="s">
        <v>400</v>
      </c>
      <c r="G1197" s="175" t="s">
        <v>3817</v>
      </c>
    </row>
    <row r="1198" spans="1:14">
      <c r="A1198" s="175" t="s">
        <v>3818</v>
      </c>
      <c r="B1198" s="217" t="str">
        <f t="shared" si="18"/>
        <v>181115000[円]</v>
      </c>
      <c r="C1198" s="216">
        <v>181115000</v>
      </c>
      <c r="D1198" s="175" t="s">
        <v>400</v>
      </c>
      <c r="E1198" s="175">
        <v>58.641279893702503</v>
      </c>
      <c r="F1198" s="175" t="s">
        <v>265</v>
      </c>
      <c r="G1198" s="175" t="s">
        <v>45</v>
      </c>
    </row>
    <row r="1199" spans="1:14">
      <c r="A1199" s="175" t="s">
        <v>3818</v>
      </c>
      <c r="B1199" s="217" t="str">
        <f t="shared" si="18"/>
        <v>181115000[kg]</v>
      </c>
      <c r="C1199" s="216">
        <v>181115000</v>
      </c>
      <c r="D1199" s="175" t="s">
        <v>400</v>
      </c>
      <c r="E1199" s="175">
        <v>0.83299999999999996</v>
      </c>
      <c r="F1199" s="175" t="s">
        <v>235</v>
      </c>
      <c r="G1199" s="175" t="s">
        <v>45</v>
      </c>
    </row>
    <row r="1200" spans="1:14">
      <c r="A1200" s="175" t="s">
        <v>3818</v>
      </c>
      <c r="B1200" s="217" t="str">
        <f t="shared" si="18"/>
        <v>181115000[MJ]</v>
      </c>
      <c r="C1200" s="216">
        <v>181115000</v>
      </c>
      <c r="D1200" s="175" t="s">
        <v>400</v>
      </c>
      <c r="E1200" s="175">
        <v>37.299999999999997</v>
      </c>
      <c r="F1200" s="175" t="s">
        <v>279</v>
      </c>
      <c r="G1200" s="175" t="s">
        <v>45</v>
      </c>
    </row>
    <row r="1201" spans="1:7">
      <c r="A1201" s="175" t="s">
        <v>3819</v>
      </c>
      <c r="B1201" s="217" t="str">
        <f t="shared" si="18"/>
        <v>181115801[円]</v>
      </c>
      <c r="C1201" s="216">
        <v>181115801</v>
      </c>
      <c r="D1201" s="175" t="s">
        <v>279</v>
      </c>
      <c r="E1201" s="175">
        <v>1.572152276</v>
      </c>
      <c r="F1201" s="175" t="s">
        <v>265</v>
      </c>
      <c r="G1201" s="175" t="s">
        <v>3820</v>
      </c>
    </row>
    <row r="1202" spans="1:7">
      <c r="A1202" s="175" t="s">
        <v>3819</v>
      </c>
      <c r="B1202" s="217" t="str">
        <f t="shared" si="18"/>
        <v>181115801[kg]</v>
      </c>
      <c r="C1202" s="216">
        <v>181115801</v>
      </c>
      <c r="D1202" s="175" t="s">
        <v>279</v>
      </c>
      <c r="E1202" s="175">
        <v>2.2332439678284199E-2</v>
      </c>
      <c r="F1202" s="175" t="s">
        <v>235</v>
      </c>
      <c r="G1202" s="175" t="s">
        <v>3820</v>
      </c>
    </row>
    <row r="1203" spans="1:7">
      <c r="A1203" s="175" t="s">
        <v>3819</v>
      </c>
      <c r="B1203" s="217" t="str">
        <f t="shared" si="18"/>
        <v>181115801[L]</v>
      </c>
      <c r="C1203" s="216">
        <v>181115801</v>
      </c>
      <c r="D1203" s="175" t="s">
        <v>279</v>
      </c>
      <c r="E1203" s="175">
        <v>2.68096514745308E-2</v>
      </c>
      <c r="F1203" s="175" t="s">
        <v>400</v>
      </c>
      <c r="G1203" s="175" t="s">
        <v>3820</v>
      </c>
    </row>
    <row r="1204" spans="1:7">
      <c r="A1204" s="175" t="s">
        <v>3821</v>
      </c>
      <c r="B1204" s="217" t="str">
        <f t="shared" si="18"/>
        <v>181115874[L]</v>
      </c>
      <c r="C1204" s="216">
        <v>181115874</v>
      </c>
      <c r="D1204" s="175" t="s">
        <v>279</v>
      </c>
      <c r="E1204" s="175">
        <v>2.6525198999999999E-2</v>
      </c>
      <c r="F1204" s="175" t="s">
        <v>400</v>
      </c>
      <c r="G1204" s="175" t="s">
        <v>3822</v>
      </c>
    </row>
    <row r="1205" spans="1:7">
      <c r="A1205" s="175" t="s">
        <v>3823</v>
      </c>
      <c r="B1205" s="217" t="str">
        <f t="shared" si="18"/>
        <v>181115875[L]</v>
      </c>
      <c r="C1205" s="216">
        <v>181115875</v>
      </c>
      <c r="D1205" s="175" t="s">
        <v>279</v>
      </c>
      <c r="E1205" s="175">
        <v>2.6525198999999999E-2</v>
      </c>
      <c r="F1205" s="175" t="s">
        <v>400</v>
      </c>
      <c r="G1205" s="175" t="s">
        <v>3824</v>
      </c>
    </row>
    <row r="1206" spans="1:7">
      <c r="A1206" s="175" t="s">
        <v>3825</v>
      </c>
      <c r="B1206" s="217" t="str">
        <f t="shared" si="18"/>
        <v>181116000[円]</v>
      </c>
      <c r="C1206" s="216">
        <v>181116000</v>
      </c>
      <c r="D1206" s="175" t="s">
        <v>400</v>
      </c>
      <c r="E1206" s="175">
        <v>55.852431699580102</v>
      </c>
      <c r="F1206" s="175" t="s">
        <v>265</v>
      </c>
      <c r="G1206" s="175" t="s">
        <v>109</v>
      </c>
    </row>
    <row r="1207" spans="1:7">
      <c r="A1207" s="175" t="s">
        <v>3825</v>
      </c>
      <c r="B1207" s="217" t="str">
        <f t="shared" si="18"/>
        <v>181116000[kg]</v>
      </c>
      <c r="C1207" s="216">
        <v>181116000</v>
      </c>
      <c r="D1207" s="175" t="s">
        <v>400</v>
      </c>
      <c r="E1207" s="175">
        <v>0.86</v>
      </c>
      <c r="F1207" s="175" t="s">
        <v>235</v>
      </c>
      <c r="G1207" s="175" t="s">
        <v>109</v>
      </c>
    </row>
    <row r="1208" spans="1:7">
      <c r="A1208" s="175" t="s">
        <v>3825</v>
      </c>
      <c r="B1208" s="217" t="str">
        <f t="shared" si="18"/>
        <v>181116000[MJ]</v>
      </c>
      <c r="C1208" s="216">
        <v>181116000</v>
      </c>
      <c r="D1208" s="175" t="s">
        <v>400</v>
      </c>
      <c r="E1208" s="175">
        <v>39.1</v>
      </c>
      <c r="F1208" s="175" t="s">
        <v>279</v>
      </c>
      <c r="G1208" s="175" t="s">
        <v>109</v>
      </c>
    </row>
    <row r="1209" spans="1:7">
      <c r="A1209" s="175" t="s">
        <v>3826</v>
      </c>
      <c r="B1209" s="217" t="str">
        <f t="shared" si="18"/>
        <v>181116801[L]</v>
      </c>
      <c r="C1209" s="216">
        <v>181116801</v>
      </c>
      <c r="D1209" s="175" t="s">
        <v>279</v>
      </c>
      <c r="E1209" s="175">
        <v>2.5575447570332501E-2</v>
      </c>
      <c r="F1209" s="175" t="s">
        <v>400</v>
      </c>
      <c r="G1209" s="175" t="s">
        <v>3827</v>
      </c>
    </row>
    <row r="1210" spans="1:7">
      <c r="A1210" s="175" t="s">
        <v>3826</v>
      </c>
      <c r="B1210" s="217" t="str">
        <f t="shared" si="18"/>
        <v>181116801[kg]</v>
      </c>
      <c r="C1210" s="216">
        <v>181116801</v>
      </c>
      <c r="D1210" s="175" t="s">
        <v>279</v>
      </c>
      <c r="E1210" s="175">
        <v>2.1994884910485901E-2</v>
      </c>
      <c r="F1210" s="175" t="s">
        <v>235</v>
      </c>
      <c r="G1210" s="175" t="s">
        <v>3827</v>
      </c>
    </row>
    <row r="1211" spans="1:7">
      <c r="A1211" s="175" t="s">
        <v>3826</v>
      </c>
      <c r="B1211" s="217" t="str">
        <f t="shared" si="18"/>
        <v>181116801[円]</v>
      </c>
      <c r="C1211" s="216">
        <v>181116801</v>
      </c>
      <c r="D1211" s="175" t="s">
        <v>279</v>
      </c>
      <c r="E1211" s="175">
        <v>1.428450939</v>
      </c>
      <c r="F1211" s="175" t="s">
        <v>265</v>
      </c>
      <c r="G1211" s="175" t="s">
        <v>3827</v>
      </c>
    </row>
    <row r="1212" spans="1:7">
      <c r="A1212" s="175" t="s">
        <v>3828</v>
      </c>
      <c r="B1212" s="217" t="str">
        <f t="shared" si="18"/>
        <v>181117000[円]</v>
      </c>
      <c r="C1212" s="216">
        <v>181117000</v>
      </c>
      <c r="D1212" s="175" t="s">
        <v>400</v>
      </c>
      <c r="E1212" s="175">
        <v>42.455028849417403</v>
      </c>
      <c r="F1212" s="175" t="s">
        <v>265</v>
      </c>
      <c r="G1212" s="175" t="s">
        <v>110</v>
      </c>
    </row>
    <row r="1213" spans="1:7">
      <c r="A1213" s="175" t="s">
        <v>3828</v>
      </c>
      <c r="B1213" s="217" t="str">
        <f t="shared" si="18"/>
        <v>181117000[kg]</v>
      </c>
      <c r="C1213" s="216">
        <v>181117000</v>
      </c>
      <c r="D1213" s="175" t="s">
        <v>400</v>
      </c>
      <c r="E1213" s="175">
        <v>0.9</v>
      </c>
      <c r="F1213" s="175" t="s">
        <v>235</v>
      </c>
      <c r="G1213" s="175" t="s">
        <v>110</v>
      </c>
    </row>
    <row r="1214" spans="1:7">
      <c r="A1214" s="175" t="s">
        <v>3828</v>
      </c>
      <c r="B1214" s="217" t="str">
        <f t="shared" si="18"/>
        <v>181117000[MJ]</v>
      </c>
      <c r="C1214" s="216">
        <v>181117000</v>
      </c>
      <c r="D1214" s="175" t="s">
        <v>400</v>
      </c>
      <c r="E1214" s="175">
        <v>40.4</v>
      </c>
      <c r="F1214" s="175" t="s">
        <v>279</v>
      </c>
      <c r="G1214" s="175" t="s">
        <v>110</v>
      </c>
    </row>
    <row r="1215" spans="1:7">
      <c r="A1215" s="175" t="s">
        <v>3829</v>
      </c>
      <c r="B1215" s="217" t="str">
        <f t="shared" si="18"/>
        <v>181117801[円]</v>
      </c>
      <c r="C1215" s="216">
        <v>181117801</v>
      </c>
      <c r="D1215" s="175" t="s">
        <v>279</v>
      </c>
      <c r="E1215" s="175">
        <v>1.050867051</v>
      </c>
      <c r="F1215" s="175" t="s">
        <v>265</v>
      </c>
      <c r="G1215" s="175" t="s">
        <v>3830</v>
      </c>
    </row>
    <row r="1216" spans="1:7">
      <c r="A1216" s="175" t="s">
        <v>3829</v>
      </c>
      <c r="B1216" s="217" t="str">
        <f t="shared" si="18"/>
        <v>181117801[L]</v>
      </c>
      <c r="C1216" s="216">
        <v>181117801</v>
      </c>
      <c r="D1216" s="175" t="s">
        <v>279</v>
      </c>
      <c r="E1216" s="175">
        <v>2.4752475247524799E-2</v>
      </c>
      <c r="F1216" s="175" t="s">
        <v>400</v>
      </c>
      <c r="G1216" s="175" t="s">
        <v>3830</v>
      </c>
    </row>
    <row r="1217" spans="1:7">
      <c r="A1217" s="175" t="s">
        <v>3829</v>
      </c>
      <c r="B1217" s="217" t="str">
        <f t="shared" si="18"/>
        <v>181117801[kg]</v>
      </c>
      <c r="C1217" s="216">
        <v>181117801</v>
      </c>
      <c r="D1217" s="175" t="s">
        <v>279</v>
      </c>
      <c r="E1217" s="175">
        <v>2.22772277227723E-2</v>
      </c>
      <c r="F1217" s="175" t="s">
        <v>235</v>
      </c>
      <c r="G1217" s="175" t="s">
        <v>3830</v>
      </c>
    </row>
    <row r="1218" spans="1:7">
      <c r="A1218" s="175" t="s">
        <v>3831</v>
      </c>
      <c r="B1218" s="217" t="str">
        <f t="shared" ref="B1218:B1281" si="19">C1218&amp;"["&amp;F1218&amp;"]"</f>
        <v>181118000[円]</v>
      </c>
      <c r="C1218" s="216">
        <v>181118000</v>
      </c>
      <c r="D1218" s="175" t="s">
        <v>400</v>
      </c>
      <c r="E1218" s="175">
        <v>48.062160757019498</v>
      </c>
      <c r="F1218" s="175" t="s">
        <v>265</v>
      </c>
      <c r="G1218" s="175" t="s">
        <v>111</v>
      </c>
    </row>
    <row r="1219" spans="1:7">
      <c r="A1219" s="175" t="s">
        <v>3831</v>
      </c>
      <c r="B1219" s="217" t="str">
        <f t="shared" si="19"/>
        <v>181118000[MJ]</v>
      </c>
      <c r="C1219" s="216">
        <v>181118000</v>
      </c>
      <c r="D1219" s="175" t="s">
        <v>400</v>
      </c>
      <c r="E1219" s="175">
        <v>41.9</v>
      </c>
      <c r="F1219" s="175" t="s">
        <v>279</v>
      </c>
      <c r="G1219" s="175" t="s">
        <v>111</v>
      </c>
    </row>
    <row r="1220" spans="1:7">
      <c r="A1220" s="175" t="s">
        <v>3831</v>
      </c>
      <c r="B1220" s="217" t="str">
        <f t="shared" si="19"/>
        <v>181118000[kg]</v>
      </c>
      <c r="C1220" s="216">
        <v>181118000</v>
      </c>
      <c r="D1220" s="175" t="s">
        <v>400</v>
      </c>
      <c r="E1220" s="175">
        <v>0.94</v>
      </c>
      <c r="F1220" s="175" t="s">
        <v>235</v>
      </c>
      <c r="G1220" s="175" t="s">
        <v>111</v>
      </c>
    </row>
    <row r="1221" spans="1:7">
      <c r="A1221" s="175" t="s">
        <v>3832</v>
      </c>
      <c r="B1221" s="217" t="str">
        <f t="shared" si="19"/>
        <v>181118801[L]</v>
      </c>
      <c r="C1221" s="216">
        <v>181118801</v>
      </c>
      <c r="D1221" s="175" t="s">
        <v>279</v>
      </c>
      <c r="E1221" s="175">
        <v>2.3866348448687399E-2</v>
      </c>
      <c r="F1221" s="175" t="s">
        <v>400</v>
      </c>
      <c r="G1221" s="175" t="s">
        <v>3833</v>
      </c>
    </row>
    <row r="1222" spans="1:7">
      <c r="A1222" s="175" t="s">
        <v>3832</v>
      </c>
      <c r="B1222" s="217" t="str">
        <f t="shared" si="19"/>
        <v>181118801[kg]</v>
      </c>
      <c r="C1222" s="216">
        <v>181118801</v>
      </c>
      <c r="D1222" s="175" t="s">
        <v>279</v>
      </c>
      <c r="E1222" s="175">
        <v>2.2434367541766101E-2</v>
      </c>
      <c r="F1222" s="175" t="s">
        <v>235</v>
      </c>
      <c r="G1222" s="175" t="s">
        <v>3833</v>
      </c>
    </row>
    <row r="1223" spans="1:7">
      <c r="A1223" s="175" t="s">
        <v>3832</v>
      </c>
      <c r="B1223" s="217" t="str">
        <f t="shared" si="19"/>
        <v>181118801[円]</v>
      </c>
      <c r="C1223" s="216">
        <v>181118801</v>
      </c>
      <c r="D1223" s="175" t="s">
        <v>279</v>
      </c>
      <c r="E1223" s="175">
        <v>1.1470682759999999</v>
      </c>
      <c r="F1223" s="175" t="s">
        <v>265</v>
      </c>
      <c r="G1223" s="175" t="s">
        <v>3833</v>
      </c>
    </row>
    <row r="1224" spans="1:7">
      <c r="A1224" s="175" t="s">
        <v>3834</v>
      </c>
      <c r="B1224" s="217" t="str">
        <f t="shared" si="19"/>
        <v>181121000[MJ]</v>
      </c>
      <c r="C1224" s="216">
        <v>181121000</v>
      </c>
      <c r="D1224" s="175" t="s">
        <v>400</v>
      </c>
      <c r="E1224" s="175">
        <v>40.200000000000003</v>
      </c>
      <c r="F1224" s="175" t="s">
        <v>279</v>
      </c>
      <c r="G1224" s="175" t="s">
        <v>3835</v>
      </c>
    </row>
    <row r="1225" spans="1:7">
      <c r="A1225" s="175" t="s">
        <v>3834</v>
      </c>
      <c r="B1225" s="217" t="str">
        <f t="shared" si="19"/>
        <v>181121000[円]</v>
      </c>
      <c r="C1225" s="216">
        <v>181121000</v>
      </c>
      <c r="D1225" s="175" t="s">
        <v>400</v>
      </c>
      <c r="E1225" s="175">
        <v>113.62586405126601</v>
      </c>
      <c r="F1225" s="175" t="s">
        <v>265</v>
      </c>
      <c r="G1225" s="175" t="s">
        <v>3835</v>
      </c>
    </row>
    <row r="1226" spans="1:7">
      <c r="A1226" s="175" t="s">
        <v>3834</v>
      </c>
      <c r="B1226" s="217" t="str">
        <f t="shared" si="19"/>
        <v>181121000[kg]</v>
      </c>
      <c r="C1226" s="216">
        <v>181121000</v>
      </c>
      <c r="D1226" s="175" t="s">
        <v>400</v>
      </c>
      <c r="E1226" s="175">
        <v>0.88</v>
      </c>
      <c r="F1226" s="175" t="s">
        <v>235</v>
      </c>
      <c r="G1226" s="175" t="s">
        <v>3835</v>
      </c>
    </row>
    <row r="1227" spans="1:7">
      <c r="A1227" s="175" t="s">
        <v>3836</v>
      </c>
      <c r="B1227" s="217" t="str">
        <f t="shared" si="19"/>
        <v>181122000[円]</v>
      </c>
      <c r="C1227" s="216">
        <v>181122000</v>
      </c>
      <c r="D1227" s="175" t="s">
        <v>235</v>
      </c>
      <c r="E1227" s="175">
        <v>205.498505588054</v>
      </c>
      <c r="F1227" s="175" t="s">
        <v>265</v>
      </c>
      <c r="G1227" s="175" t="s">
        <v>1047</v>
      </c>
    </row>
    <row r="1228" spans="1:7">
      <c r="A1228" s="175" t="s">
        <v>3837</v>
      </c>
      <c r="B1228" s="217" t="str">
        <f t="shared" si="19"/>
        <v>181123000[MJ]</v>
      </c>
      <c r="C1228" s="216">
        <v>181123000</v>
      </c>
      <c r="D1228" s="175" t="s">
        <v>235</v>
      </c>
      <c r="E1228" s="175">
        <v>40.9</v>
      </c>
      <c r="F1228" s="175" t="s">
        <v>279</v>
      </c>
      <c r="G1228" s="175" t="s">
        <v>1048</v>
      </c>
    </row>
    <row r="1229" spans="1:7">
      <c r="A1229" s="175" t="s">
        <v>3837</v>
      </c>
      <c r="B1229" s="217" t="str">
        <f t="shared" si="19"/>
        <v>181123000[円]</v>
      </c>
      <c r="C1229" s="216">
        <v>181123000</v>
      </c>
      <c r="D1229" s="175" t="s">
        <v>235</v>
      </c>
      <c r="E1229" s="175">
        <v>40.433736470997097</v>
      </c>
      <c r="F1229" s="175" t="s">
        <v>265</v>
      </c>
      <c r="G1229" s="175" t="s">
        <v>1048</v>
      </c>
    </row>
    <row r="1230" spans="1:7">
      <c r="A1230" s="175" t="s">
        <v>3838</v>
      </c>
      <c r="B1230" s="217" t="str">
        <f t="shared" si="19"/>
        <v>181124000[Nm3]</v>
      </c>
      <c r="C1230" s="216">
        <v>181124000</v>
      </c>
      <c r="D1230" s="175" t="s">
        <v>235</v>
      </c>
      <c r="E1230" s="175">
        <v>0.45800000000000002</v>
      </c>
      <c r="F1230" s="175" t="s">
        <v>402</v>
      </c>
      <c r="G1230" s="175" t="s">
        <v>1049</v>
      </c>
    </row>
    <row r="1231" spans="1:7">
      <c r="A1231" s="175" t="s">
        <v>3838</v>
      </c>
      <c r="B1231" s="217" t="str">
        <f t="shared" si="19"/>
        <v>181124000[L]</v>
      </c>
      <c r="C1231" s="216">
        <v>181124000</v>
      </c>
      <c r="D1231" s="175" t="s">
        <v>235</v>
      </c>
      <c r="E1231" s="175">
        <v>1.9723865877711999</v>
      </c>
      <c r="F1231" s="175" t="s">
        <v>400</v>
      </c>
      <c r="G1231" s="175" t="s">
        <v>1049</v>
      </c>
    </row>
    <row r="1232" spans="1:7">
      <c r="A1232" s="175" t="s">
        <v>3838</v>
      </c>
      <c r="B1232" s="217" t="str">
        <f t="shared" si="19"/>
        <v>181124000[MJ]</v>
      </c>
      <c r="C1232" s="216">
        <v>181124000</v>
      </c>
      <c r="D1232" s="175" t="s">
        <v>235</v>
      </c>
      <c r="E1232" s="175">
        <v>50.8</v>
      </c>
      <c r="F1232" s="175" t="s">
        <v>279</v>
      </c>
      <c r="G1232" s="175" t="s">
        <v>1049</v>
      </c>
    </row>
    <row r="1233" spans="1:7">
      <c r="A1233" s="175" t="s">
        <v>3838</v>
      </c>
      <c r="B1233" s="217" t="str">
        <f t="shared" si="19"/>
        <v>181124000[円]</v>
      </c>
      <c r="C1233" s="216">
        <v>181124000</v>
      </c>
      <c r="D1233" s="175" t="s">
        <v>235</v>
      </c>
      <c r="E1233" s="175">
        <v>55.650104574204299</v>
      </c>
      <c r="F1233" s="175" t="s">
        <v>265</v>
      </c>
      <c r="G1233" s="175" t="s">
        <v>1049</v>
      </c>
    </row>
    <row r="1234" spans="1:7">
      <c r="A1234" s="175" t="s">
        <v>3839</v>
      </c>
      <c r="B1234" s="217" t="str">
        <f t="shared" si="19"/>
        <v>181124801[kg]</v>
      </c>
      <c r="C1234" s="216">
        <v>181124801</v>
      </c>
      <c r="D1234" s="175" t="s">
        <v>279</v>
      </c>
      <c r="E1234" s="175">
        <v>1.9685039370078702E-2</v>
      </c>
      <c r="F1234" s="175" t="s">
        <v>235</v>
      </c>
      <c r="G1234" s="175" t="s">
        <v>3840</v>
      </c>
    </row>
    <row r="1235" spans="1:7">
      <c r="A1235" s="175" t="s">
        <v>3839</v>
      </c>
      <c r="B1235" s="217" t="str">
        <f t="shared" si="19"/>
        <v>181124801[円]</v>
      </c>
      <c r="C1235" s="216">
        <v>181124801</v>
      </c>
      <c r="D1235" s="175" t="s">
        <v>279</v>
      </c>
      <c r="E1235" s="175">
        <v>1.095474499</v>
      </c>
      <c r="F1235" s="175" t="s">
        <v>265</v>
      </c>
      <c r="G1235" s="175" t="s">
        <v>3840</v>
      </c>
    </row>
    <row r="1236" spans="1:7">
      <c r="A1236" s="175" t="s">
        <v>3839</v>
      </c>
      <c r="B1236" s="217" t="str">
        <f t="shared" si="19"/>
        <v>181124801[L]</v>
      </c>
      <c r="C1236" s="216">
        <v>181124801</v>
      </c>
      <c r="D1236" s="175" t="s">
        <v>279</v>
      </c>
      <c r="E1236" s="175">
        <v>3.9300000000000002E-2</v>
      </c>
      <c r="F1236" s="175" t="s">
        <v>400</v>
      </c>
      <c r="G1236" s="175" t="s">
        <v>3840</v>
      </c>
    </row>
    <row r="1237" spans="1:7">
      <c r="A1237" s="175" t="s">
        <v>3841</v>
      </c>
      <c r="B1237" s="217" t="str">
        <f t="shared" si="19"/>
        <v>181124876[kg]</v>
      </c>
      <c r="C1237" s="216">
        <v>181124876</v>
      </c>
      <c r="D1237" s="175" t="s">
        <v>279</v>
      </c>
      <c r="E1237" s="175">
        <v>1.9685039370078702E-2</v>
      </c>
      <c r="F1237" s="175" t="s">
        <v>235</v>
      </c>
      <c r="G1237" s="175" t="s">
        <v>3842</v>
      </c>
    </row>
    <row r="1238" spans="1:7">
      <c r="A1238" s="175" t="s">
        <v>3843</v>
      </c>
      <c r="B1238" s="217" t="str">
        <f t="shared" si="19"/>
        <v>181125000[kg]</v>
      </c>
      <c r="C1238" s="216">
        <v>181125000</v>
      </c>
      <c r="D1238" s="175" t="s">
        <v>400</v>
      </c>
      <c r="E1238" s="175">
        <v>0.94</v>
      </c>
      <c r="F1238" s="175" t="s">
        <v>235</v>
      </c>
      <c r="G1238" s="175" t="s">
        <v>3844</v>
      </c>
    </row>
    <row r="1239" spans="1:7">
      <c r="A1239" s="175" t="s">
        <v>3843</v>
      </c>
      <c r="B1239" s="217" t="str">
        <f t="shared" si="19"/>
        <v>181125000[円]</v>
      </c>
      <c r="C1239" s="216">
        <v>181125000</v>
      </c>
      <c r="D1239" s="175" t="s">
        <v>400</v>
      </c>
      <c r="E1239" s="175">
        <v>44.940528112999203</v>
      </c>
      <c r="F1239" s="175" t="s">
        <v>265</v>
      </c>
      <c r="G1239" s="175" t="s">
        <v>3844</v>
      </c>
    </row>
    <row r="1240" spans="1:7">
      <c r="A1240" s="175" t="s">
        <v>3845</v>
      </c>
      <c r="B1240" s="217" t="str">
        <f t="shared" si="19"/>
        <v>181125801[kg]</v>
      </c>
      <c r="C1240" s="216">
        <v>181125801</v>
      </c>
      <c r="D1240" s="175" t="s">
        <v>279</v>
      </c>
      <c r="E1240" s="175">
        <v>2.2434367541766101E-2</v>
      </c>
      <c r="F1240" s="175" t="s">
        <v>235</v>
      </c>
      <c r="G1240" s="175" t="s">
        <v>3846</v>
      </c>
    </row>
    <row r="1241" spans="1:7">
      <c r="A1241" s="175" t="s">
        <v>3845</v>
      </c>
      <c r="B1241" s="217" t="str">
        <f t="shared" si="19"/>
        <v>181125801[L]</v>
      </c>
      <c r="C1241" s="216">
        <v>181125801</v>
      </c>
      <c r="D1241" s="175" t="s">
        <v>279</v>
      </c>
      <c r="E1241" s="175">
        <v>2.3866348448687399E-2</v>
      </c>
      <c r="F1241" s="175" t="s">
        <v>400</v>
      </c>
      <c r="G1241" s="175" t="s">
        <v>3846</v>
      </c>
    </row>
    <row r="1242" spans="1:7">
      <c r="A1242" s="175" t="s">
        <v>3847</v>
      </c>
      <c r="B1242" s="217" t="str">
        <f t="shared" si="19"/>
        <v>181126000[円]</v>
      </c>
      <c r="C1242" s="216">
        <v>181126000</v>
      </c>
      <c r="D1242" s="175" t="s">
        <v>402</v>
      </c>
      <c r="E1242" s="175">
        <v>52.430064014025398</v>
      </c>
      <c r="F1242" s="175" t="s">
        <v>265</v>
      </c>
      <c r="G1242" s="175" t="s">
        <v>1050</v>
      </c>
    </row>
    <row r="1243" spans="1:7">
      <c r="A1243" s="175" t="s">
        <v>3847</v>
      </c>
      <c r="B1243" s="217" t="str">
        <f t="shared" si="19"/>
        <v>181126000[MJ]</v>
      </c>
      <c r="C1243" s="216">
        <v>181126000</v>
      </c>
      <c r="D1243" s="175" t="s">
        <v>402</v>
      </c>
      <c r="E1243" s="175">
        <v>44.9</v>
      </c>
      <c r="F1243" s="175" t="s">
        <v>279</v>
      </c>
      <c r="G1243" s="175" t="s">
        <v>1050</v>
      </c>
    </row>
    <row r="1244" spans="1:7">
      <c r="A1244" s="175" t="s">
        <v>3848</v>
      </c>
      <c r="B1244" s="217" t="str">
        <f t="shared" si="19"/>
        <v>181126801[Nm3]</v>
      </c>
      <c r="C1244" s="216">
        <v>181126801</v>
      </c>
      <c r="D1244" s="175" t="s">
        <v>279</v>
      </c>
      <c r="E1244" s="175">
        <v>2.2271714922049001E-2</v>
      </c>
      <c r="F1244" s="175" t="s">
        <v>402</v>
      </c>
      <c r="G1244" s="175" t="s">
        <v>3849</v>
      </c>
    </row>
    <row r="1245" spans="1:7">
      <c r="A1245" s="175" t="s">
        <v>3850</v>
      </c>
      <c r="B1245" s="217" t="str">
        <f t="shared" si="19"/>
        <v>181126802[Nm3]</v>
      </c>
      <c r="C1245" s="216">
        <v>181126802</v>
      </c>
      <c r="D1245" s="175" t="s">
        <v>279</v>
      </c>
      <c r="E1245" s="175">
        <v>2.5414252312696999E-2</v>
      </c>
      <c r="F1245" s="175" t="s">
        <v>402</v>
      </c>
      <c r="G1245" s="175" t="s">
        <v>3851</v>
      </c>
    </row>
    <row r="1246" spans="1:7">
      <c r="A1246" s="175" t="s">
        <v>3852</v>
      </c>
      <c r="B1246" s="217" t="str">
        <f t="shared" si="19"/>
        <v>182100000[kg]</v>
      </c>
      <c r="C1246" s="216">
        <v>182100000</v>
      </c>
      <c r="D1246" s="175" t="s">
        <v>400</v>
      </c>
      <c r="E1246" s="175">
        <v>0.82607999835743395</v>
      </c>
      <c r="F1246" s="175" t="s">
        <v>235</v>
      </c>
      <c r="G1246" s="175" t="s">
        <v>3853</v>
      </c>
    </row>
    <row r="1247" spans="1:7">
      <c r="A1247" s="175" t="s">
        <v>3852</v>
      </c>
      <c r="B1247" s="217" t="str">
        <f t="shared" si="19"/>
        <v>182100000[円]</v>
      </c>
      <c r="C1247" s="216">
        <v>182100000</v>
      </c>
      <c r="D1247" s="175" t="s">
        <v>400</v>
      </c>
      <c r="E1247" s="175">
        <v>157.141840751671</v>
      </c>
      <c r="F1247" s="175" t="s">
        <v>265</v>
      </c>
      <c r="G1247" s="175" t="s">
        <v>3853</v>
      </c>
    </row>
    <row r="1248" spans="1:7">
      <c r="A1248" s="175" t="s">
        <v>3854</v>
      </c>
      <c r="B1248" s="217" t="str">
        <f t="shared" si="19"/>
        <v>182111000[kg]</v>
      </c>
      <c r="C1248" s="216">
        <v>182111000</v>
      </c>
      <c r="D1248" s="175" t="s">
        <v>400</v>
      </c>
      <c r="E1248" s="175">
        <v>0.82607999835743395</v>
      </c>
      <c r="F1248" s="175" t="s">
        <v>235</v>
      </c>
      <c r="G1248" s="175" t="s">
        <v>3855</v>
      </c>
    </row>
    <row r="1249" spans="1:7">
      <c r="A1249" s="175" t="s">
        <v>3854</v>
      </c>
      <c r="B1249" s="217" t="str">
        <f t="shared" si="19"/>
        <v>182111000[円]</v>
      </c>
      <c r="C1249" s="216">
        <v>182111000</v>
      </c>
      <c r="D1249" s="175" t="s">
        <v>400</v>
      </c>
      <c r="E1249" s="175">
        <v>157.141840751671</v>
      </c>
      <c r="F1249" s="175" t="s">
        <v>265</v>
      </c>
      <c r="G1249" s="175" t="s">
        <v>3855</v>
      </c>
    </row>
    <row r="1250" spans="1:7">
      <c r="A1250" s="175" t="s">
        <v>3854</v>
      </c>
      <c r="B1250" s="217" t="str">
        <f t="shared" si="19"/>
        <v>182111000[MJ]</v>
      </c>
      <c r="C1250" s="216">
        <v>182111000</v>
      </c>
      <c r="D1250" s="175" t="s">
        <v>400</v>
      </c>
      <c r="E1250" s="175">
        <v>40.200000000000003</v>
      </c>
      <c r="F1250" s="175" t="s">
        <v>279</v>
      </c>
      <c r="G1250" s="175" t="s">
        <v>3855</v>
      </c>
    </row>
    <row r="1251" spans="1:7">
      <c r="A1251" s="175" t="s">
        <v>3856</v>
      </c>
      <c r="B1251" s="217" t="str">
        <f t="shared" si="19"/>
        <v>182200000[円]</v>
      </c>
      <c r="C1251" s="216">
        <v>182200000</v>
      </c>
      <c r="D1251" s="175" t="s">
        <v>235</v>
      </c>
      <c r="E1251" s="175">
        <v>392.88794895432301</v>
      </c>
      <c r="F1251" s="175" t="s">
        <v>265</v>
      </c>
      <c r="G1251" s="175" t="s">
        <v>3857</v>
      </c>
    </row>
    <row r="1252" spans="1:7">
      <c r="A1252" s="175" t="s">
        <v>3858</v>
      </c>
      <c r="B1252" s="217" t="str">
        <f t="shared" si="19"/>
        <v>182211000[円]</v>
      </c>
      <c r="C1252" s="216">
        <v>182211000</v>
      </c>
      <c r="D1252" s="175" t="s">
        <v>235</v>
      </c>
      <c r="E1252" s="175">
        <v>392.88794895432301</v>
      </c>
      <c r="F1252" s="175" t="s">
        <v>265</v>
      </c>
      <c r="G1252" s="175" t="s">
        <v>3859</v>
      </c>
    </row>
    <row r="1253" spans="1:7">
      <c r="A1253" s="175" t="s">
        <v>3860</v>
      </c>
      <c r="B1253" s="217" t="str">
        <f t="shared" si="19"/>
        <v>183100000[kg]</v>
      </c>
      <c r="C1253" s="216">
        <v>183100000</v>
      </c>
      <c r="D1253" s="175" t="s">
        <v>265</v>
      </c>
      <c r="E1253" s="175">
        <v>9.4279940048500502E-2</v>
      </c>
      <c r="F1253" s="175" t="s">
        <v>235</v>
      </c>
      <c r="G1253" s="175" t="s">
        <v>3861</v>
      </c>
    </row>
    <row r="1254" spans="1:7">
      <c r="A1254" s="175" t="s">
        <v>3862</v>
      </c>
      <c r="B1254" s="217" t="str">
        <f t="shared" si="19"/>
        <v>183111000[MJ]</v>
      </c>
      <c r="C1254" s="216">
        <v>183111000</v>
      </c>
      <c r="D1254" s="175" t="s">
        <v>235</v>
      </c>
      <c r="E1254" s="175">
        <v>29.4</v>
      </c>
      <c r="F1254" s="175" t="s">
        <v>279</v>
      </c>
      <c r="G1254" s="175" t="s">
        <v>1051</v>
      </c>
    </row>
    <row r="1255" spans="1:7">
      <c r="A1255" s="175" t="s">
        <v>3862</v>
      </c>
      <c r="B1255" s="217" t="str">
        <f t="shared" si="19"/>
        <v>183111000[円]</v>
      </c>
      <c r="C1255" s="216">
        <v>183111000</v>
      </c>
      <c r="D1255" s="175" t="s">
        <v>235</v>
      </c>
      <c r="E1255" s="175">
        <v>25.0704461453562</v>
      </c>
      <c r="F1255" s="175" t="s">
        <v>265</v>
      </c>
      <c r="G1255" s="175" t="s">
        <v>1051</v>
      </c>
    </row>
    <row r="1256" spans="1:7">
      <c r="A1256" s="175" t="s">
        <v>3863</v>
      </c>
      <c r="B1256" s="217" t="str">
        <f t="shared" si="19"/>
        <v>183111101[円]</v>
      </c>
      <c r="C1256" s="216">
        <v>183111101</v>
      </c>
      <c r="D1256" s="175" t="s">
        <v>235</v>
      </c>
      <c r="E1256" s="175">
        <v>25.0704461453562</v>
      </c>
      <c r="F1256" s="175" t="s">
        <v>265</v>
      </c>
      <c r="G1256" s="175" t="s">
        <v>3864</v>
      </c>
    </row>
    <row r="1257" spans="1:7">
      <c r="A1257" s="175" t="s">
        <v>3865</v>
      </c>
      <c r="B1257" s="217" t="str">
        <f t="shared" si="19"/>
        <v>183111801[円]</v>
      </c>
      <c r="C1257" s="216">
        <v>183111801</v>
      </c>
      <c r="D1257" s="175" t="s">
        <v>279</v>
      </c>
      <c r="E1257" s="175">
        <v>0.85273626300000005</v>
      </c>
      <c r="F1257" s="175" t="s">
        <v>265</v>
      </c>
      <c r="G1257" s="175" t="s">
        <v>3866</v>
      </c>
    </row>
    <row r="1258" spans="1:7">
      <c r="A1258" s="175" t="s">
        <v>3865</v>
      </c>
      <c r="B1258" s="217" t="str">
        <f t="shared" si="19"/>
        <v>183111801[kg]</v>
      </c>
      <c r="C1258" s="216">
        <v>183111801</v>
      </c>
      <c r="D1258" s="175" t="s">
        <v>279</v>
      </c>
      <c r="E1258" s="175">
        <v>3.4013605442176902E-2</v>
      </c>
      <c r="F1258" s="175" t="s">
        <v>235</v>
      </c>
      <c r="G1258" s="175" t="s">
        <v>3866</v>
      </c>
    </row>
    <row r="1259" spans="1:7">
      <c r="A1259" s="175" t="s">
        <v>3867</v>
      </c>
      <c r="B1259" s="217" t="str">
        <f t="shared" si="19"/>
        <v>183111803[kg]</v>
      </c>
      <c r="C1259" s="216">
        <v>183111803</v>
      </c>
      <c r="D1259" s="175" t="s">
        <v>279</v>
      </c>
      <c r="E1259" s="175">
        <v>3.4013605442176902E-2</v>
      </c>
      <c r="F1259" s="175" t="s">
        <v>235</v>
      </c>
      <c r="G1259" s="175" t="s">
        <v>3868</v>
      </c>
    </row>
    <row r="1260" spans="1:7">
      <c r="A1260" s="175" t="s">
        <v>3869</v>
      </c>
      <c r="B1260" s="217" t="str">
        <f t="shared" si="19"/>
        <v>183112000[kg]</v>
      </c>
      <c r="C1260" s="216">
        <v>183112000</v>
      </c>
      <c r="D1260" s="175" t="s">
        <v>402</v>
      </c>
      <c r="E1260" s="175">
        <v>0.47</v>
      </c>
      <c r="F1260" s="175" t="s">
        <v>235</v>
      </c>
      <c r="G1260" s="175" t="s">
        <v>3870</v>
      </c>
    </row>
    <row r="1261" spans="1:7">
      <c r="A1261" s="175" t="s">
        <v>3869</v>
      </c>
      <c r="B1261" s="217" t="str">
        <f t="shared" si="19"/>
        <v>183112000[円]</v>
      </c>
      <c r="C1261" s="216">
        <v>183112000</v>
      </c>
      <c r="D1261" s="175" t="s">
        <v>402</v>
      </c>
      <c r="E1261" s="175">
        <v>7.3218780345642802</v>
      </c>
      <c r="F1261" s="175" t="s">
        <v>265</v>
      </c>
      <c r="G1261" s="175" t="s">
        <v>3870</v>
      </c>
    </row>
    <row r="1262" spans="1:7">
      <c r="A1262" s="175" t="s">
        <v>3871</v>
      </c>
      <c r="B1262" s="217" t="str">
        <f t="shared" si="19"/>
        <v>183112801[Nm3]</v>
      </c>
      <c r="C1262" s="216">
        <v>183112801</v>
      </c>
      <c r="D1262" s="175" t="s">
        <v>279</v>
      </c>
      <c r="E1262" s="175">
        <v>4.7393364928909901E-2</v>
      </c>
      <c r="F1262" s="175" t="s">
        <v>402</v>
      </c>
      <c r="G1262" s="175" t="s">
        <v>3872</v>
      </c>
    </row>
    <row r="1263" spans="1:7">
      <c r="A1263" s="175" t="s">
        <v>3871</v>
      </c>
      <c r="B1263" s="217" t="str">
        <f t="shared" si="19"/>
        <v>183112801[kg]</v>
      </c>
      <c r="C1263" s="216">
        <v>183112801</v>
      </c>
      <c r="D1263" s="175" t="s">
        <v>279</v>
      </c>
      <c r="E1263" s="175">
        <v>2.22748815165877E-2</v>
      </c>
      <c r="F1263" s="175" t="s">
        <v>235</v>
      </c>
      <c r="G1263" s="175" t="s">
        <v>3872</v>
      </c>
    </row>
    <row r="1264" spans="1:7">
      <c r="A1264" s="175" t="s">
        <v>3871</v>
      </c>
      <c r="B1264" s="217" t="str">
        <f t="shared" si="19"/>
        <v>183112801[m3]</v>
      </c>
      <c r="C1264" s="216">
        <v>183112801</v>
      </c>
      <c r="D1264" s="175" t="s">
        <v>279</v>
      </c>
      <c r="E1264" s="175">
        <v>4.7393364928909901E-2</v>
      </c>
      <c r="F1264" s="175" t="s">
        <v>278</v>
      </c>
      <c r="G1264" s="175" t="s">
        <v>3872</v>
      </c>
    </row>
    <row r="1265" spans="1:7">
      <c r="A1265" s="175" t="s">
        <v>3873</v>
      </c>
      <c r="B1265" s="217" t="str">
        <f t="shared" si="19"/>
        <v>183112802[Nm3]</v>
      </c>
      <c r="C1265" s="216">
        <v>183112802</v>
      </c>
      <c r="D1265" s="175" t="s">
        <v>279</v>
      </c>
      <c r="E1265" s="175">
        <v>0.29325513196480901</v>
      </c>
      <c r="F1265" s="175" t="s">
        <v>402</v>
      </c>
      <c r="G1265" s="175" t="s">
        <v>3874</v>
      </c>
    </row>
    <row r="1266" spans="1:7">
      <c r="A1266" s="175" t="s">
        <v>3873</v>
      </c>
      <c r="B1266" s="217" t="str">
        <f t="shared" si="19"/>
        <v>183112802[kg]</v>
      </c>
      <c r="C1266" s="216">
        <v>183112802</v>
      </c>
      <c r="D1266" s="175" t="s">
        <v>279</v>
      </c>
      <c r="E1266" s="175">
        <v>0.401759530791789</v>
      </c>
      <c r="F1266" s="175" t="s">
        <v>235</v>
      </c>
      <c r="G1266" s="175" t="s">
        <v>3874</v>
      </c>
    </row>
    <row r="1267" spans="1:7">
      <c r="A1267" s="175" t="s">
        <v>3873</v>
      </c>
      <c r="B1267" s="217" t="str">
        <f t="shared" si="19"/>
        <v>183112802[m3]</v>
      </c>
      <c r="C1267" s="216">
        <v>183112802</v>
      </c>
      <c r="D1267" s="175" t="s">
        <v>279</v>
      </c>
      <c r="E1267" s="175">
        <v>0.29325513196480901</v>
      </c>
      <c r="F1267" s="175" t="s">
        <v>278</v>
      </c>
      <c r="G1267" s="175" t="s">
        <v>3874</v>
      </c>
    </row>
    <row r="1268" spans="1:7">
      <c r="A1268" s="175" t="s">
        <v>3875</v>
      </c>
      <c r="B1268" s="217" t="str">
        <f t="shared" si="19"/>
        <v>183112803[Nm3]</v>
      </c>
      <c r="C1268" s="216">
        <v>183112803</v>
      </c>
      <c r="D1268" s="175" t="s">
        <v>279</v>
      </c>
      <c r="E1268" s="175">
        <v>0.11890606420927501</v>
      </c>
      <c r="F1268" s="175" t="s">
        <v>402</v>
      </c>
      <c r="G1268" s="175" t="s">
        <v>3876</v>
      </c>
    </row>
    <row r="1269" spans="1:7">
      <c r="A1269" s="175" t="s">
        <v>3875</v>
      </c>
      <c r="B1269" s="217" t="str">
        <f t="shared" si="19"/>
        <v>183112803[kg]</v>
      </c>
      <c r="C1269" s="216">
        <v>183112803</v>
      </c>
      <c r="D1269" s="175" t="s">
        <v>279</v>
      </c>
      <c r="E1269" s="175">
        <v>0.15933412604042799</v>
      </c>
      <c r="F1269" s="175" t="s">
        <v>235</v>
      </c>
      <c r="G1269" s="175" t="s">
        <v>3876</v>
      </c>
    </row>
    <row r="1270" spans="1:7">
      <c r="A1270" s="175" t="s">
        <v>3877</v>
      </c>
      <c r="B1270" s="217" t="str">
        <f t="shared" si="19"/>
        <v>183112804[Nm3]</v>
      </c>
      <c r="C1270" s="216">
        <v>183112804</v>
      </c>
      <c r="D1270" s="175" t="s">
        <v>279</v>
      </c>
      <c r="E1270" s="175">
        <v>0.11890606420927501</v>
      </c>
      <c r="F1270" s="175" t="s">
        <v>402</v>
      </c>
      <c r="G1270" s="175" t="s">
        <v>3878</v>
      </c>
    </row>
    <row r="1271" spans="1:7">
      <c r="A1271" s="175" t="s">
        <v>3879</v>
      </c>
      <c r="B1271" s="217" t="str">
        <f t="shared" si="19"/>
        <v>183113000[MJ]</v>
      </c>
      <c r="C1271" s="216">
        <v>183113000</v>
      </c>
      <c r="D1271" s="175" t="s">
        <v>235</v>
      </c>
      <c r="E1271" s="175">
        <v>37.299999999999997</v>
      </c>
      <c r="F1271" s="175" t="s">
        <v>279</v>
      </c>
      <c r="G1271" s="175" t="s">
        <v>2026</v>
      </c>
    </row>
    <row r="1272" spans="1:7">
      <c r="A1272" s="175" t="s">
        <v>3879</v>
      </c>
      <c r="B1272" s="217" t="str">
        <f t="shared" si="19"/>
        <v>183113000[円]</v>
      </c>
      <c r="C1272" s="216">
        <v>183113000</v>
      </c>
      <c r="D1272" s="175" t="s">
        <v>235</v>
      </c>
      <c r="E1272" s="175">
        <v>24.3602879948577</v>
      </c>
      <c r="F1272" s="175" t="s">
        <v>265</v>
      </c>
      <c r="G1272" s="175" t="s">
        <v>2026</v>
      </c>
    </row>
    <row r="1273" spans="1:7">
      <c r="A1273" s="175" t="s">
        <v>3880</v>
      </c>
      <c r="B1273" s="217" t="str">
        <f t="shared" si="19"/>
        <v>183113801[kg]</v>
      </c>
      <c r="C1273" s="216">
        <v>183113801</v>
      </c>
      <c r="D1273" s="175" t="s">
        <v>279</v>
      </c>
      <c r="E1273" s="175">
        <v>2.68096514745308E-2</v>
      </c>
      <c r="F1273" s="175" t="s">
        <v>235</v>
      </c>
      <c r="G1273" s="175" t="s">
        <v>3881</v>
      </c>
    </row>
    <row r="1274" spans="1:7">
      <c r="A1274" s="175" t="s">
        <v>3882</v>
      </c>
      <c r="B1274" s="217" t="str">
        <f t="shared" si="19"/>
        <v>183114000[円]</v>
      </c>
      <c r="C1274" s="216">
        <v>183114000</v>
      </c>
      <c r="D1274" s="175" t="s">
        <v>235</v>
      </c>
      <c r="E1274" s="175">
        <v>85.648918381726602</v>
      </c>
      <c r="F1274" s="175" t="s">
        <v>265</v>
      </c>
      <c r="G1274" s="175" t="s">
        <v>1052</v>
      </c>
    </row>
    <row r="1275" spans="1:7">
      <c r="A1275" s="175" t="s">
        <v>3883</v>
      </c>
      <c r="B1275" s="217" t="str">
        <f t="shared" si="19"/>
        <v>189100000[kg]</v>
      </c>
      <c r="C1275" s="216">
        <v>189100000</v>
      </c>
      <c r="D1275" s="175" t="s">
        <v>265</v>
      </c>
      <c r="E1275" s="175">
        <v>5.0000000000000001E-3</v>
      </c>
      <c r="F1275" s="175" t="s">
        <v>235</v>
      </c>
      <c r="G1275" s="175" t="s">
        <v>3884</v>
      </c>
    </row>
    <row r="1276" spans="1:7">
      <c r="A1276" s="175" t="s">
        <v>3885</v>
      </c>
      <c r="B1276" s="217" t="str">
        <f t="shared" si="19"/>
        <v>189111000[kg]</v>
      </c>
      <c r="C1276" s="216">
        <v>189111000</v>
      </c>
      <c r="D1276" s="175" t="s">
        <v>265</v>
      </c>
      <c r="E1276" s="175">
        <v>5.0000000000000001E-3</v>
      </c>
      <c r="F1276" s="175" t="s">
        <v>235</v>
      </c>
      <c r="G1276" s="175" t="s">
        <v>1053</v>
      </c>
    </row>
    <row r="1277" spans="1:7">
      <c r="A1277" s="175" t="s">
        <v>3885</v>
      </c>
      <c r="B1277" s="217" t="str">
        <f t="shared" si="19"/>
        <v>189111000[MJ]</v>
      </c>
      <c r="C1277" s="216">
        <v>189111000</v>
      </c>
      <c r="D1277" s="175" t="s">
        <v>265</v>
      </c>
      <c r="E1277" s="175">
        <v>0.1195</v>
      </c>
      <c r="F1277" s="175" t="s">
        <v>279</v>
      </c>
      <c r="G1277" s="175" t="s">
        <v>1053</v>
      </c>
    </row>
    <row r="1278" spans="1:7">
      <c r="A1278" s="175" t="s">
        <v>3886</v>
      </c>
      <c r="B1278" s="217" t="str">
        <f t="shared" si="19"/>
        <v>189111801[kg]</v>
      </c>
      <c r="C1278" s="216">
        <v>189111801</v>
      </c>
      <c r="D1278" s="175" t="s">
        <v>279</v>
      </c>
      <c r="E1278" s="175">
        <v>4.1841004184100403E-2</v>
      </c>
      <c r="F1278" s="175" t="s">
        <v>235</v>
      </c>
      <c r="G1278" s="175" t="s">
        <v>3887</v>
      </c>
    </row>
    <row r="1279" spans="1:7">
      <c r="A1279" s="175" t="s">
        <v>3888</v>
      </c>
      <c r="B1279" s="217" t="str">
        <f t="shared" si="19"/>
        <v>189900000[円]</v>
      </c>
      <c r="C1279" s="216">
        <v>189900000</v>
      </c>
      <c r="D1279" s="175" t="s">
        <v>235</v>
      </c>
      <c r="E1279" s="175">
        <v>15.554359509258299</v>
      </c>
      <c r="F1279" s="175" t="s">
        <v>265</v>
      </c>
      <c r="G1279" s="175" t="s">
        <v>3889</v>
      </c>
    </row>
    <row r="1280" spans="1:7">
      <c r="A1280" s="175" t="s">
        <v>3890</v>
      </c>
      <c r="B1280" s="217" t="str">
        <f t="shared" si="19"/>
        <v>189911000[円]</v>
      </c>
      <c r="C1280" s="216">
        <v>189911000</v>
      </c>
      <c r="D1280" s="175" t="s">
        <v>235</v>
      </c>
      <c r="E1280" s="175">
        <v>3.8715451705056299</v>
      </c>
      <c r="F1280" s="175" t="s">
        <v>265</v>
      </c>
      <c r="G1280" s="175" t="s">
        <v>1054</v>
      </c>
    </row>
    <row r="1281" spans="1:7">
      <c r="A1281" s="175" t="s">
        <v>3891</v>
      </c>
      <c r="B1281" s="217" t="str">
        <f t="shared" si="19"/>
        <v>189919000[円]</v>
      </c>
      <c r="C1281" s="216">
        <v>189919000</v>
      </c>
      <c r="D1281" s="175" t="s">
        <v>235</v>
      </c>
      <c r="E1281" s="175">
        <v>20.021999999999998</v>
      </c>
      <c r="F1281" s="175" t="s">
        <v>265</v>
      </c>
      <c r="G1281" s="175" t="s">
        <v>3892</v>
      </c>
    </row>
    <row r="1282" spans="1:7">
      <c r="A1282" s="175" t="s">
        <v>3893</v>
      </c>
      <c r="B1282" s="217" t="str">
        <f t="shared" ref="B1282:B1345" si="20">C1282&amp;"["&amp;F1282&amp;"]"</f>
        <v>189919100[MJ]</v>
      </c>
      <c r="C1282" s="216">
        <v>189919100</v>
      </c>
      <c r="D1282" s="175" t="s">
        <v>235</v>
      </c>
      <c r="E1282" s="175">
        <v>29.9</v>
      </c>
      <c r="F1282" s="175" t="s">
        <v>279</v>
      </c>
      <c r="G1282" s="175" t="s">
        <v>3894</v>
      </c>
    </row>
    <row r="1283" spans="1:7">
      <c r="A1283" s="175" t="s">
        <v>3893</v>
      </c>
      <c r="B1283" s="217" t="str">
        <f t="shared" si="20"/>
        <v>189919100[円]</v>
      </c>
      <c r="C1283" s="216">
        <v>189919100</v>
      </c>
      <c r="D1283" s="175" t="s">
        <v>235</v>
      </c>
      <c r="E1283" s="175">
        <v>20.021999999999998</v>
      </c>
      <c r="F1283" s="175" t="s">
        <v>265</v>
      </c>
      <c r="G1283" s="175" t="s">
        <v>3894</v>
      </c>
    </row>
    <row r="1284" spans="1:7">
      <c r="A1284" s="175" t="s">
        <v>3895</v>
      </c>
      <c r="B1284" s="217" t="str">
        <f t="shared" si="20"/>
        <v>189919801[kg]</v>
      </c>
      <c r="C1284" s="216">
        <v>189919801</v>
      </c>
      <c r="D1284" s="175" t="s">
        <v>279</v>
      </c>
      <c r="E1284" s="175">
        <v>3.3444816053511697E-2</v>
      </c>
      <c r="F1284" s="175" t="s">
        <v>235</v>
      </c>
      <c r="G1284" s="175" t="s">
        <v>3896</v>
      </c>
    </row>
    <row r="1285" spans="1:7">
      <c r="A1285" s="175" t="s">
        <v>3897</v>
      </c>
      <c r="B1285" s="217" t="str">
        <f t="shared" si="20"/>
        <v>191100000[円]</v>
      </c>
      <c r="C1285" s="216">
        <v>191100000</v>
      </c>
      <c r="D1285" s="175" t="s">
        <v>235</v>
      </c>
      <c r="E1285" s="175">
        <v>737.11315388513697</v>
      </c>
      <c r="F1285" s="175" t="s">
        <v>265</v>
      </c>
      <c r="G1285" s="175" t="s">
        <v>3898</v>
      </c>
    </row>
    <row r="1286" spans="1:7">
      <c r="A1286" s="175" t="s">
        <v>3899</v>
      </c>
      <c r="B1286" s="217" t="str">
        <f t="shared" si="20"/>
        <v>191111000[円]</v>
      </c>
      <c r="C1286" s="216">
        <v>191111000</v>
      </c>
      <c r="D1286" s="175" t="s">
        <v>235</v>
      </c>
      <c r="E1286" s="175">
        <v>463.59056377449002</v>
      </c>
      <c r="F1286" s="175" t="s">
        <v>265</v>
      </c>
      <c r="G1286" s="175" t="s">
        <v>3900</v>
      </c>
    </row>
    <row r="1287" spans="1:7">
      <c r="A1287" s="175" t="s">
        <v>3901</v>
      </c>
      <c r="B1287" s="217" t="str">
        <f t="shared" si="20"/>
        <v>191112000[円]</v>
      </c>
      <c r="C1287" s="216">
        <v>191112000</v>
      </c>
      <c r="D1287" s="175" t="s">
        <v>235</v>
      </c>
      <c r="E1287" s="175">
        <v>517.05644365502303</v>
      </c>
      <c r="F1287" s="175" t="s">
        <v>265</v>
      </c>
      <c r="G1287" s="175" t="s">
        <v>3902</v>
      </c>
    </row>
    <row r="1288" spans="1:7">
      <c r="A1288" s="175" t="s">
        <v>3903</v>
      </c>
      <c r="B1288" s="217" t="str">
        <f t="shared" si="20"/>
        <v>191113000[円]</v>
      </c>
      <c r="C1288" s="216">
        <v>191113000</v>
      </c>
      <c r="D1288" s="175" t="s">
        <v>235</v>
      </c>
      <c r="E1288" s="175">
        <v>1340.26139882541</v>
      </c>
      <c r="F1288" s="175" t="s">
        <v>265</v>
      </c>
      <c r="G1288" s="175" t="s">
        <v>299</v>
      </c>
    </row>
    <row r="1289" spans="1:7">
      <c r="A1289" s="175" t="s">
        <v>3904</v>
      </c>
      <c r="B1289" s="217" t="str">
        <f t="shared" si="20"/>
        <v>191114000[円]</v>
      </c>
      <c r="C1289" s="216">
        <v>191114000</v>
      </c>
      <c r="D1289" s="175" t="s">
        <v>235</v>
      </c>
      <c r="E1289" s="175">
        <v>938.79629629629596</v>
      </c>
      <c r="F1289" s="175" t="s">
        <v>265</v>
      </c>
      <c r="G1289" s="175" t="s">
        <v>300</v>
      </c>
    </row>
    <row r="1290" spans="1:7">
      <c r="A1290" s="175" t="s">
        <v>3905</v>
      </c>
      <c r="B1290" s="217" t="str">
        <f t="shared" si="20"/>
        <v>191115000[円]</v>
      </c>
      <c r="C1290" s="216">
        <v>191115000</v>
      </c>
      <c r="D1290" s="175" t="s">
        <v>235</v>
      </c>
      <c r="E1290" s="175">
        <v>861.81656277827199</v>
      </c>
      <c r="F1290" s="175" t="s">
        <v>265</v>
      </c>
      <c r="G1290" s="175" t="s">
        <v>1055</v>
      </c>
    </row>
    <row r="1291" spans="1:7">
      <c r="A1291" s="175" t="s">
        <v>3906</v>
      </c>
      <c r="B1291" s="217" t="str">
        <f t="shared" si="20"/>
        <v>191200000[円]</v>
      </c>
      <c r="C1291" s="216">
        <v>191200000</v>
      </c>
      <c r="D1291" s="175" t="s">
        <v>235</v>
      </c>
      <c r="E1291" s="175">
        <v>274.81926999594799</v>
      </c>
      <c r="F1291" s="175" t="s">
        <v>265</v>
      </c>
      <c r="G1291" s="175" t="s">
        <v>3907</v>
      </c>
    </row>
    <row r="1292" spans="1:7">
      <c r="A1292" s="175" t="s">
        <v>3908</v>
      </c>
      <c r="B1292" s="217" t="str">
        <f t="shared" si="20"/>
        <v>191211000[円]</v>
      </c>
      <c r="C1292" s="216">
        <v>191211000</v>
      </c>
      <c r="D1292" s="175" t="s">
        <v>235</v>
      </c>
      <c r="E1292" s="175">
        <v>253.722792920529</v>
      </c>
      <c r="F1292" s="175" t="s">
        <v>265</v>
      </c>
      <c r="G1292" s="175" t="s">
        <v>1056</v>
      </c>
    </row>
    <row r="1293" spans="1:7">
      <c r="A1293" s="175" t="s">
        <v>3909</v>
      </c>
      <c r="B1293" s="217" t="str">
        <f t="shared" si="20"/>
        <v>191212000[円]</v>
      </c>
      <c r="C1293" s="216">
        <v>191212000</v>
      </c>
      <c r="D1293" s="175" t="s">
        <v>235</v>
      </c>
      <c r="E1293" s="175">
        <v>519.04883193726005</v>
      </c>
      <c r="F1293" s="175" t="s">
        <v>265</v>
      </c>
      <c r="G1293" s="175" t="s">
        <v>1057</v>
      </c>
    </row>
    <row r="1294" spans="1:7">
      <c r="A1294" s="175" t="s">
        <v>3910</v>
      </c>
      <c r="B1294" s="217" t="str">
        <f t="shared" si="20"/>
        <v>191300000[円]</v>
      </c>
      <c r="C1294" s="216">
        <v>191300000</v>
      </c>
      <c r="D1294" s="175" t="s">
        <v>235</v>
      </c>
      <c r="E1294" s="175">
        <v>630.00344468029596</v>
      </c>
      <c r="F1294" s="175" t="s">
        <v>265</v>
      </c>
      <c r="G1294" s="175" t="s">
        <v>3911</v>
      </c>
    </row>
    <row r="1295" spans="1:7">
      <c r="A1295" s="175" t="s">
        <v>3912</v>
      </c>
      <c r="B1295" s="217" t="str">
        <f t="shared" si="20"/>
        <v>191311000[円]</v>
      </c>
      <c r="C1295" s="216">
        <v>191311000</v>
      </c>
      <c r="D1295" s="175" t="s">
        <v>235</v>
      </c>
      <c r="E1295" s="175">
        <v>630.00344468029596</v>
      </c>
      <c r="F1295" s="175" t="s">
        <v>265</v>
      </c>
      <c r="G1295" s="175" t="s">
        <v>3913</v>
      </c>
    </row>
    <row r="1296" spans="1:7">
      <c r="A1296" s="175" t="s">
        <v>3914</v>
      </c>
      <c r="B1296" s="217" t="str">
        <f t="shared" si="20"/>
        <v>191400000[円]</v>
      </c>
      <c r="C1296" s="216">
        <v>191400000</v>
      </c>
      <c r="D1296" s="175" t="s">
        <v>235</v>
      </c>
      <c r="E1296" s="175">
        <v>842.48198014162904</v>
      </c>
      <c r="F1296" s="175" t="s">
        <v>265</v>
      </c>
      <c r="G1296" s="175" t="s">
        <v>3915</v>
      </c>
    </row>
    <row r="1297" spans="1:7">
      <c r="A1297" s="175" t="s">
        <v>3916</v>
      </c>
      <c r="B1297" s="217" t="str">
        <f t="shared" si="20"/>
        <v>191411000[円]</v>
      </c>
      <c r="C1297" s="216">
        <v>191411000</v>
      </c>
      <c r="D1297" s="175" t="s">
        <v>235</v>
      </c>
      <c r="E1297" s="175">
        <v>706.89887929371901</v>
      </c>
      <c r="F1297" s="175" t="s">
        <v>265</v>
      </c>
      <c r="G1297" s="175" t="s">
        <v>1058</v>
      </c>
    </row>
    <row r="1298" spans="1:7">
      <c r="A1298" s="175" t="s">
        <v>3917</v>
      </c>
      <c r="B1298" s="217" t="str">
        <f t="shared" si="20"/>
        <v>191419000[円]</v>
      </c>
      <c r="C1298" s="216">
        <v>191419000</v>
      </c>
      <c r="D1298" s="175" t="s">
        <v>235</v>
      </c>
      <c r="E1298" s="175">
        <v>946.3</v>
      </c>
      <c r="F1298" s="175" t="s">
        <v>265</v>
      </c>
      <c r="G1298" s="175" t="s">
        <v>1059</v>
      </c>
    </row>
    <row r="1299" spans="1:7">
      <c r="A1299" s="175" t="s">
        <v>3918</v>
      </c>
      <c r="B1299" s="217" t="str">
        <f t="shared" si="20"/>
        <v>192100000[円]</v>
      </c>
      <c r="C1299" s="216">
        <v>192100000</v>
      </c>
      <c r="D1299" s="175" t="s">
        <v>235</v>
      </c>
      <c r="E1299" s="175">
        <v>547.85723768605806</v>
      </c>
      <c r="F1299" s="175" t="s">
        <v>265</v>
      </c>
      <c r="G1299" s="175" t="s">
        <v>3919</v>
      </c>
    </row>
    <row r="1300" spans="1:7">
      <c r="A1300" s="175" t="s">
        <v>3920</v>
      </c>
      <c r="B1300" s="217" t="str">
        <f t="shared" si="20"/>
        <v>192111000[円]</v>
      </c>
      <c r="C1300" s="216">
        <v>192111000</v>
      </c>
      <c r="D1300" s="175" t="s">
        <v>235</v>
      </c>
      <c r="E1300" s="175">
        <v>367.95181580248197</v>
      </c>
      <c r="F1300" s="175" t="s">
        <v>265</v>
      </c>
      <c r="G1300" s="175" t="s">
        <v>3921</v>
      </c>
    </row>
    <row r="1301" spans="1:7">
      <c r="A1301" s="175" t="s">
        <v>3922</v>
      </c>
      <c r="B1301" s="217" t="str">
        <f t="shared" si="20"/>
        <v>192112000[円]</v>
      </c>
      <c r="C1301" s="216">
        <v>192112000</v>
      </c>
      <c r="D1301" s="175" t="s">
        <v>235</v>
      </c>
      <c r="E1301" s="175">
        <v>881.68269163029095</v>
      </c>
      <c r="F1301" s="175" t="s">
        <v>265</v>
      </c>
      <c r="G1301" s="175" t="s">
        <v>3923</v>
      </c>
    </row>
    <row r="1302" spans="1:7">
      <c r="A1302" s="175" t="s">
        <v>3924</v>
      </c>
      <c r="B1302" s="217" t="str">
        <f t="shared" si="20"/>
        <v>192112200[円]</v>
      </c>
      <c r="C1302" s="216">
        <v>192112200</v>
      </c>
      <c r="D1302" s="175" t="s">
        <v>235</v>
      </c>
      <c r="E1302" s="175">
        <v>881.68269163029095</v>
      </c>
      <c r="F1302" s="175" t="s">
        <v>265</v>
      </c>
      <c r="G1302" s="175" t="s">
        <v>1061</v>
      </c>
    </row>
    <row r="1303" spans="1:7">
      <c r="A1303" s="175" t="s">
        <v>3925</v>
      </c>
      <c r="B1303" s="217" t="str">
        <f t="shared" si="20"/>
        <v>192113000[円]</v>
      </c>
      <c r="C1303" s="216">
        <v>192113000</v>
      </c>
      <c r="D1303" s="175" t="s">
        <v>235</v>
      </c>
      <c r="E1303" s="175">
        <v>655.87833875659703</v>
      </c>
      <c r="F1303" s="175" t="s">
        <v>265</v>
      </c>
      <c r="G1303" s="175" t="s">
        <v>3926</v>
      </c>
    </row>
    <row r="1304" spans="1:7">
      <c r="A1304" s="175" t="s">
        <v>3927</v>
      </c>
      <c r="B1304" s="217" t="str">
        <f t="shared" si="20"/>
        <v>192200000[円]</v>
      </c>
      <c r="C1304" s="216">
        <v>192200000</v>
      </c>
      <c r="D1304" s="175" t="s">
        <v>235</v>
      </c>
      <c r="E1304" s="175">
        <v>285.55175817946701</v>
      </c>
      <c r="F1304" s="175" t="s">
        <v>265</v>
      </c>
      <c r="G1304" s="175" t="s">
        <v>3928</v>
      </c>
    </row>
    <row r="1305" spans="1:7">
      <c r="A1305" s="175" t="s">
        <v>3929</v>
      </c>
      <c r="B1305" s="217" t="str">
        <f t="shared" si="20"/>
        <v>192211000[円]</v>
      </c>
      <c r="C1305" s="216">
        <v>192211000</v>
      </c>
      <c r="D1305" s="175" t="s">
        <v>235</v>
      </c>
      <c r="E1305" s="175">
        <v>285.55175817946701</v>
      </c>
      <c r="F1305" s="175" t="s">
        <v>265</v>
      </c>
      <c r="G1305" s="175" t="s">
        <v>3930</v>
      </c>
    </row>
    <row r="1306" spans="1:7">
      <c r="A1306" s="175" t="s">
        <v>3931</v>
      </c>
      <c r="B1306" s="217" t="str">
        <f t="shared" si="20"/>
        <v>192300000[m2]</v>
      </c>
      <c r="C1306" s="216">
        <v>192300000</v>
      </c>
      <c r="D1306" s="175" t="s">
        <v>265</v>
      </c>
      <c r="E1306" s="175">
        <v>1.3131371049949E-3</v>
      </c>
      <c r="F1306" s="175" t="s">
        <v>425</v>
      </c>
      <c r="G1306" s="175" t="s">
        <v>3932</v>
      </c>
    </row>
    <row r="1307" spans="1:7">
      <c r="A1307" s="175" t="s">
        <v>3933</v>
      </c>
      <c r="B1307" s="217" t="str">
        <f t="shared" si="20"/>
        <v>192311000[円]</v>
      </c>
      <c r="C1307" s="216">
        <v>192311000</v>
      </c>
      <c r="D1307" s="175" t="s">
        <v>425</v>
      </c>
      <c r="E1307" s="175">
        <v>550.99888688646195</v>
      </c>
      <c r="F1307" s="175" t="s">
        <v>265</v>
      </c>
      <c r="G1307" s="175" t="s">
        <v>1062</v>
      </c>
    </row>
    <row r="1308" spans="1:7">
      <c r="A1308" s="175" t="s">
        <v>3933</v>
      </c>
      <c r="B1308" s="217" t="str">
        <f t="shared" si="20"/>
        <v>192311000[kg]</v>
      </c>
      <c r="C1308" s="216">
        <v>192311000</v>
      </c>
      <c r="D1308" s="175" t="s">
        <v>425</v>
      </c>
      <c r="E1308" s="175">
        <v>1.9701247546476299</v>
      </c>
      <c r="F1308" s="175" t="s">
        <v>235</v>
      </c>
      <c r="G1308" s="175" t="s">
        <v>1062</v>
      </c>
    </row>
    <row r="1309" spans="1:7">
      <c r="A1309" s="175" t="s">
        <v>3934</v>
      </c>
      <c r="B1309" s="217" t="str">
        <f t="shared" si="20"/>
        <v>192319000[円]</v>
      </c>
      <c r="C1309" s="216">
        <v>192319000</v>
      </c>
      <c r="D1309" s="175" t="s">
        <v>235</v>
      </c>
      <c r="E1309" s="175">
        <v>393.24200000000002</v>
      </c>
      <c r="F1309" s="175" t="s">
        <v>265</v>
      </c>
      <c r="G1309" s="175" t="s">
        <v>1063</v>
      </c>
    </row>
    <row r="1310" spans="1:7">
      <c r="A1310" s="175" t="s">
        <v>3935</v>
      </c>
      <c r="B1310" s="217" t="str">
        <f t="shared" si="20"/>
        <v>192400000[円]</v>
      </c>
      <c r="C1310" s="216">
        <v>192400000</v>
      </c>
      <c r="D1310" s="175" t="s">
        <v>235</v>
      </c>
      <c r="E1310" s="175">
        <v>661.44711269229504</v>
      </c>
      <c r="F1310" s="175" t="s">
        <v>265</v>
      </c>
      <c r="G1310" s="175" t="s">
        <v>3936</v>
      </c>
    </row>
    <row r="1311" spans="1:7">
      <c r="A1311" s="175" t="s">
        <v>3937</v>
      </c>
      <c r="B1311" s="217" t="str">
        <f t="shared" si="20"/>
        <v>192411000[円]</v>
      </c>
      <c r="C1311" s="216">
        <v>192411000</v>
      </c>
      <c r="D1311" s="175" t="s">
        <v>235</v>
      </c>
      <c r="E1311" s="175">
        <v>661.44711269229504</v>
      </c>
      <c r="F1311" s="175" t="s">
        <v>265</v>
      </c>
      <c r="G1311" s="175" t="s">
        <v>1064</v>
      </c>
    </row>
    <row r="1312" spans="1:7">
      <c r="A1312" s="175" t="s">
        <v>3938</v>
      </c>
      <c r="B1312" s="217" t="str">
        <f t="shared" si="20"/>
        <v>192511100[円]</v>
      </c>
      <c r="C1312" s="216">
        <v>192511100</v>
      </c>
      <c r="D1312" s="175" t="s">
        <v>235</v>
      </c>
      <c r="E1312" s="175">
        <v>1050</v>
      </c>
      <c r="F1312" s="175" t="s">
        <v>265</v>
      </c>
      <c r="G1312" s="175" t="s">
        <v>3939</v>
      </c>
    </row>
    <row r="1313" spans="1:7">
      <c r="A1313" s="175" t="s">
        <v>3940</v>
      </c>
      <c r="B1313" s="217" t="str">
        <f t="shared" si="20"/>
        <v>192511101[円]</v>
      </c>
      <c r="C1313" s="216">
        <v>192511101</v>
      </c>
      <c r="D1313" s="175" t="s">
        <v>235</v>
      </c>
      <c r="E1313" s="175">
        <v>1050</v>
      </c>
      <c r="F1313" s="175" t="s">
        <v>265</v>
      </c>
      <c r="G1313" s="175" t="s">
        <v>3941</v>
      </c>
    </row>
    <row r="1314" spans="1:7">
      <c r="A1314" s="175" t="s">
        <v>3942</v>
      </c>
      <c r="B1314" s="217" t="str">
        <f t="shared" si="20"/>
        <v>193100000[円]</v>
      </c>
      <c r="C1314" s="216">
        <v>193100000</v>
      </c>
      <c r="D1314" s="175" t="s">
        <v>235</v>
      </c>
      <c r="E1314" s="175">
        <v>1611.6968292567999</v>
      </c>
      <c r="F1314" s="175" t="s">
        <v>265</v>
      </c>
      <c r="G1314" s="175" t="s">
        <v>3943</v>
      </c>
    </row>
    <row r="1315" spans="1:7">
      <c r="A1315" s="175" t="s">
        <v>3944</v>
      </c>
      <c r="B1315" s="217" t="str">
        <f t="shared" si="20"/>
        <v>193111000[円]</v>
      </c>
      <c r="C1315" s="216">
        <v>193111000</v>
      </c>
      <c r="D1315" s="175" t="s">
        <v>235</v>
      </c>
      <c r="E1315" s="175">
        <v>1623.4</v>
      </c>
      <c r="F1315" s="175" t="s">
        <v>265</v>
      </c>
      <c r="G1315" s="175" t="s">
        <v>1066</v>
      </c>
    </row>
    <row r="1316" spans="1:7">
      <c r="A1316" s="175" t="s">
        <v>3945</v>
      </c>
      <c r="B1316" s="217" t="str">
        <f t="shared" si="20"/>
        <v>193112000[円]</v>
      </c>
      <c r="C1316" s="216">
        <v>193112000</v>
      </c>
      <c r="D1316" s="175" t="s">
        <v>235</v>
      </c>
      <c r="E1316" s="175">
        <v>1623.4</v>
      </c>
      <c r="F1316" s="175" t="s">
        <v>265</v>
      </c>
      <c r="G1316" s="175" t="s">
        <v>3946</v>
      </c>
    </row>
    <row r="1317" spans="1:7">
      <c r="A1317" s="175" t="s">
        <v>3947</v>
      </c>
      <c r="B1317" s="217" t="str">
        <f t="shared" si="20"/>
        <v>193113000[円]</v>
      </c>
      <c r="C1317" s="216">
        <v>193113000</v>
      </c>
      <c r="D1317" s="175" t="s">
        <v>235</v>
      </c>
      <c r="E1317" s="175">
        <v>1574.2</v>
      </c>
      <c r="F1317" s="175" t="s">
        <v>265</v>
      </c>
      <c r="G1317" s="175" t="s">
        <v>1067</v>
      </c>
    </row>
    <row r="1318" spans="1:7">
      <c r="A1318" s="175" t="s">
        <v>3948</v>
      </c>
      <c r="B1318" s="217" t="str">
        <f t="shared" si="20"/>
        <v>193119000[円]</v>
      </c>
      <c r="C1318" s="216">
        <v>193119000</v>
      </c>
      <c r="D1318" s="175" t="s">
        <v>235</v>
      </c>
      <c r="E1318" s="175">
        <v>1612.152</v>
      </c>
      <c r="F1318" s="175" t="s">
        <v>265</v>
      </c>
      <c r="G1318" s="175" t="s">
        <v>1068</v>
      </c>
    </row>
    <row r="1319" spans="1:7">
      <c r="A1319" s="175" t="s">
        <v>3949</v>
      </c>
      <c r="B1319" s="217" t="str">
        <f t="shared" si="20"/>
        <v>194100000[円]</v>
      </c>
      <c r="C1319" s="216">
        <v>194100000</v>
      </c>
      <c r="D1319" s="175" t="s">
        <v>235</v>
      </c>
      <c r="E1319" s="175">
        <v>485.92404417254801</v>
      </c>
      <c r="F1319" s="175" t="s">
        <v>265</v>
      </c>
      <c r="G1319" s="175" t="s">
        <v>3950</v>
      </c>
    </row>
    <row r="1320" spans="1:7">
      <c r="A1320" s="175" t="s">
        <v>3951</v>
      </c>
      <c r="B1320" s="217" t="str">
        <f t="shared" si="20"/>
        <v>194111000[円]</v>
      </c>
      <c r="C1320" s="216">
        <v>194111000</v>
      </c>
      <c r="D1320" s="175" t="s">
        <v>235</v>
      </c>
      <c r="E1320" s="175">
        <v>485.92404417254801</v>
      </c>
      <c r="F1320" s="175" t="s">
        <v>265</v>
      </c>
      <c r="G1320" s="175" t="s">
        <v>3952</v>
      </c>
    </row>
    <row r="1321" spans="1:7">
      <c r="A1321" s="175" t="s">
        <v>3953</v>
      </c>
      <c r="B1321" s="217" t="str">
        <f t="shared" si="20"/>
        <v>194200000[円]</v>
      </c>
      <c r="C1321" s="216">
        <v>194200000</v>
      </c>
      <c r="D1321" s="175" t="s">
        <v>235</v>
      </c>
      <c r="E1321" s="175">
        <v>520.29849337569203</v>
      </c>
      <c r="F1321" s="175" t="s">
        <v>265</v>
      </c>
      <c r="G1321" s="175" t="s">
        <v>3954</v>
      </c>
    </row>
    <row r="1322" spans="1:7">
      <c r="A1322" s="175" t="s">
        <v>3955</v>
      </c>
      <c r="B1322" s="217" t="str">
        <f t="shared" si="20"/>
        <v>194211000[円]</v>
      </c>
      <c r="C1322" s="216">
        <v>194211000</v>
      </c>
      <c r="D1322" s="175" t="s">
        <v>235</v>
      </c>
      <c r="E1322" s="175">
        <v>520</v>
      </c>
      <c r="F1322" s="175" t="s">
        <v>265</v>
      </c>
      <c r="G1322" s="175" t="s">
        <v>3956</v>
      </c>
    </row>
    <row r="1323" spans="1:7">
      <c r="A1323" s="175" t="s">
        <v>3957</v>
      </c>
      <c r="B1323" s="217" t="str">
        <f t="shared" si="20"/>
        <v>194212000[円]</v>
      </c>
      <c r="C1323" s="216">
        <v>194212000</v>
      </c>
      <c r="D1323" s="175" t="s">
        <v>235</v>
      </c>
      <c r="E1323" s="175">
        <v>520</v>
      </c>
      <c r="F1323" s="175" t="s">
        <v>265</v>
      </c>
      <c r="G1323" s="175" t="s">
        <v>3958</v>
      </c>
    </row>
    <row r="1324" spans="1:7">
      <c r="A1324" s="175" t="s">
        <v>3959</v>
      </c>
      <c r="B1324" s="217" t="str">
        <f t="shared" si="20"/>
        <v>194219000[円]</v>
      </c>
      <c r="C1324" s="216">
        <v>194219000</v>
      </c>
      <c r="D1324" s="175" t="s">
        <v>235</v>
      </c>
      <c r="E1324" s="175">
        <v>521.5</v>
      </c>
      <c r="F1324" s="175" t="s">
        <v>265</v>
      </c>
      <c r="G1324" s="175" t="s">
        <v>1071</v>
      </c>
    </row>
    <row r="1325" spans="1:7">
      <c r="A1325" s="175" t="s">
        <v>3960</v>
      </c>
      <c r="B1325" s="217" t="str">
        <f t="shared" si="20"/>
        <v>194300000[円]</v>
      </c>
      <c r="C1325" s="216">
        <v>194300000</v>
      </c>
      <c r="D1325" s="175" t="s">
        <v>235</v>
      </c>
      <c r="E1325" s="175">
        <v>554.71582459830995</v>
      </c>
      <c r="F1325" s="175" t="s">
        <v>265</v>
      </c>
      <c r="G1325" s="175" t="s">
        <v>3961</v>
      </c>
    </row>
    <row r="1326" spans="1:7">
      <c r="A1326" s="175" t="s">
        <v>3962</v>
      </c>
      <c r="B1326" s="217" t="str">
        <f t="shared" si="20"/>
        <v>194311000[円]</v>
      </c>
      <c r="C1326" s="216">
        <v>194311000</v>
      </c>
      <c r="D1326" s="175" t="s">
        <v>235</v>
      </c>
      <c r="E1326" s="175">
        <v>554.71582459830995</v>
      </c>
      <c r="F1326" s="175" t="s">
        <v>265</v>
      </c>
      <c r="G1326" s="175" t="s">
        <v>1072</v>
      </c>
    </row>
    <row r="1327" spans="1:7">
      <c r="A1327" s="175" t="s">
        <v>3963</v>
      </c>
      <c r="B1327" s="217" t="str">
        <f t="shared" si="20"/>
        <v>194400000[円]</v>
      </c>
      <c r="C1327" s="216">
        <v>194400000</v>
      </c>
      <c r="D1327" s="175" t="s">
        <v>235</v>
      </c>
      <c r="E1327" s="175">
        <v>525.43074403145602</v>
      </c>
      <c r="F1327" s="175" t="s">
        <v>265</v>
      </c>
      <c r="G1327" s="175" t="s">
        <v>3964</v>
      </c>
    </row>
    <row r="1328" spans="1:7">
      <c r="A1328" s="175" t="s">
        <v>3965</v>
      </c>
      <c r="B1328" s="217" t="str">
        <f t="shared" si="20"/>
        <v>194411000[円]</v>
      </c>
      <c r="C1328" s="216">
        <v>194411000</v>
      </c>
      <c r="D1328" s="175" t="s">
        <v>235</v>
      </c>
      <c r="E1328" s="175">
        <v>444.66795861162097</v>
      </c>
      <c r="F1328" s="175" t="s">
        <v>265</v>
      </c>
      <c r="G1328" s="175" t="s">
        <v>1073</v>
      </c>
    </row>
    <row r="1329" spans="1:7">
      <c r="A1329" s="175" t="s">
        <v>3966</v>
      </c>
      <c r="B1329" s="217" t="str">
        <f t="shared" si="20"/>
        <v>194412000[円]</v>
      </c>
      <c r="C1329" s="216">
        <v>194412000</v>
      </c>
      <c r="D1329" s="175" t="s">
        <v>235</v>
      </c>
      <c r="E1329" s="175">
        <v>1042.0364741641299</v>
      </c>
      <c r="F1329" s="175" t="s">
        <v>265</v>
      </c>
      <c r="G1329" s="175" t="s">
        <v>1074</v>
      </c>
    </row>
    <row r="1330" spans="1:7">
      <c r="A1330" s="175" t="s">
        <v>3967</v>
      </c>
      <c r="B1330" s="217" t="str">
        <f t="shared" si="20"/>
        <v>194419000[円]</v>
      </c>
      <c r="C1330" s="216">
        <v>194419000</v>
      </c>
      <c r="D1330" s="175" t="s">
        <v>235</v>
      </c>
      <c r="E1330" s="175">
        <v>1092.8</v>
      </c>
      <c r="F1330" s="175" t="s">
        <v>265</v>
      </c>
      <c r="G1330" s="175" t="s">
        <v>1075</v>
      </c>
    </row>
    <row r="1331" spans="1:7">
      <c r="A1331" s="175" t="s">
        <v>3968</v>
      </c>
      <c r="B1331" s="217" t="str">
        <f t="shared" si="20"/>
        <v>195112000[円]</v>
      </c>
      <c r="C1331" s="216">
        <v>195112000</v>
      </c>
      <c r="D1331" s="175" t="s">
        <v>235</v>
      </c>
      <c r="E1331" s="175">
        <v>77.539806499724307</v>
      </c>
      <c r="F1331" s="175" t="s">
        <v>265</v>
      </c>
      <c r="G1331" s="175" t="s">
        <v>1078</v>
      </c>
    </row>
    <row r="1332" spans="1:7">
      <c r="A1332" s="175" t="s">
        <v>3969</v>
      </c>
      <c r="B1332" s="217" t="str">
        <f t="shared" si="20"/>
        <v>195200000[円]</v>
      </c>
      <c r="C1332" s="216">
        <v>195200000</v>
      </c>
      <c r="D1332" s="175" t="s">
        <v>235</v>
      </c>
      <c r="E1332" s="175">
        <v>75.605873156141698</v>
      </c>
      <c r="F1332" s="175" t="s">
        <v>265</v>
      </c>
      <c r="G1332" s="175" t="s">
        <v>3970</v>
      </c>
    </row>
    <row r="1333" spans="1:7">
      <c r="A1333" s="175" t="s">
        <v>3971</v>
      </c>
      <c r="B1333" s="217" t="str">
        <f t="shared" si="20"/>
        <v>195211000[円]</v>
      </c>
      <c r="C1333" s="216">
        <v>195211000</v>
      </c>
      <c r="D1333" s="175" t="s">
        <v>235</v>
      </c>
      <c r="E1333" s="175">
        <v>75.605873156141698</v>
      </c>
      <c r="F1333" s="175" t="s">
        <v>265</v>
      </c>
      <c r="G1333" s="175" t="s">
        <v>1082</v>
      </c>
    </row>
    <row r="1334" spans="1:7">
      <c r="A1334" s="175" t="s">
        <v>3972</v>
      </c>
      <c r="B1334" s="217" t="str">
        <f t="shared" si="20"/>
        <v>199100000[円]</v>
      </c>
      <c r="C1334" s="216">
        <v>199100000</v>
      </c>
      <c r="D1334" s="175" t="s">
        <v>235</v>
      </c>
      <c r="E1334" s="175">
        <v>879</v>
      </c>
      <c r="F1334" s="175" t="s">
        <v>265</v>
      </c>
      <c r="G1334" s="175" t="s">
        <v>3973</v>
      </c>
    </row>
    <row r="1335" spans="1:7">
      <c r="A1335" s="175" t="s">
        <v>3974</v>
      </c>
      <c r="B1335" s="217" t="str">
        <f t="shared" si="20"/>
        <v>199111000[円]</v>
      </c>
      <c r="C1335" s="216">
        <v>199111000</v>
      </c>
      <c r="D1335" s="175" t="s">
        <v>235</v>
      </c>
      <c r="E1335" s="175">
        <v>879</v>
      </c>
      <c r="F1335" s="175" t="s">
        <v>265</v>
      </c>
      <c r="G1335" s="175" t="s">
        <v>1088</v>
      </c>
    </row>
    <row r="1336" spans="1:7">
      <c r="A1336" s="175" t="s">
        <v>3975</v>
      </c>
      <c r="B1336" s="217" t="str">
        <f t="shared" si="20"/>
        <v>199200000[円]</v>
      </c>
      <c r="C1336" s="216">
        <v>199200000</v>
      </c>
      <c r="D1336" s="175" t="s">
        <v>235</v>
      </c>
      <c r="E1336" s="175">
        <v>539.64129674782498</v>
      </c>
      <c r="F1336" s="175" t="s">
        <v>265</v>
      </c>
      <c r="G1336" s="175" t="s">
        <v>3976</v>
      </c>
    </row>
    <row r="1337" spans="1:7">
      <c r="A1337" s="175" t="s">
        <v>3977</v>
      </c>
      <c r="B1337" s="217" t="str">
        <f t="shared" si="20"/>
        <v>199211000[円]</v>
      </c>
      <c r="C1337" s="216">
        <v>199211000</v>
      </c>
      <c r="D1337" s="175" t="s">
        <v>235</v>
      </c>
      <c r="E1337" s="175">
        <v>557.29999999999995</v>
      </c>
      <c r="F1337" s="175" t="s">
        <v>265</v>
      </c>
      <c r="G1337" s="175" t="s">
        <v>1089</v>
      </c>
    </row>
    <row r="1338" spans="1:7">
      <c r="A1338" s="175" t="s">
        <v>3978</v>
      </c>
      <c r="B1338" s="217" t="str">
        <f t="shared" si="20"/>
        <v>199212000[円]</v>
      </c>
      <c r="C1338" s="216">
        <v>199212000</v>
      </c>
      <c r="D1338" s="175" t="s">
        <v>235</v>
      </c>
      <c r="E1338" s="175">
        <v>524.20000000000005</v>
      </c>
      <c r="F1338" s="175" t="s">
        <v>265</v>
      </c>
      <c r="G1338" s="175" t="s">
        <v>1090</v>
      </c>
    </row>
    <row r="1339" spans="1:7">
      <c r="A1339" s="175" t="s">
        <v>3979</v>
      </c>
      <c r="B1339" s="217" t="str">
        <f t="shared" si="20"/>
        <v>199219000[円]</v>
      </c>
      <c r="C1339" s="216">
        <v>199219000</v>
      </c>
      <c r="D1339" s="175" t="s">
        <v>235</v>
      </c>
      <c r="E1339" s="175">
        <v>524.20000000000005</v>
      </c>
      <c r="F1339" s="175" t="s">
        <v>265</v>
      </c>
      <c r="G1339" s="175" t="s">
        <v>1091</v>
      </c>
    </row>
    <row r="1340" spans="1:7">
      <c r="A1340" s="175" t="s">
        <v>3980</v>
      </c>
      <c r="B1340" s="217" t="str">
        <f t="shared" si="20"/>
        <v>199700000[kg]</v>
      </c>
      <c r="C1340" s="216">
        <v>199700000</v>
      </c>
      <c r="D1340" s="175" t="s">
        <v>265</v>
      </c>
      <c r="E1340" s="175">
        <v>4.1592319892312397E-3</v>
      </c>
      <c r="F1340" s="175" t="s">
        <v>235</v>
      </c>
      <c r="G1340" s="175" t="s">
        <v>3981</v>
      </c>
    </row>
    <row r="1341" spans="1:7">
      <c r="A1341" s="175" t="s">
        <v>3982</v>
      </c>
      <c r="B1341" s="217" t="str">
        <f t="shared" si="20"/>
        <v>199719000[円]</v>
      </c>
      <c r="C1341" s="216">
        <v>199719000</v>
      </c>
      <c r="D1341" s="175" t="s">
        <v>235</v>
      </c>
      <c r="E1341" s="175">
        <v>802.5</v>
      </c>
      <c r="F1341" s="175" t="s">
        <v>265</v>
      </c>
      <c r="G1341" s="175" t="s">
        <v>1093</v>
      </c>
    </row>
    <row r="1342" spans="1:7">
      <c r="A1342" s="175" t="s">
        <v>3983</v>
      </c>
      <c r="B1342" s="217" t="str">
        <f t="shared" si="20"/>
        <v>201100000[円]</v>
      </c>
      <c r="C1342" s="216">
        <v>201100000</v>
      </c>
      <c r="D1342" s="175" t="s">
        <v>266</v>
      </c>
      <c r="E1342" s="175">
        <v>6243.14405761541</v>
      </c>
      <c r="F1342" s="175" t="s">
        <v>265</v>
      </c>
      <c r="G1342" s="175" t="s">
        <v>3984</v>
      </c>
    </row>
    <row r="1343" spans="1:7">
      <c r="A1343" s="175" t="s">
        <v>3985</v>
      </c>
      <c r="B1343" s="217" t="str">
        <f t="shared" si="20"/>
        <v>201111000[kg-新ゴム]</v>
      </c>
      <c r="C1343" s="216">
        <v>201111000</v>
      </c>
      <c r="D1343" s="175" t="s">
        <v>266</v>
      </c>
      <c r="E1343" s="175">
        <v>25.640430399051102</v>
      </c>
      <c r="F1343" s="175" t="s">
        <v>1107</v>
      </c>
      <c r="G1343" s="175" t="s">
        <v>1094</v>
      </c>
    </row>
    <row r="1344" spans="1:7">
      <c r="A1344" s="175" t="s">
        <v>3985</v>
      </c>
      <c r="B1344" s="217" t="str">
        <f t="shared" si="20"/>
        <v>201111000[円]</v>
      </c>
      <c r="C1344" s="216">
        <v>201111000</v>
      </c>
      <c r="D1344" s="175" t="s">
        <v>266</v>
      </c>
      <c r="E1344" s="175">
        <v>23505.577743487302</v>
      </c>
      <c r="F1344" s="175" t="s">
        <v>265</v>
      </c>
      <c r="G1344" s="175" t="s">
        <v>1094</v>
      </c>
    </row>
    <row r="1345" spans="1:7">
      <c r="A1345" s="175" t="s">
        <v>3986</v>
      </c>
      <c r="B1345" s="217" t="str">
        <f t="shared" si="20"/>
        <v>201112000[円]</v>
      </c>
      <c r="C1345" s="216">
        <v>201112000</v>
      </c>
      <c r="D1345" s="175" t="s">
        <v>266</v>
      </c>
      <c r="E1345" s="175">
        <v>7020.4259725720703</v>
      </c>
      <c r="F1345" s="175" t="s">
        <v>265</v>
      </c>
      <c r="G1345" s="175" t="s">
        <v>1095</v>
      </c>
    </row>
    <row r="1346" spans="1:7">
      <c r="A1346" s="175" t="s">
        <v>3986</v>
      </c>
      <c r="B1346" s="217" t="str">
        <f t="shared" ref="B1346:B1409" si="21">C1346&amp;"["&amp;F1346&amp;"]"</f>
        <v>201112000[kg-新ゴム]</v>
      </c>
      <c r="C1346" s="216">
        <v>201112000</v>
      </c>
      <c r="D1346" s="175" t="s">
        <v>266</v>
      </c>
      <c r="E1346" s="175">
        <v>6.0486210022012203</v>
      </c>
      <c r="F1346" s="175" t="s">
        <v>1107</v>
      </c>
      <c r="G1346" s="175" t="s">
        <v>1095</v>
      </c>
    </row>
    <row r="1347" spans="1:7">
      <c r="A1347" s="175" t="s">
        <v>3987</v>
      </c>
      <c r="B1347" s="217" t="str">
        <f t="shared" si="21"/>
        <v>201113000[円]</v>
      </c>
      <c r="C1347" s="216">
        <v>201113000</v>
      </c>
      <c r="D1347" s="175" t="s">
        <v>266</v>
      </c>
      <c r="E1347" s="175">
        <v>4371.0024347241997</v>
      </c>
      <c r="F1347" s="175" t="s">
        <v>265</v>
      </c>
      <c r="G1347" s="175" t="s">
        <v>1096</v>
      </c>
    </row>
    <row r="1348" spans="1:7">
      <c r="A1348" s="175" t="s">
        <v>3987</v>
      </c>
      <c r="B1348" s="217" t="str">
        <f t="shared" si="21"/>
        <v>201113000[kg-新ゴム]</v>
      </c>
      <c r="C1348" s="216">
        <v>201113000</v>
      </c>
      <c r="D1348" s="175" t="s">
        <v>266</v>
      </c>
      <c r="E1348" s="175">
        <v>4.1456303501306202</v>
      </c>
      <c r="F1348" s="175" t="s">
        <v>1107</v>
      </c>
      <c r="G1348" s="175" t="s">
        <v>1096</v>
      </c>
    </row>
    <row r="1349" spans="1:7">
      <c r="A1349" s="175" t="s">
        <v>3988</v>
      </c>
      <c r="B1349" s="217" t="str">
        <f t="shared" si="21"/>
        <v>201114000[円]</v>
      </c>
      <c r="C1349" s="216">
        <v>201114000</v>
      </c>
      <c r="D1349" s="175" t="s">
        <v>266</v>
      </c>
      <c r="E1349" s="175">
        <v>2323.8400994200501</v>
      </c>
      <c r="F1349" s="175" t="s">
        <v>265</v>
      </c>
      <c r="G1349" s="175" t="s">
        <v>1097</v>
      </c>
    </row>
    <row r="1350" spans="1:7">
      <c r="A1350" s="175" t="s">
        <v>3988</v>
      </c>
      <c r="B1350" s="217" t="str">
        <f t="shared" si="21"/>
        <v>201114000[kg-新ゴム]</v>
      </c>
      <c r="C1350" s="216">
        <v>201114000</v>
      </c>
      <c r="D1350" s="175" t="s">
        <v>266</v>
      </c>
      <c r="E1350" s="175">
        <v>1.93989415322581</v>
      </c>
      <c r="F1350" s="175" t="s">
        <v>1107</v>
      </c>
      <c r="G1350" s="175" t="s">
        <v>1097</v>
      </c>
    </row>
    <row r="1351" spans="1:7">
      <c r="A1351" s="175" t="s">
        <v>3989</v>
      </c>
      <c r="B1351" s="217" t="str">
        <f t="shared" si="21"/>
        <v>201115000[円]</v>
      </c>
      <c r="C1351" s="216">
        <v>201115000</v>
      </c>
      <c r="D1351" s="175" t="s">
        <v>266</v>
      </c>
      <c r="E1351" s="175">
        <v>88270</v>
      </c>
      <c r="F1351" s="175" t="s">
        <v>265</v>
      </c>
      <c r="G1351" s="175" t="s">
        <v>1098</v>
      </c>
    </row>
    <row r="1352" spans="1:7">
      <c r="A1352" s="175" t="s">
        <v>3989</v>
      </c>
      <c r="B1352" s="217" t="str">
        <f t="shared" si="21"/>
        <v>201115000[kg-新ゴム]</v>
      </c>
      <c r="C1352" s="216">
        <v>201115000</v>
      </c>
      <c r="D1352" s="175" t="s">
        <v>266</v>
      </c>
      <c r="E1352" s="175">
        <v>54.689195735921601</v>
      </c>
      <c r="F1352" s="175" t="s">
        <v>1107</v>
      </c>
      <c r="G1352" s="175" t="s">
        <v>1098</v>
      </c>
    </row>
    <row r="1353" spans="1:7">
      <c r="A1353" s="175" t="s">
        <v>3990</v>
      </c>
      <c r="B1353" s="217" t="str">
        <f t="shared" si="21"/>
        <v>201116000[kg-新ゴム]</v>
      </c>
      <c r="C1353" s="216">
        <v>201116000</v>
      </c>
      <c r="D1353" s="175" t="s">
        <v>266</v>
      </c>
      <c r="E1353" s="175">
        <v>8.8787098005534896E-4</v>
      </c>
      <c r="F1353" s="175" t="s">
        <v>1107</v>
      </c>
      <c r="G1353" s="175" t="s">
        <v>1099</v>
      </c>
    </row>
    <row r="1354" spans="1:7">
      <c r="A1354" s="175" t="s">
        <v>3990</v>
      </c>
      <c r="B1354" s="217" t="str">
        <f t="shared" si="21"/>
        <v>201116000[円]</v>
      </c>
      <c r="C1354" s="216">
        <v>201116000</v>
      </c>
      <c r="D1354" s="175" t="s">
        <v>266</v>
      </c>
      <c r="E1354" s="175">
        <v>932.28583054543401</v>
      </c>
      <c r="F1354" s="175" t="s">
        <v>265</v>
      </c>
      <c r="G1354" s="175" t="s">
        <v>1099</v>
      </c>
    </row>
    <row r="1355" spans="1:7">
      <c r="A1355" s="175" t="s">
        <v>3991</v>
      </c>
      <c r="B1355" s="217" t="str">
        <f t="shared" si="21"/>
        <v>201200000[円]</v>
      </c>
      <c r="C1355" s="216">
        <v>201200000</v>
      </c>
      <c r="D1355" s="175" t="s">
        <v>266</v>
      </c>
      <c r="E1355" s="175">
        <v>335.601699172758</v>
      </c>
      <c r="F1355" s="175" t="s">
        <v>265</v>
      </c>
      <c r="G1355" s="175" t="s">
        <v>3992</v>
      </c>
    </row>
    <row r="1356" spans="1:7">
      <c r="A1356" s="175" t="s">
        <v>3993</v>
      </c>
      <c r="B1356" s="217" t="str">
        <f t="shared" si="21"/>
        <v>201211000[円]</v>
      </c>
      <c r="C1356" s="216">
        <v>201211000</v>
      </c>
      <c r="D1356" s="175" t="s">
        <v>266</v>
      </c>
      <c r="E1356" s="175">
        <v>214.55199999999999</v>
      </c>
      <c r="F1356" s="175" t="s">
        <v>265</v>
      </c>
      <c r="G1356" s="175" t="s">
        <v>1100</v>
      </c>
    </row>
    <row r="1357" spans="1:7">
      <c r="A1357" s="175" t="s">
        <v>3993</v>
      </c>
      <c r="B1357" s="217" t="str">
        <f t="shared" si="21"/>
        <v>201211000[kg-新ゴム]</v>
      </c>
      <c r="C1357" s="216">
        <v>201211000</v>
      </c>
      <c r="D1357" s="175" t="s">
        <v>266</v>
      </c>
      <c r="E1357" s="175">
        <v>0.25881516106086799</v>
      </c>
      <c r="F1357" s="175" t="s">
        <v>1107</v>
      </c>
      <c r="G1357" s="175" t="s">
        <v>1100</v>
      </c>
    </row>
    <row r="1358" spans="1:7">
      <c r="A1358" s="175" t="s">
        <v>3994</v>
      </c>
      <c r="B1358" s="217" t="str">
        <f t="shared" si="21"/>
        <v>201219000[kg-新ゴム]</v>
      </c>
      <c r="C1358" s="216">
        <v>201219000</v>
      </c>
      <c r="D1358" s="175" t="s">
        <v>266</v>
      </c>
      <c r="E1358" s="175">
        <v>2.9874727991288599</v>
      </c>
      <c r="F1358" s="175" t="s">
        <v>1107</v>
      </c>
      <c r="G1358" s="175" t="s">
        <v>1101</v>
      </c>
    </row>
    <row r="1359" spans="1:7">
      <c r="A1359" s="175" t="s">
        <v>3994</v>
      </c>
      <c r="B1359" s="217" t="str">
        <f t="shared" si="21"/>
        <v>201219000[円]</v>
      </c>
      <c r="C1359" s="216">
        <v>201219000</v>
      </c>
      <c r="D1359" s="175" t="s">
        <v>266</v>
      </c>
      <c r="E1359" s="175">
        <v>405.59100000000001</v>
      </c>
      <c r="F1359" s="175" t="s">
        <v>265</v>
      </c>
      <c r="G1359" s="175" t="s">
        <v>1101</v>
      </c>
    </row>
    <row r="1360" spans="1:7">
      <c r="A1360" s="175" t="s">
        <v>3995</v>
      </c>
      <c r="B1360" s="217" t="str">
        <f t="shared" si="21"/>
        <v>202100000[足]</v>
      </c>
      <c r="C1360" s="216">
        <v>202100000</v>
      </c>
      <c r="D1360" s="175" t="s">
        <v>265</v>
      </c>
      <c r="E1360" s="175">
        <v>8.2664115633167702E-4</v>
      </c>
      <c r="F1360" s="175" t="s">
        <v>1103</v>
      </c>
      <c r="G1360" s="175" t="s">
        <v>3996</v>
      </c>
    </row>
    <row r="1361" spans="1:7">
      <c r="A1361" s="175" t="s">
        <v>3997</v>
      </c>
      <c r="B1361" s="217" t="str">
        <f t="shared" si="21"/>
        <v>202111000[kg-新ゴム]</v>
      </c>
      <c r="C1361" s="216">
        <v>202111000</v>
      </c>
      <c r="D1361" s="175" t="s">
        <v>1103</v>
      </c>
      <c r="E1361" s="175">
        <v>3.7355805760977703E-2</v>
      </c>
      <c r="F1361" s="175" t="s">
        <v>1107</v>
      </c>
      <c r="G1361" s="175" t="s">
        <v>1102</v>
      </c>
    </row>
    <row r="1362" spans="1:7">
      <c r="A1362" s="175" t="s">
        <v>3997</v>
      </c>
      <c r="B1362" s="217" t="str">
        <f t="shared" si="21"/>
        <v>202111000[円]</v>
      </c>
      <c r="C1362" s="216">
        <v>202111000</v>
      </c>
      <c r="D1362" s="175" t="s">
        <v>1103</v>
      </c>
      <c r="E1362" s="175">
        <v>1374.5263157894699</v>
      </c>
      <c r="F1362" s="175" t="s">
        <v>265</v>
      </c>
      <c r="G1362" s="175" t="s">
        <v>1102</v>
      </c>
    </row>
    <row r="1363" spans="1:7">
      <c r="A1363" s="175" t="s">
        <v>3998</v>
      </c>
      <c r="B1363" s="217" t="str">
        <f t="shared" si="21"/>
        <v>202112000[円]</v>
      </c>
      <c r="C1363" s="216">
        <v>202112000</v>
      </c>
      <c r="D1363" s="175" t="s">
        <v>1103</v>
      </c>
      <c r="E1363" s="175">
        <v>1302.8292748553699</v>
      </c>
      <c r="F1363" s="175" t="s">
        <v>265</v>
      </c>
      <c r="G1363" s="175" t="s">
        <v>1104</v>
      </c>
    </row>
    <row r="1364" spans="1:7">
      <c r="A1364" s="175" t="s">
        <v>3998</v>
      </c>
      <c r="B1364" s="217" t="str">
        <f t="shared" si="21"/>
        <v>202112000[kg-新ゴム]</v>
      </c>
      <c r="C1364" s="216">
        <v>202112000</v>
      </c>
      <c r="D1364" s="175" t="s">
        <v>1103</v>
      </c>
      <c r="E1364" s="175">
        <v>7.0997272048470797E-2</v>
      </c>
      <c r="F1364" s="175" t="s">
        <v>1107</v>
      </c>
      <c r="G1364" s="175" t="s">
        <v>1104</v>
      </c>
    </row>
    <row r="1365" spans="1:7">
      <c r="A1365" s="175" t="s">
        <v>3999</v>
      </c>
      <c r="B1365" s="217" t="str">
        <f t="shared" si="21"/>
        <v>202113000[円]</v>
      </c>
      <c r="C1365" s="216">
        <v>202113000</v>
      </c>
      <c r="D1365" s="175" t="s">
        <v>1103</v>
      </c>
      <c r="E1365" s="175">
        <v>1962.01814882033</v>
      </c>
      <c r="F1365" s="175" t="s">
        <v>265</v>
      </c>
      <c r="G1365" s="175" t="s">
        <v>1105</v>
      </c>
    </row>
    <row r="1366" spans="1:7">
      <c r="A1366" s="175" t="s">
        <v>3999</v>
      </c>
      <c r="B1366" s="217" t="str">
        <f t="shared" si="21"/>
        <v>202113000[kg-新ゴム]</v>
      </c>
      <c r="C1366" s="216">
        <v>202113000</v>
      </c>
      <c r="D1366" s="175" t="s">
        <v>1103</v>
      </c>
      <c r="E1366" s="175">
        <v>0.23141114968818199</v>
      </c>
      <c r="F1366" s="175" t="s">
        <v>1107</v>
      </c>
      <c r="G1366" s="175" t="s">
        <v>1105</v>
      </c>
    </row>
    <row r="1367" spans="1:7">
      <c r="A1367" s="175" t="s">
        <v>4000</v>
      </c>
      <c r="B1367" s="217" t="str">
        <f t="shared" si="21"/>
        <v>202114000[円]</v>
      </c>
      <c r="C1367" s="216">
        <v>202114000</v>
      </c>
      <c r="D1367" s="175" t="s">
        <v>1103</v>
      </c>
      <c r="E1367" s="175">
        <v>405.865546218487</v>
      </c>
      <c r="F1367" s="175" t="s">
        <v>265</v>
      </c>
      <c r="G1367" s="175" t="s">
        <v>4001</v>
      </c>
    </row>
    <row r="1368" spans="1:7">
      <c r="A1368" s="175" t="s">
        <v>4000</v>
      </c>
      <c r="B1368" s="217" t="str">
        <f t="shared" si="21"/>
        <v>202114000[kg-新ゴム]</v>
      </c>
      <c r="C1368" s="216">
        <v>202114000</v>
      </c>
      <c r="D1368" s="175" t="s">
        <v>1103</v>
      </c>
      <c r="E1368" s="175">
        <v>9.37665345931297E-3</v>
      </c>
      <c r="F1368" s="175" t="s">
        <v>1107</v>
      </c>
      <c r="G1368" s="175" t="s">
        <v>4001</v>
      </c>
    </row>
    <row r="1369" spans="1:7">
      <c r="A1369" s="175" t="s">
        <v>4002</v>
      </c>
      <c r="B1369" s="217" t="str">
        <f t="shared" si="21"/>
        <v>202115000[円]</v>
      </c>
      <c r="C1369" s="216">
        <v>202115000</v>
      </c>
      <c r="D1369" s="175" t="s">
        <v>1107</v>
      </c>
      <c r="E1369" s="175">
        <v>29924.35</v>
      </c>
      <c r="F1369" s="175" t="s">
        <v>265</v>
      </c>
      <c r="G1369" s="175" t="s">
        <v>1106</v>
      </c>
    </row>
    <row r="1370" spans="1:7">
      <c r="A1370" s="175" t="s">
        <v>4003</v>
      </c>
      <c r="B1370" s="217" t="str">
        <f t="shared" si="21"/>
        <v>202200000[足]</v>
      </c>
      <c r="C1370" s="216">
        <v>202200000</v>
      </c>
      <c r="D1370" s="175" t="s">
        <v>265</v>
      </c>
      <c r="E1370" s="175">
        <v>9.0168793810973299E-4</v>
      </c>
      <c r="F1370" s="175" t="s">
        <v>1103</v>
      </c>
      <c r="G1370" s="175" t="s">
        <v>4004</v>
      </c>
    </row>
    <row r="1371" spans="1:7">
      <c r="A1371" s="175" t="s">
        <v>4005</v>
      </c>
      <c r="B1371" s="217" t="str">
        <f t="shared" si="21"/>
        <v>202211000[円]</v>
      </c>
      <c r="C1371" s="216">
        <v>202211000</v>
      </c>
      <c r="D1371" s="175" t="s">
        <v>1103</v>
      </c>
      <c r="E1371" s="175">
        <v>1269.5427887954299</v>
      </c>
      <c r="F1371" s="175" t="s">
        <v>265</v>
      </c>
      <c r="G1371" s="175" t="s">
        <v>1108</v>
      </c>
    </row>
    <row r="1372" spans="1:7">
      <c r="A1372" s="175" t="s">
        <v>4006</v>
      </c>
      <c r="B1372" s="217" t="str">
        <f t="shared" si="21"/>
        <v>202212000[円]</v>
      </c>
      <c r="C1372" s="216">
        <v>202212000</v>
      </c>
      <c r="D1372" s="175" t="s">
        <v>1103</v>
      </c>
      <c r="E1372" s="175">
        <v>767.19863347974604</v>
      </c>
      <c r="F1372" s="175" t="s">
        <v>265</v>
      </c>
      <c r="G1372" s="175" t="s">
        <v>1109</v>
      </c>
    </row>
    <row r="1373" spans="1:7">
      <c r="A1373" s="175" t="s">
        <v>4007</v>
      </c>
      <c r="B1373" s="217" t="str">
        <f t="shared" si="21"/>
        <v>202213000[円]</v>
      </c>
      <c r="C1373" s="216">
        <v>202213000</v>
      </c>
      <c r="D1373" s="175" t="s">
        <v>1103</v>
      </c>
      <c r="E1373" s="175">
        <v>479.69293756397099</v>
      </c>
      <c r="F1373" s="175" t="s">
        <v>265</v>
      </c>
      <c r="G1373" s="175" t="s">
        <v>1110</v>
      </c>
    </row>
    <row r="1374" spans="1:7">
      <c r="A1374" s="175" t="s">
        <v>4008</v>
      </c>
      <c r="B1374" s="217" t="str">
        <f t="shared" si="21"/>
        <v>203100000[kg]</v>
      </c>
      <c r="C1374" s="216">
        <v>203100000</v>
      </c>
      <c r="D1374" s="175" t="s">
        <v>265</v>
      </c>
      <c r="E1374" s="175">
        <v>2.6382720306773299E-4</v>
      </c>
      <c r="F1374" s="175" t="s">
        <v>235</v>
      </c>
      <c r="G1374" s="175" t="s">
        <v>4009</v>
      </c>
    </row>
    <row r="1375" spans="1:7">
      <c r="A1375" s="175" t="s">
        <v>4010</v>
      </c>
      <c r="B1375" s="217" t="str">
        <f t="shared" si="21"/>
        <v>203111000[円]</v>
      </c>
      <c r="C1375" s="216">
        <v>203111000</v>
      </c>
      <c r="D1375" s="175" t="s">
        <v>1112</v>
      </c>
      <c r="E1375" s="175">
        <v>10.501226471711</v>
      </c>
      <c r="F1375" s="175" t="s">
        <v>265</v>
      </c>
      <c r="G1375" s="175" t="s">
        <v>1111</v>
      </c>
    </row>
    <row r="1376" spans="1:7">
      <c r="A1376" s="175" t="s">
        <v>4011</v>
      </c>
      <c r="B1376" s="217" t="str">
        <f t="shared" si="21"/>
        <v>203112000[円]</v>
      </c>
      <c r="C1376" s="216">
        <v>203112000</v>
      </c>
      <c r="D1376" s="175" t="s">
        <v>1112</v>
      </c>
      <c r="E1376" s="175">
        <v>15.116976604679101</v>
      </c>
      <c r="F1376" s="175" t="s">
        <v>265</v>
      </c>
      <c r="G1376" s="175" t="s">
        <v>1113</v>
      </c>
    </row>
    <row r="1377" spans="1:7">
      <c r="A1377" s="175" t="s">
        <v>4012</v>
      </c>
      <c r="B1377" s="217" t="str">
        <f t="shared" si="21"/>
        <v>203113000[円]</v>
      </c>
      <c r="C1377" s="216">
        <v>203113000</v>
      </c>
      <c r="D1377" s="175" t="s">
        <v>1114</v>
      </c>
      <c r="E1377" s="175">
        <v>301.70279579706801</v>
      </c>
      <c r="F1377" s="175" t="s">
        <v>265</v>
      </c>
      <c r="G1377" s="175" t="s">
        <v>4013</v>
      </c>
    </row>
    <row r="1378" spans="1:7">
      <c r="A1378" s="175" t="s">
        <v>4014</v>
      </c>
      <c r="B1378" s="217" t="str">
        <f t="shared" si="21"/>
        <v>203119000[円]</v>
      </c>
      <c r="C1378" s="216">
        <v>203119000</v>
      </c>
      <c r="D1378" s="175" t="s">
        <v>1107</v>
      </c>
      <c r="E1378" s="175">
        <v>3238</v>
      </c>
      <c r="F1378" s="175" t="s">
        <v>265</v>
      </c>
      <c r="G1378" s="175" t="s">
        <v>1115</v>
      </c>
    </row>
    <row r="1379" spans="1:7">
      <c r="A1379" s="175" t="s">
        <v>4015</v>
      </c>
      <c r="B1379" s="217" t="str">
        <f t="shared" si="21"/>
        <v>203200000[円]</v>
      </c>
      <c r="C1379" s="216">
        <v>203200000</v>
      </c>
      <c r="D1379" s="175" t="s">
        <v>1114</v>
      </c>
      <c r="E1379" s="175">
        <v>452.64515962642599</v>
      </c>
      <c r="F1379" s="175" t="s">
        <v>265</v>
      </c>
      <c r="G1379" s="175" t="s">
        <v>4016</v>
      </c>
    </row>
    <row r="1380" spans="1:7">
      <c r="A1380" s="175" t="s">
        <v>4017</v>
      </c>
      <c r="B1380" s="217" t="str">
        <f t="shared" si="21"/>
        <v>203211000[円]</v>
      </c>
      <c r="C1380" s="216">
        <v>203211000</v>
      </c>
      <c r="D1380" s="175" t="s">
        <v>1114</v>
      </c>
      <c r="E1380" s="175">
        <v>452.64515962642599</v>
      </c>
      <c r="F1380" s="175" t="s">
        <v>265</v>
      </c>
      <c r="G1380" s="175" t="s">
        <v>1116</v>
      </c>
    </row>
    <row r="1381" spans="1:7">
      <c r="A1381" s="175" t="s">
        <v>4018</v>
      </c>
      <c r="B1381" s="217" t="str">
        <f t="shared" si="21"/>
        <v>203300000[kg-新ゴム]</v>
      </c>
      <c r="C1381" s="216">
        <v>203300000</v>
      </c>
      <c r="D1381" s="175" t="s">
        <v>265</v>
      </c>
      <c r="E1381" s="175">
        <v>2.6522504361834701E-4</v>
      </c>
      <c r="F1381" s="175" t="s">
        <v>1107</v>
      </c>
      <c r="G1381" s="175" t="s">
        <v>4019</v>
      </c>
    </row>
    <row r="1382" spans="1:7">
      <c r="A1382" s="175" t="s">
        <v>4018</v>
      </c>
      <c r="B1382" s="217" t="str">
        <f t="shared" si="21"/>
        <v>203300000[kg]</v>
      </c>
      <c r="C1382" s="216">
        <v>203300000</v>
      </c>
      <c r="D1382" s="175" t="s">
        <v>265</v>
      </c>
      <c r="E1382" s="175">
        <v>4.2535330853788302E-4</v>
      </c>
      <c r="F1382" s="175" t="s">
        <v>235</v>
      </c>
      <c r="G1382" s="175" t="s">
        <v>4019</v>
      </c>
    </row>
    <row r="1383" spans="1:7">
      <c r="A1383" s="175" t="s">
        <v>4020</v>
      </c>
      <c r="B1383" s="217" t="str">
        <f t="shared" si="21"/>
        <v>203311000[円]</v>
      </c>
      <c r="C1383" s="216">
        <v>203311000</v>
      </c>
      <c r="D1383" s="175" t="s">
        <v>1107</v>
      </c>
      <c r="E1383" s="175">
        <v>4080</v>
      </c>
      <c r="F1383" s="175" t="s">
        <v>265</v>
      </c>
      <c r="G1383" s="175" t="s">
        <v>1117</v>
      </c>
    </row>
    <row r="1384" spans="1:7">
      <c r="A1384" s="175" t="s">
        <v>4021</v>
      </c>
      <c r="B1384" s="217" t="str">
        <f t="shared" si="21"/>
        <v>203312000[円]</v>
      </c>
      <c r="C1384" s="216">
        <v>203312000</v>
      </c>
      <c r="D1384" s="175" t="s">
        <v>1107</v>
      </c>
      <c r="E1384" s="175">
        <v>5204</v>
      </c>
      <c r="F1384" s="175" t="s">
        <v>265</v>
      </c>
      <c r="G1384" s="175" t="s">
        <v>1118</v>
      </c>
    </row>
    <row r="1385" spans="1:7">
      <c r="A1385" s="175" t="s">
        <v>4022</v>
      </c>
      <c r="B1385" s="217" t="str">
        <f t="shared" si="21"/>
        <v>203313000[円]</v>
      </c>
      <c r="C1385" s="216">
        <v>203313000</v>
      </c>
      <c r="D1385" s="175" t="s">
        <v>1107</v>
      </c>
      <c r="E1385" s="175">
        <v>6621</v>
      </c>
      <c r="F1385" s="175" t="s">
        <v>265</v>
      </c>
      <c r="G1385" s="175" t="s">
        <v>1119</v>
      </c>
    </row>
    <row r="1386" spans="1:7">
      <c r="A1386" s="175" t="s">
        <v>4023</v>
      </c>
      <c r="B1386" s="217" t="str">
        <f t="shared" si="21"/>
        <v>203314000[円]</v>
      </c>
      <c r="C1386" s="216">
        <v>203314000</v>
      </c>
      <c r="D1386" s="175" t="s">
        <v>1114</v>
      </c>
      <c r="E1386" s="175">
        <v>184.08662253132701</v>
      </c>
      <c r="F1386" s="175" t="s">
        <v>265</v>
      </c>
      <c r="G1386" s="175" t="s">
        <v>1120</v>
      </c>
    </row>
    <row r="1387" spans="1:7">
      <c r="A1387" s="175" t="s">
        <v>4024</v>
      </c>
      <c r="B1387" s="217" t="str">
        <f t="shared" si="21"/>
        <v>203315000[円]</v>
      </c>
      <c r="C1387" s="216">
        <v>203315000</v>
      </c>
      <c r="D1387" s="175" t="s">
        <v>1107</v>
      </c>
      <c r="E1387" s="175">
        <v>4013.2539999999999</v>
      </c>
      <c r="F1387" s="175" t="s">
        <v>265</v>
      </c>
      <c r="G1387" s="175" t="s">
        <v>1121</v>
      </c>
    </row>
    <row r="1388" spans="1:7">
      <c r="A1388" s="175" t="s">
        <v>4025</v>
      </c>
      <c r="B1388" s="217" t="str">
        <f t="shared" si="21"/>
        <v>203316000[円]</v>
      </c>
      <c r="C1388" s="216">
        <v>203316000</v>
      </c>
      <c r="D1388" s="175" t="s">
        <v>235</v>
      </c>
      <c r="E1388" s="175">
        <v>747.528970110469</v>
      </c>
      <c r="F1388" s="175" t="s">
        <v>265</v>
      </c>
      <c r="G1388" s="175" t="s">
        <v>1122</v>
      </c>
    </row>
    <row r="1389" spans="1:7">
      <c r="A1389" s="175" t="s">
        <v>4026</v>
      </c>
      <c r="B1389" s="217" t="str">
        <f t="shared" si="21"/>
        <v>203317000[円]</v>
      </c>
      <c r="C1389" s="216">
        <v>203317000</v>
      </c>
      <c r="D1389" s="175" t="s">
        <v>1107</v>
      </c>
      <c r="E1389" s="175">
        <v>3444</v>
      </c>
      <c r="F1389" s="175" t="s">
        <v>265</v>
      </c>
      <c r="G1389" s="175" t="s">
        <v>1123</v>
      </c>
    </row>
    <row r="1390" spans="1:7">
      <c r="A1390" s="175" t="s">
        <v>4027</v>
      </c>
      <c r="B1390" s="217" t="str">
        <f t="shared" si="21"/>
        <v>203318000[円]</v>
      </c>
      <c r="C1390" s="216">
        <v>203318000</v>
      </c>
      <c r="D1390" s="175" t="s">
        <v>1107</v>
      </c>
      <c r="E1390" s="175">
        <v>2320</v>
      </c>
      <c r="F1390" s="175" t="s">
        <v>265</v>
      </c>
      <c r="G1390" s="175" t="s">
        <v>1124</v>
      </c>
    </row>
    <row r="1391" spans="1:7">
      <c r="A1391" s="175" t="s">
        <v>4028</v>
      </c>
      <c r="B1391" s="217" t="str">
        <f t="shared" si="21"/>
        <v>203329000[円]</v>
      </c>
      <c r="C1391" s="216">
        <v>203329000</v>
      </c>
      <c r="D1391" s="175" t="s">
        <v>1107</v>
      </c>
      <c r="E1391" s="175">
        <v>3006</v>
      </c>
      <c r="F1391" s="175" t="s">
        <v>265</v>
      </c>
      <c r="G1391" s="175" t="s">
        <v>1125</v>
      </c>
    </row>
    <row r="1392" spans="1:7">
      <c r="A1392" s="175" t="s">
        <v>4029</v>
      </c>
      <c r="B1392" s="217" t="str">
        <f t="shared" si="21"/>
        <v>209100000[m2]</v>
      </c>
      <c r="C1392" s="216">
        <v>209100000</v>
      </c>
      <c r="D1392" s="175" t="s">
        <v>265</v>
      </c>
      <c r="E1392" s="175">
        <v>1.6690936717582701E-3</v>
      </c>
      <c r="F1392" s="175" t="s">
        <v>425</v>
      </c>
      <c r="G1392" s="175" t="s">
        <v>4030</v>
      </c>
    </row>
    <row r="1393" spans="1:7">
      <c r="A1393" s="175" t="s">
        <v>4031</v>
      </c>
      <c r="B1393" s="217" t="str">
        <f t="shared" si="21"/>
        <v>209111000[円]</v>
      </c>
      <c r="C1393" s="216">
        <v>209111000</v>
      </c>
      <c r="D1393" s="175" t="s">
        <v>425</v>
      </c>
      <c r="E1393" s="175">
        <v>366.815502349729</v>
      </c>
      <c r="F1393" s="175" t="s">
        <v>265</v>
      </c>
      <c r="G1393" s="175" t="s">
        <v>1126</v>
      </c>
    </row>
    <row r="1394" spans="1:7">
      <c r="A1394" s="175" t="s">
        <v>4032</v>
      </c>
      <c r="B1394" s="217" t="str">
        <f t="shared" si="21"/>
        <v>209121000[円]</v>
      </c>
      <c r="C1394" s="216">
        <v>209121000</v>
      </c>
      <c r="D1394" s="175" t="s">
        <v>425</v>
      </c>
      <c r="E1394" s="175">
        <v>366.815502349729</v>
      </c>
      <c r="F1394" s="175" t="s">
        <v>265</v>
      </c>
      <c r="G1394" s="175" t="s">
        <v>1128</v>
      </c>
    </row>
    <row r="1395" spans="1:7">
      <c r="A1395" s="175" t="s">
        <v>4033</v>
      </c>
      <c r="B1395" s="217" t="str">
        <f t="shared" si="21"/>
        <v>209200000[円]</v>
      </c>
      <c r="C1395" s="216">
        <v>209200000</v>
      </c>
      <c r="D1395" s="175" t="s">
        <v>1107</v>
      </c>
      <c r="E1395" s="175">
        <v>7141</v>
      </c>
      <c r="F1395" s="175" t="s">
        <v>265</v>
      </c>
      <c r="G1395" s="175" t="s">
        <v>4034</v>
      </c>
    </row>
    <row r="1396" spans="1:7">
      <c r="A1396" s="175" t="s">
        <v>4035</v>
      </c>
      <c r="B1396" s="217" t="str">
        <f t="shared" si="21"/>
        <v>209211000[円]</v>
      </c>
      <c r="C1396" s="216">
        <v>209211000</v>
      </c>
      <c r="D1396" s="175" t="s">
        <v>1107</v>
      </c>
      <c r="E1396" s="175">
        <v>7141</v>
      </c>
      <c r="F1396" s="175" t="s">
        <v>265</v>
      </c>
      <c r="G1396" s="175" t="s">
        <v>1129</v>
      </c>
    </row>
    <row r="1397" spans="1:7">
      <c r="A1397" s="175" t="s">
        <v>4036</v>
      </c>
      <c r="B1397" s="217" t="str">
        <f t="shared" si="21"/>
        <v>209300000[kg]</v>
      </c>
      <c r="C1397" s="216">
        <v>209300000</v>
      </c>
      <c r="D1397" s="175" t="s">
        <v>265</v>
      </c>
      <c r="E1397" s="175">
        <v>4.3611642525280096E-3</v>
      </c>
      <c r="F1397" s="175" t="s">
        <v>235</v>
      </c>
      <c r="G1397" s="175" t="s">
        <v>4037</v>
      </c>
    </row>
    <row r="1398" spans="1:7">
      <c r="A1398" s="175" t="s">
        <v>4038</v>
      </c>
      <c r="B1398" s="217" t="str">
        <f t="shared" si="21"/>
        <v>209311000[円]</v>
      </c>
      <c r="C1398" s="216">
        <v>209311000</v>
      </c>
      <c r="D1398" s="175" t="s">
        <v>235</v>
      </c>
      <c r="E1398" s="175">
        <v>428.17619888602098</v>
      </c>
      <c r="F1398" s="175" t="s">
        <v>265</v>
      </c>
      <c r="G1398" s="175" t="s">
        <v>1130</v>
      </c>
    </row>
    <row r="1399" spans="1:7">
      <c r="A1399" s="175" t="s">
        <v>4039</v>
      </c>
      <c r="B1399" s="217" t="str">
        <f t="shared" si="21"/>
        <v>209400000[円]</v>
      </c>
      <c r="C1399" s="216">
        <v>209400000</v>
      </c>
      <c r="D1399" s="175" t="s">
        <v>266</v>
      </c>
      <c r="E1399" s="175">
        <v>12463.946530727</v>
      </c>
      <c r="F1399" s="175" t="s">
        <v>265</v>
      </c>
      <c r="G1399" s="175" t="s">
        <v>4040</v>
      </c>
    </row>
    <row r="1400" spans="1:7">
      <c r="A1400" s="175" t="s">
        <v>4041</v>
      </c>
      <c r="B1400" s="217" t="str">
        <f t="shared" si="21"/>
        <v>209411000[円]</v>
      </c>
      <c r="C1400" s="216">
        <v>209411000</v>
      </c>
      <c r="D1400" s="175" t="s">
        <v>266</v>
      </c>
      <c r="E1400" s="175">
        <v>12463.946530727</v>
      </c>
      <c r="F1400" s="175" t="s">
        <v>265</v>
      </c>
      <c r="G1400" s="175" t="s">
        <v>1131</v>
      </c>
    </row>
    <row r="1401" spans="1:7">
      <c r="A1401" s="175" t="s">
        <v>4042</v>
      </c>
      <c r="B1401" s="217" t="str">
        <f t="shared" si="21"/>
        <v>209500000[円]</v>
      </c>
      <c r="C1401" s="216">
        <v>209500000</v>
      </c>
      <c r="D1401" s="175" t="s">
        <v>235</v>
      </c>
      <c r="E1401" s="175">
        <v>129.43035590986099</v>
      </c>
      <c r="F1401" s="175" t="s">
        <v>265</v>
      </c>
      <c r="G1401" s="175" t="s">
        <v>4043</v>
      </c>
    </row>
    <row r="1402" spans="1:7">
      <c r="A1402" s="175" t="s">
        <v>4044</v>
      </c>
      <c r="B1402" s="217" t="str">
        <f t="shared" si="21"/>
        <v>209511000[円]</v>
      </c>
      <c r="C1402" s="216">
        <v>209511000</v>
      </c>
      <c r="D1402" s="175" t="s">
        <v>235</v>
      </c>
      <c r="E1402" s="175">
        <v>129.43035590986099</v>
      </c>
      <c r="F1402" s="175" t="s">
        <v>265</v>
      </c>
      <c r="G1402" s="175" t="s">
        <v>1132</v>
      </c>
    </row>
    <row r="1403" spans="1:7">
      <c r="A1403" s="175" t="s">
        <v>4045</v>
      </c>
      <c r="B1403" s="217" t="str">
        <f t="shared" si="21"/>
        <v>209900000[kg]</v>
      </c>
      <c r="C1403" s="216">
        <v>209900000</v>
      </c>
      <c r="D1403" s="175" t="s">
        <v>265</v>
      </c>
      <c r="E1403" s="175">
        <v>4.5161447999063001E-4</v>
      </c>
      <c r="F1403" s="175" t="s">
        <v>235</v>
      </c>
      <c r="G1403" s="175" t="s">
        <v>4046</v>
      </c>
    </row>
    <row r="1404" spans="1:7">
      <c r="A1404" s="175" t="s">
        <v>4047</v>
      </c>
      <c r="B1404" s="217" t="str">
        <f t="shared" si="21"/>
        <v>209911000[円]</v>
      </c>
      <c r="C1404" s="216">
        <v>209911000</v>
      </c>
      <c r="D1404" s="175" t="s">
        <v>1134</v>
      </c>
      <c r="E1404" s="175">
        <v>186.15253177745399</v>
      </c>
      <c r="F1404" s="175" t="s">
        <v>265</v>
      </c>
      <c r="G1404" s="175" t="s">
        <v>1133</v>
      </c>
    </row>
    <row r="1405" spans="1:7">
      <c r="A1405" s="175" t="s">
        <v>4048</v>
      </c>
      <c r="B1405" s="217" t="str">
        <f t="shared" si="21"/>
        <v>209919000[円]</v>
      </c>
      <c r="C1405" s="216">
        <v>209919000</v>
      </c>
      <c r="D1405" s="175" t="s">
        <v>1107</v>
      </c>
      <c r="E1405" s="175">
        <v>2913.4540000000002</v>
      </c>
      <c r="F1405" s="175" t="s">
        <v>265</v>
      </c>
      <c r="G1405" s="175" t="s">
        <v>1135</v>
      </c>
    </row>
    <row r="1406" spans="1:7">
      <c r="A1406" s="175" t="s">
        <v>4049</v>
      </c>
      <c r="B1406" s="217" t="str">
        <f t="shared" si="21"/>
        <v>211100000[kg]</v>
      </c>
      <c r="C1406" s="216">
        <v>211100000</v>
      </c>
      <c r="D1406" s="175" t="s">
        <v>265</v>
      </c>
      <c r="E1406" s="175">
        <v>1.17501104943663E-3</v>
      </c>
      <c r="F1406" s="175" t="s">
        <v>235</v>
      </c>
      <c r="G1406" s="175" t="s">
        <v>4050</v>
      </c>
    </row>
    <row r="1407" spans="1:7">
      <c r="A1407" s="175" t="s">
        <v>4049</v>
      </c>
      <c r="B1407" s="217" t="str">
        <f t="shared" si="21"/>
        <v>211100000[枚]</v>
      </c>
      <c r="C1407" s="216">
        <v>211100000</v>
      </c>
      <c r="D1407" s="175" t="s">
        <v>265</v>
      </c>
      <c r="E1407" s="175">
        <v>8.7189131574856203E-5</v>
      </c>
      <c r="F1407" s="175" t="s">
        <v>641</v>
      </c>
      <c r="G1407" s="175" t="s">
        <v>4050</v>
      </c>
    </row>
    <row r="1408" spans="1:7">
      <c r="A1408" s="175" t="s">
        <v>4051</v>
      </c>
      <c r="B1408" s="217" t="str">
        <f t="shared" si="21"/>
        <v>211111000[m2]</v>
      </c>
      <c r="C1408" s="216">
        <v>211111000</v>
      </c>
      <c r="D1408" s="175" t="s">
        <v>235</v>
      </c>
      <c r="E1408" s="175">
        <v>0.169191744793285</v>
      </c>
      <c r="F1408" s="175" t="s">
        <v>425</v>
      </c>
      <c r="G1408" s="175" t="s">
        <v>1136</v>
      </c>
    </row>
    <row r="1409" spans="1:7">
      <c r="A1409" s="175" t="s">
        <v>4051</v>
      </c>
      <c r="B1409" s="217" t="str">
        <f t="shared" si="21"/>
        <v>211111000[円]</v>
      </c>
      <c r="C1409" s="216">
        <v>211111000</v>
      </c>
      <c r="D1409" s="175" t="s">
        <v>235</v>
      </c>
      <c r="E1409" s="175">
        <v>1269.989695</v>
      </c>
      <c r="F1409" s="175" t="s">
        <v>265</v>
      </c>
      <c r="G1409" s="175" t="s">
        <v>1136</v>
      </c>
    </row>
    <row r="1410" spans="1:7">
      <c r="A1410" s="175" t="s">
        <v>4052</v>
      </c>
      <c r="B1410" s="217" t="str">
        <f t="shared" ref="B1410:B1473" si="22">C1410&amp;"["&amp;F1410&amp;"]"</f>
        <v>211112000[m2]</v>
      </c>
      <c r="C1410" s="216">
        <v>211112000</v>
      </c>
      <c r="D1410" s="175" t="s">
        <v>235</v>
      </c>
      <c r="E1410" s="175">
        <v>0.33055650859846197</v>
      </c>
      <c r="F1410" s="175" t="s">
        <v>425</v>
      </c>
      <c r="G1410" s="175" t="s">
        <v>1137</v>
      </c>
    </row>
    <row r="1411" spans="1:7">
      <c r="A1411" s="175" t="s">
        <v>4052</v>
      </c>
      <c r="B1411" s="217" t="str">
        <f t="shared" si="22"/>
        <v>211112000[円]</v>
      </c>
      <c r="C1411" s="216">
        <v>211112000</v>
      </c>
      <c r="D1411" s="175" t="s">
        <v>235</v>
      </c>
      <c r="E1411" s="175">
        <v>2871.7504330000002</v>
      </c>
      <c r="F1411" s="175" t="s">
        <v>265</v>
      </c>
      <c r="G1411" s="175" t="s">
        <v>1137</v>
      </c>
    </row>
    <row r="1412" spans="1:7">
      <c r="A1412" s="175" t="s">
        <v>4053</v>
      </c>
      <c r="B1412" s="217" t="str">
        <f t="shared" si="22"/>
        <v>211113000[円]</v>
      </c>
      <c r="C1412" s="216">
        <v>211113000</v>
      </c>
      <c r="D1412" s="175" t="s">
        <v>235</v>
      </c>
      <c r="E1412" s="175">
        <v>559.63791200000003</v>
      </c>
      <c r="F1412" s="175" t="s">
        <v>265</v>
      </c>
      <c r="G1412" s="175" t="s">
        <v>4054</v>
      </c>
    </row>
    <row r="1413" spans="1:7">
      <c r="A1413" s="175" t="s">
        <v>4053</v>
      </c>
      <c r="B1413" s="217" t="str">
        <f t="shared" si="22"/>
        <v>211113000[m2]</v>
      </c>
      <c r="C1413" s="216">
        <v>211113000</v>
      </c>
      <c r="D1413" s="175" t="s">
        <v>235</v>
      </c>
      <c r="E1413" s="175">
        <v>0.169193856775324</v>
      </c>
      <c r="F1413" s="175" t="s">
        <v>425</v>
      </c>
      <c r="G1413" s="175" t="s">
        <v>4054</v>
      </c>
    </row>
    <row r="1414" spans="1:7">
      <c r="A1414" s="175" t="s">
        <v>4055</v>
      </c>
      <c r="B1414" s="217" t="str">
        <f t="shared" si="22"/>
        <v>211114000[m2]</v>
      </c>
      <c r="C1414" s="216">
        <v>211114000</v>
      </c>
      <c r="D1414" s="175" t="s">
        <v>235</v>
      </c>
      <c r="E1414" s="175">
        <v>0.18546192259675401</v>
      </c>
      <c r="F1414" s="175" t="s">
        <v>425</v>
      </c>
      <c r="G1414" s="175" t="s">
        <v>4056</v>
      </c>
    </row>
    <row r="1415" spans="1:7">
      <c r="A1415" s="175" t="s">
        <v>4055</v>
      </c>
      <c r="B1415" s="217" t="str">
        <f t="shared" si="22"/>
        <v>211114000[円]</v>
      </c>
      <c r="C1415" s="216">
        <v>211114000</v>
      </c>
      <c r="D1415" s="175" t="s">
        <v>235</v>
      </c>
      <c r="E1415" s="175">
        <v>559.63791270000002</v>
      </c>
      <c r="F1415" s="175" t="s">
        <v>265</v>
      </c>
      <c r="G1415" s="175" t="s">
        <v>4056</v>
      </c>
    </row>
    <row r="1416" spans="1:7">
      <c r="A1416" s="175" t="s">
        <v>4057</v>
      </c>
      <c r="B1416" s="217" t="str">
        <f t="shared" si="22"/>
        <v>211119000[m2]</v>
      </c>
      <c r="C1416" s="216">
        <v>211119000</v>
      </c>
      <c r="D1416" s="175" t="s">
        <v>235</v>
      </c>
      <c r="E1416" s="175">
        <v>2.3930919207556502E-2</v>
      </c>
      <c r="F1416" s="175" t="s">
        <v>425</v>
      </c>
      <c r="G1416" s="175" t="s">
        <v>1138</v>
      </c>
    </row>
    <row r="1417" spans="1:7">
      <c r="A1417" s="175" t="s">
        <v>4057</v>
      </c>
      <c r="B1417" s="217" t="str">
        <f t="shared" si="22"/>
        <v>211119000[円]</v>
      </c>
      <c r="C1417" s="216">
        <v>211119000</v>
      </c>
      <c r="D1417" s="175" t="s">
        <v>235</v>
      </c>
      <c r="E1417" s="175">
        <v>502.73224040000002</v>
      </c>
      <c r="F1417" s="175" t="s">
        <v>265</v>
      </c>
      <c r="G1417" s="175" t="s">
        <v>1138</v>
      </c>
    </row>
    <row r="1418" spans="1:7">
      <c r="A1418" s="175" t="s">
        <v>4058</v>
      </c>
      <c r="B1418" s="217" t="str">
        <f t="shared" si="22"/>
        <v>211121000[円]</v>
      </c>
      <c r="C1418" s="216">
        <v>211121000</v>
      </c>
      <c r="D1418" s="175" t="s">
        <v>235</v>
      </c>
      <c r="E1418" s="175">
        <v>1692.5031799999999</v>
      </c>
      <c r="F1418" s="175" t="s">
        <v>265</v>
      </c>
      <c r="G1418" s="175" t="s">
        <v>1139</v>
      </c>
    </row>
    <row r="1419" spans="1:7">
      <c r="A1419" s="175" t="s">
        <v>4058</v>
      </c>
      <c r="B1419" s="217" t="str">
        <f t="shared" si="22"/>
        <v>211121000[m2]</v>
      </c>
      <c r="C1419" s="216">
        <v>211121000</v>
      </c>
      <c r="D1419" s="175" t="s">
        <v>235</v>
      </c>
      <c r="E1419" s="175">
        <v>0.30375635876840701</v>
      </c>
      <c r="F1419" s="175" t="s">
        <v>425</v>
      </c>
      <c r="G1419" s="175" t="s">
        <v>1139</v>
      </c>
    </row>
    <row r="1420" spans="1:7">
      <c r="A1420" s="175" t="s">
        <v>4059</v>
      </c>
      <c r="B1420" s="217" t="str">
        <f t="shared" si="22"/>
        <v>211122000[m2]</v>
      </c>
      <c r="C1420" s="216">
        <v>211122000</v>
      </c>
      <c r="D1420" s="175" t="s">
        <v>235</v>
      </c>
      <c r="E1420" s="175">
        <v>0.213835631549917</v>
      </c>
      <c r="F1420" s="175" t="s">
        <v>425</v>
      </c>
      <c r="G1420" s="175" t="s">
        <v>1140</v>
      </c>
    </row>
    <row r="1421" spans="1:7">
      <c r="A1421" s="175" t="s">
        <v>4059</v>
      </c>
      <c r="B1421" s="217" t="str">
        <f t="shared" si="22"/>
        <v>211122000[円]</v>
      </c>
      <c r="C1421" s="216">
        <v>211122000</v>
      </c>
      <c r="D1421" s="175" t="s">
        <v>235</v>
      </c>
      <c r="E1421" s="175">
        <v>316.11754000000002</v>
      </c>
      <c r="F1421" s="175" t="s">
        <v>265</v>
      </c>
      <c r="G1421" s="175" t="s">
        <v>1140</v>
      </c>
    </row>
    <row r="1422" spans="1:7">
      <c r="A1422" s="175" t="s">
        <v>4060</v>
      </c>
      <c r="B1422" s="217" t="str">
        <f t="shared" si="22"/>
        <v>211123000[m2]</v>
      </c>
      <c r="C1422" s="216">
        <v>211123000</v>
      </c>
      <c r="D1422" s="175" t="s">
        <v>235</v>
      </c>
      <c r="E1422" s="175">
        <v>0.30375635876840701</v>
      </c>
      <c r="F1422" s="175" t="s">
        <v>425</v>
      </c>
      <c r="G1422" s="175" t="s">
        <v>1141</v>
      </c>
    </row>
    <row r="1423" spans="1:7">
      <c r="A1423" s="175" t="s">
        <v>4060</v>
      </c>
      <c r="B1423" s="217" t="str">
        <f t="shared" si="22"/>
        <v>211123000[円]</v>
      </c>
      <c r="C1423" s="216">
        <v>211123000</v>
      </c>
      <c r="D1423" s="175" t="s">
        <v>235</v>
      </c>
      <c r="E1423" s="175">
        <v>1692.5031799999999</v>
      </c>
      <c r="F1423" s="175" t="s">
        <v>265</v>
      </c>
      <c r="G1423" s="175" t="s">
        <v>1141</v>
      </c>
    </row>
    <row r="1424" spans="1:7">
      <c r="A1424" s="175" t="s">
        <v>4061</v>
      </c>
      <c r="B1424" s="217" t="str">
        <f t="shared" si="22"/>
        <v>214100000[足]</v>
      </c>
      <c r="C1424" s="216">
        <v>214100000</v>
      </c>
      <c r="D1424" s="175" t="s">
        <v>265</v>
      </c>
      <c r="E1424" s="175">
        <v>2.1058253673168301E-4</v>
      </c>
      <c r="F1424" s="175" t="s">
        <v>1103</v>
      </c>
      <c r="G1424" s="175" t="s">
        <v>4062</v>
      </c>
    </row>
    <row r="1425" spans="1:7">
      <c r="A1425" s="175" t="s">
        <v>4063</v>
      </c>
      <c r="B1425" s="217" t="str">
        <f t="shared" si="22"/>
        <v>214111000[円]</v>
      </c>
      <c r="C1425" s="216">
        <v>214111000</v>
      </c>
      <c r="D1425" s="175" t="s">
        <v>1103</v>
      </c>
      <c r="E1425" s="175">
        <v>5697.1924098392301</v>
      </c>
      <c r="F1425" s="175" t="s">
        <v>265</v>
      </c>
      <c r="G1425" s="175" t="s">
        <v>4064</v>
      </c>
    </row>
    <row r="1426" spans="1:7">
      <c r="A1426" s="175" t="s">
        <v>4065</v>
      </c>
      <c r="B1426" s="217" t="str">
        <f t="shared" si="22"/>
        <v>214112000[円]</v>
      </c>
      <c r="C1426" s="216">
        <v>214112000</v>
      </c>
      <c r="D1426" s="175" t="s">
        <v>1103</v>
      </c>
      <c r="E1426" s="175">
        <v>5377.3895474938299</v>
      </c>
      <c r="F1426" s="175" t="s">
        <v>265</v>
      </c>
      <c r="G1426" s="175" t="s">
        <v>1144</v>
      </c>
    </row>
    <row r="1427" spans="1:7">
      <c r="A1427" s="175" t="s">
        <v>4066</v>
      </c>
      <c r="B1427" s="217" t="str">
        <f t="shared" si="22"/>
        <v>214113000[円]</v>
      </c>
      <c r="C1427" s="216">
        <v>214113000</v>
      </c>
      <c r="D1427" s="175" t="s">
        <v>1103</v>
      </c>
      <c r="E1427" s="175">
        <v>4452.3439319521003</v>
      </c>
      <c r="F1427" s="175" t="s">
        <v>265</v>
      </c>
      <c r="G1427" s="175" t="s">
        <v>1145</v>
      </c>
    </row>
    <row r="1428" spans="1:7">
      <c r="A1428" s="175" t="s">
        <v>4067</v>
      </c>
      <c r="B1428" s="217" t="str">
        <f t="shared" si="22"/>
        <v>214114000[円]</v>
      </c>
      <c r="C1428" s="216">
        <v>214114000</v>
      </c>
      <c r="D1428" s="175" t="s">
        <v>1103</v>
      </c>
      <c r="E1428" s="175">
        <v>3005.66875568766</v>
      </c>
      <c r="F1428" s="175" t="s">
        <v>265</v>
      </c>
      <c r="G1428" s="175" t="s">
        <v>1146</v>
      </c>
    </row>
    <row r="1429" spans="1:7">
      <c r="A1429" s="175" t="s">
        <v>4068</v>
      </c>
      <c r="B1429" s="217" t="str">
        <f t="shared" si="22"/>
        <v>214119000[円]</v>
      </c>
      <c r="C1429" s="216">
        <v>214119000</v>
      </c>
      <c r="D1429" s="175" t="s">
        <v>1103</v>
      </c>
      <c r="E1429" s="175">
        <v>4702.6777000000002</v>
      </c>
      <c r="F1429" s="175" t="s">
        <v>265</v>
      </c>
      <c r="G1429" s="175" t="s">
        <v>1147</v>
      </c>
    </row>
    <row r="1430" spans="1:7">
      <c r="A1430" s="175" t="s">
        <v>4069</v>
      </c>
      <c r="B1430" s="217" t="str">
        <f t="shared" si="22"/>
        <v>215100000[双]</v>
      </c>
      <c r="C1430" s="216">
        <v>215100000</v>
      </c>
      <c r="D1430" s="175" t="s">
        <v>265</v>
      </c>
      <c r="E1430" s="175">
        <v>1.3387307954300699E-3</v>
      </c>
      <c r="F1430" s="175" t="s">
        <v>1134</v>
      </c>
      <c r="G1430" s="175" t="s">
        <v>4070</v>
      </c>
    </row>
    <row r="1431" spans="1:7">
      <c r="A1431" s="175" t="s">
        <v>4071</v>
      </c>
      <c r="B1431" s="217" t="str">
        <f t="shared" si="22"/>
        <v>215111000[円]</v>
      </c>
      <c r="C1431" s="216">
        <v>215111000</v>
      </c>
      <c r="D1431" s="175" t="s">
        <v>1134</v>
      </c>
      <c r="E1431" s="175">
        <v>1043.62637362637</v>
      </c>
      <c r="F1431" s="175" t="s">
        <v>265</v>
      </c>
      <c r="G1431" s="175" t="s">
        <v>4072</v>
      </c>
    </row>
    <row r="1432" spans="1:7">
      <c r="A1432" s="175" t="s">
        <v>4073</v>
      </c>
      <c r="B1432" s="217" t="str">
        <f t="shared" si="22"/>
        <v>215112000[円]</v>
      </c>
      <c r="C1432" s="216">
        <v>215112000</v>
      </c>
      <c r="D1432" s="175" t="s">
        <v>1134</v>
      </c>
      <c r="E1432" s="175">
        <v>254.683575780182</v>
      </c>
      <c r="F1432" s="175" t="s">
        <v>265</v>
      </c>
      <c r="G1432" s="175" t="s">
        <v>4074</v>
      </c>
    </row>
    <row r="1433" spans="1:7">
      <c r="A1433" s="175" t="s">
        <v>4075</v>
      </c>
      <c r="B1433" s="217" t="str">
        <f t="shared" si="22"/>
        <v>216111000[円]</v>
      </c>
      <c r="C1433" s="216">
        <v>216111000</v>
      </c>
      <c r="D1433" s="175" t="s">
        <v>629</v>
      </c>
      <c r="E1433" s="175">
        <v>6287.8646479507297</v>
      </c>
      <c r="F1433" s="175" t="s">
        <v>265</v>
      </c>
      <c r="G1433" s="175" t="s">
        <v>1149</v>
      </c>
    </row>
    <row r="1434" spans="1:7">
      <c r="A1434" s="175" t="s">
        <v>4076</v>
      </c>
      <c r="B1434" s="217" t="str">
        <f t="shared" si="22"/>
        <v>216112000[円]</v>
      </c>
      <c r="C1434" s="216">
        <v>216112000</v>
      </c>
      <c r="D1434" s="175" t="s">
        <v>629</v>
      </c>
      <c r="E1434" s="175">
        <v>13077.491617125101</v>
      </c>
      <c r="F1434" s="175" t="s">
        <v>265</v>
      </c>
      <c r="G1434" s="175" t="s">
        <v>1150</v>
      </c>
    </row>
    <row r="1435" spans="1:7">
      <c r="A1435" s="175" t="s">
        <v>4077</v>
      </c>
      <c r="B1435" s="217" t="str">
        <f t="shared" si="22"/>
        <v>217200000[個]</v>
      </c>
      <c r="C1435" s="216">
        <v>217200000</v>
      </c>
      <c r="D1435" s="175" t="s">
        <v>265</v>
      </c>
      <c r="E1435" s="175">
        <v>1.28827391002174E-4</v>
      </c>
      <c r="F1435" s="175" t="s">
        <v>629</v>
      </c>
      <c r="G1435" s="175" t="s">
        <v>4078</v>
      </c>
    </row>
    <row r="1436" spans="1:7">
      <c r="A1436" s="175" t="s">
        <v>4079</v>
      </c>
      <c r="B1436" s="217" t="str">
        <f t="shared" si="22"/>
        <v>217211000[円]</v>
      </c>
      <c r="C1436" s="216">
        <v>217211000</v>
      </c>
      <c r="D1436" s="175" t="s">
        <v>629</v>
      </c>
      <c r="E1436" s="175">
        <v>8240.6982469550803</v>
      </c>
      <c r="F1436" s="175" t="s">
        <v>265</v>
      </c>
      <c r="G1436" s="175" t="s">
        <v>1157</v>
      </c>
    </row>
    <row r="1437" spans="1:7">
      <c r="A1437" s="175" t="s">
        <v>4080</v>
      </c>
      <c r="B1437" s="217" t="str">
        <f t="shared" si="22"/>
        <v>217212000[円]</v>
      </c>
      <c r="C1437" s="216">
        <v>217212000</v>
      </c>
      <c r="D1437" s="175" t="s">
        <v>629</v>
      </c>
      <c r="E1437" s="175">
        <v>3000.0034161989302</v>
      </c>
      <c r="F1437" s="175" t="s">
        <v>265</v>
      </c>
      <c r="G1437" s="175" t="s">
        <v>1158</v>
      </c>
    </row>
    <row r="1438" spans="1:7">
      <c r="A1438" s="175" t="s">
        <v>4081</v>
      </c>
      <c r="B1438" s="217" t="str">
        <f t="shared" si="22"/>
        <v>221100000[kg]</v>
      </c>
      <c r="C1438" s="216">
        <v>221100000</v>
      </c>
      <c r="D1438" s="175" t="s">
        <v>1162</v>
      </c>
      <c r="E1438" s="175">
        <v>46.45</v>
      </c>
      <c r="F1438" s="175" t="s">
        <v>235</v>
      </c>
      <c r="G1438" s="175" t="s">
        <v>4082</v>
      </c>
    </row>
    <row r="1439" spans="1:7">
      <c r="A1439" s="175" t="s">
        <v>4081</v>
      </c>
      <c r="B1439" s="217" t="str">
        <f t="shared" si="22"/>
        <v>221100000[円]</v>
      </c>
      <c r="C1439" s="216">
        <v>221100000</v>
      </c>
      <c r="D1439" s="175" t="s">
        <v>1162</v>
      </c>
      <c r="E1439" s="175">
        <v>4800</v>
      </c>
      <c r="F1439" s="175" t="s">
        <v>265</v>
      </c>
      <c r="G1439" s="175" t="s">
        <v>4082</v>
      </c>
    </row>
    <row r="1440" spans="1:7">
      <c r="A1440" s="175" t="s">
        <v>4083</v>
      </c>
      <c r="B1440" s="217" t="str">
        <f t="shared" si="22"/>
        <v>221111000[円]</v>
      </c>
      <c r="C1440" s="216">
        <v>221111000</v>
      </c>
      <c r="D1440" s="175" t="s">
        <v>1162</v>
      </c>
      <c r="E1440" s="175">
        <v>20000.003904322199</v>
      </c>
      <c r="F1440" s="175" t="s">
        <v>265</v>
      </c>
      <c r="G1440" s="175" t="s">
        <v>1161</v>
      </c>
    </row>
    <row r="1441" spans="1:7">
      <c r="A1441" s="175" t="s">
        <v>4083</v>
      </c>
      <c r="B1441" s="217" t="str">
        <f t="shared" si="22"/>
        <v>221111000[kg]</v>
      </c>
      <c r="C1441" s="216">
        <v>221111000</v>
      </c>
      <c r="D1441" s="175" t="s">
        <v>1162</v>
      </c>
      <c r="E1441" s="175">
        <v>46.45</v>
      </c>
      <c r="F1441" s="175" t="s">
        <v>235</v>
      </c>
      <c r="G1441" s="175" t="s">
        <v>1161</v>
      </c>
    </row>
    <row r="1442" spans="1:7">
      <c r="A1442" s="175" t="s">
        <v>4083</v>
      </c>
      <c r="B1442" s="217" t="str">
        <f t="shared" si="22"/>
        <v>221111000[m2]</v>
      </c>
      <c r="C1442" s="216">
        <v>221111000</v>
      </c>
      <c r="D1442" s="175" t="s">
        <v>1162</v>
      </c>
      <c r="E1442" s="175">
        <v>9.2899999999999991</v>
      </c>
      <c r="F1442" s="175" t="s">
        <v>425</v>
      </c>
      <c r="G1442" s="175" t="s">
        <v>1161</v>
      </c>
    </row>
    <row r="1443" spans="1:7">
      <c r="A1443" s="175" t="s">
        <v>4084</v>
      </c>
      <c r="B1443" s="217" t="str">
        <f t="shared" si="22"/>
        <v>221112000[kg]</v>
      </c>
      <c r="C1443" s="216">
        <v>221112000</v>
      </c>
      <c r="D1443" s="175" t="s">
        <v>1162</v>
      </c>
      <c r="E1443" s="175">
        <v>46.45</v>
      </c>
      <c r="F1443" s="175" t="s">
        <v>235</v>
      </c>
      <c r="G1443" s="175" t="s">
        <v>1163</v>
      </c>
    </row>
    <row r="1444" spans="1:7">
      <c r="A1444" s="175" t="s">
        <v>4084</v>
      </c>
      <c r="B1444" s="217" t="str">
        <f t="shared" si="22"/>
        <v>221112000[円]</v>
      </c>
      <c r="C1444" s="216">
        <v>221112000</v>
      </c>
      <c r="D1444" s="175" t="s">
        <v>1162</v>
      </c>
      <c r="E1444" s="175">
        <v>3639.4542181254001</v>
      </c>
      <c r="F1444" s="175" t="s">
        <v>265</v>
      </c>
      <c r="G1444" s="175" t="s">
        <v>1163</v>
      </c>
    </row>
    <row r="1445" spans="1:7">
      <c r="A1445" s="175" t="s">
        <v>4084</v>
      </c>
      <c r="B1445" s="217" t="str">
        <f t="shared" si="22"/>
        <v>221112000[m2]</v>
      </c>
      <c r="C1445" s="216">
        <v>221112000</v>
      </c>
      <c r="D1445" s="175" t="s">
        <v>1162</v>
      </c>
      <c r="E1445" s="175">
        <v>9.2899999999999991</v>
      </c>
      <c r="F1445" s="175" t="s">
        <v>425</v>
      </c>
      <c r="G1445" s="175" t="s">
        <v>1163</v>
      </c>
    </row>
    <row r="1446" spans="1:7">
      <c r="A1446" s="175" t="s">
        <v>4085</v>
      </c>
      <c r="B1446" s="217" t="str">
        <f t="shared" si="22"/>
        <v>221113000[m2]</v>
      </c>
      <c r="C1446" s="216">
        <v>221113000</v>
      </c>
      <c r="D1446" s="175" t="s">
        <v>1162</v>
      </c>
      <c r="E1446" s="175">
        <v>9.2899999999999991</v>
      </c>
      <c r="F1446" s="175" t="s">
        <v>425</v>
      </c>
      <c r="G1446" s="175" t="s">
        <v>1164</v>
      </c>
    </row>
    <row r="1447" spans="1:7">
      <c r="A1447" s="175" t="s">
        <v>4085</v>
      </c>
      <c r="B1447" s="217" t="str">
        <f t="shared" si="22"/>
        <v>221113000[円]</v>
      </c>
      <c r="C1447" s="216">
        <v>221113000</v>
      </c>
      <c r="D1447" s="175" t="s">
        <v>1162</v>
      </c>
      <c r="E1447" s="175">
        <v>5052.5432879395403</v>
      </c>
      <c r="F1447" s="175" t="s">
        <v>265</v>
      </c>
      <c r="G1447" s="175" t="s">
        <v>1164</v>
      </c>
    </row>
    <row r="1448" spans="1:7">
      <c r="A1448" s="175" t="s">
        <v>4085</v>
      </c>
      <c r="B1448" s="217" t="str">
        <f t="shared" si="22"/>
        <v>221113000[kg]</v>
      </c>
      <c r="C1448" s="216">
        <v>221113000</v>
      </c>
      <c r="D1448" s="175" t="s">
        <v>1162</v>
      </c>
      <c r="E1448" s="175">
        <v>46.45</v>
      </c>
      <c r="F1448" s="175" t="s">
        <v>235</v>
      </c>
      <c r="G1448" s="175" t="s">
        <v>1164</v>
      </c>
    </row>
    <row r="1449" spans="1:7">
      <c r="A1449" s="175" t="s">
        <v>4086</v>
      </c>
      <c r="B1449" s="217" t="str">
        <f t="shared" si="22"/>
        <v>221200000[m2]</v>
      </c>
      <c r="C1449" s="216">
        <v>221200000</v>
      </c>
      <c r="D1449" s="175" t="s">
        <v>265</v>
      </c>
      <c r="E1449" s="175">
        <v>1.5747999999999999E-4</v>
      </c>
      <c r="F1449" s="175" t="s">
        <v>425</v>
      </c>
      <c r="G1449" s="175" t="s">
        <v>4087</v>
      </c>
    </row>
    <row r="1450" spans="1:7">
      <c r="A1450" s="175" t="s">
        <v>4088</v>
      </c>
      <c r="B1450" s="217" t="str">
        <f t="shared" si="22"/>
        <v>221211000[kg]</v>
      </c>
      <c r="C1450" s="216">
        <v>221211000</v>
      </c>
      <c r="D1450" s="175" t="s">
        <v>425</v>
      </c>
      <c r="E1450" s="175">
        <v>8.0795440349999996</v>
      </c>
      <c r="F1450" s="175" t="s">
        <v>235</v>
      </c>
      <c r="G1450" s="175" t="s">
        <v>1165</v>
      </c>
    </row>
    <row r="1451" spans="1:7">
      <c r="A1451" s="175" t="s">
        <v>4088</v>
      </c>
      <c r="B1451" s="217" t="str">
        <f t="shared" si="22"/>
        <v>221211000[円]</v>
      </c>
      <c r="C1451" s="216">
        <v>221211000</v>
      </c>
      <c r="D1451" s="175" t="s">
        <v>425</v>
      </c>
      <c r="E1451" s="175">
        <v>7194.0088018999004</v>
      </c>
      <c r="F1451" s="175" t="s">
        <v>265</v>
      </c>
      <c r="G1451" s="175" t="s">
        <v>1165</v>
      </c>
    </row>
    <row r="1452" spans="1:7">
      <c r="A1452" s="175" t="s">
        <v>4089</v>
      </c>
      <c r="B1452" s="217" t="str">
        <f t="shared" si="22"/>
        <v>221212000[kg]</v>
      </c>
      <c r="C1452" s="216">
        <v>221212000</v>
      </c>
      <c r="D1452" s="175" t="s">
        <v>425</v>
      </c>
      <c r="E1452" s="175">
        <v>8.0795440349999996</v>
      </c>
      <c r="F1452" s="175" t="s">
        <v>235</v>
      </c>
      <c r="G1452" s="175" t="s">
        <v>1166</v>
      </c>
    </row>
    <row r="1453" spans="1:7">
      <c r="A1453" s="175" t="s">
        <v>4089</v>
      </c>
      <c r="B1453" s="217" t="str">
        <f t="shared" si="22"/>
        <v>221212000[円]</v>
      </c>
      <c r="C1453" s="216">
        <v>221212000</v>
      </c>
      <c r="D1453" s="175" t="s">
        <v>425</v>
      </c>
      <c r="E1453" s="175">
        <v>3680.5452213307199</v>
      </c>
      <c r="F1453" s="175" t="s">
        <v>265</v>
      </c>
      <c r="G1453" s="175" t="s">
        <v>1166</v>
      </c>
    </row>
    <row r="1454" spans="1:7">
      <c r="A1454" s="175" t="s">
        <v>4090</v>
      </c>
      <c r="B1454" s="217" t="str">
        <f t="shared" si="22"/>
        <v>221219000[kg]</v>
      </c>
      <c r="C1454" s="216">
        <v>221219000</v>
      </c>
      <c r="D1454" s="175" t="s">
        <v>425</v>
      </c>
      <c r="E1454" s="175">
        <v>8.0795440349999996</v>
      </c>
      <c r="F1454" s="175" t="s">
        <v>235</v>
      </c>
      <c r="G1454" s="175" t="s">
        <v>1167</v>
      </c>
    </row>
    <row r="1455" spans="1:7">
      <c r="A1455" s="175" t="s">
        <v>4090</v>
      </c>
      <c r="B1455" s="217" t="str">
        <f t="shared" si="22"/>
        <v>221219000[円]</v>
      </c>
      <c r="C1455" s="216">
        <v>221219000</v>
      </c>
      <c r="D1455" s="175" t="s">
        <v>425</v>
      </c>
      <c r="E1455" s="175">
        <v>5311.6014951121297</v>
      </c>
      <c r="F1455" s="175" t="s">
        <v>265</v>
      </c>
      <c r="G1455" s="175" t="s">
        <v>1167</v>
      </c>
    </row>
    <row r="1456" spans="1:7">
      <c r="A1456" s="175" t="s">
        <v>4091</v>
      </c>
      <c r="B1456" s="217" t="str">
        <f t="shared" si="22"/>
        <v>221221000[m2]</v>
      </c>
      <c r="C1456" s="216">
        <v>221221000</v>
      </c>
      <c r="D1456" s="175" t="s">
        <v>265</v>
      </c>
      <c r="E1456" s="175">
        <v>6.3492063492063503E-5</v>
      </c>
      <c r="F1456" s="175" t="s">
        <v>425</v>
      </c>
      <c r="G1456" s="175" t="s">
        <v>1168</v>
      </c>
    </row>
    <row r="1457" spans="1:7">
      <c r="A1457" s="175" t="s">
        <v>4092</v>
      </c>
      <c r="B1457" s="217" t="str">
        <f t="shared" si="22"/>
        <v>221300000[kg]</v>
      </c>
      <c r="C1457" s="216">
        <v>221300000</v>
      </c>
      <c r="D1457" s="175" t="s">
        <v>265</v>
      </c>
      <c r="E1457" s="175">
        <v>1.1613344452354099E-3</v>
      </c>
      <c r="F1457" s="175" t="s">
        <v>235</v>
      </c>
      <c r="G1457" s="175" t="s">
        <v>4093</v>
      </c>
    </row>
    <row r="1458" spans="1:7">
      <c r="A1458" s="175" t="s">
        <v>4094</v>
      </c>
      <c r="B1458" s="217" t="str">
        <f t="shared" si="22"/>
        <v>221311000[円]</v>
      </c>
      <c r="C1458" s="216">
        <v>221311000</v>
      </c>
      <c r="D1458" s="175" t="s">
        <v>235</v>
      </c>
      <c r="E1458" s="175">
        <v>4612.8741975265102</v>
      </c>
      <c r="F1458" s="175" t="s">
        <v>265</v>
      </c>
      <c r="G1458" s="175" t="s">
        <v>1169</v>
      </c>
    </row>
    <row r="1459" spans="1:7">
      <c r="A1459" s="175" t="s">
        <v>4095</v>
      </c>
      <c r="B1459" s="217" t="str">
        <f t="shared" si="22"/>
        <v>221312000[円]</v>
      </c>
      <c r="C1459" s="216">
        <v>221312000</v>
      </c>
      <c r="D1459" s="175" t="s">
        <v>235</v>
      </c>
      <c r="E1459" s="175">
        <v>484.74258587291598</v>
      </c>
      <c r="F1459" s="175" t="s">
        <v>265</v>
      </c>
      <c r="G1459" s="175" t="s">
        <v>1170</v>
      </c>
    </row>
    <row r="1460" spans="1:7">
      <c r="A1460" s="175" t="s">
        <v>4096</v>
      </c>
      <c r="B1460" s="217" t="str">
        <f t="shared" si="22"/>
        <v>221313000[円]</v>
      </c>
      <c r="C1460" s="216">
        <v>221313000</v>
      </c>
      <c r="D1460" s="175" t="s">
        <v>235</v>
      </c>
      <c r="E1460" s="175">
        <v>234.18394353771501</v>
      </c>
      <c r="F1460" s="175" t="s">
        <v>265</v>
      </c>
      <c r="G1460" s="175" t="s">
        <v>1171</v>
      </c>
    </row>
    <row r="1461" spans="1:7">
      <c r="A1461" s="175" t="s">
        <v>4097</v>
      </c>
      <c r="B1461" s="217" t="str">
        <f t="shared" si="22"/>
        <v>221314000[円]</v>
      </c>
      <c r="C1461" s="216">
        <v>221314000</v>
      </c>
      <c r="D1461" s="175" t="s">
        <v>235</v>
      </c>
      <c r="E1461" s="175">
        <v>278.34755847353301</v>
      </c>
      <c r="F1461" s="175" t="s">
        <v>265</v>
      </c>
      <c r="G1461" s="175" t="s">
        <v>1172</v>
      </c>
    </row>
    <row r="1462" spans="1:7">
      <c r="A1462" s="175" t="s">
        <v>4098</v>
      </c>
      <c r="B1462" s="217" t="str">
        <f t="shared" si="22"/>
        <v>221400000[kg]</v>
      </c>
      <c r="C1462" s="216">
        <v>221400000</v>
      </c>
      <c r="D1462" s="175" t="s">
        <v>265</v>
      </c>
      <c r="E1462" s="175">
        <v>9.9789394482943695E-3</v>
      </c>
      <c r="F1462" s="175" t="s">
        <v>235</v>
      </c>
      <c r="G1462" s="175" t="s">
        <v>4099</v>
      </c>
    </row>
    <row r="1463" spans="1:7">
      <c r="A1463" s="175" t="s">
        <v>4100</v>
      </c>
      <c r="B1463" s="217" t="str">
        <f t="shared" si="22"/>
        <v>221411000[円]</v>
      </c>
      <c r="C1463" s="216">
        <v>221411000</v>
      </c>
      <c r="D1463" s="175" t="s">
        <v>235</v>
      </c>
      <c r="E1463" s="175">
        <v>90.974060802483194</v>
      </c>
      <c r="F1463" s="175" t="s">
        <v>265</v>
      </c>
      <c r="G1463" s="175" t="s">
        <v>1175</v>
      </c>
    </row>
    <row r="1464" spans="1:7">
      <c r="A1464" s="175" t="s">
        <v>4101</v>
      </c>
      <c r="B1464" s="217" t="str">
        <f t="shared" si="22"/>
        <v>221412000[円]</v>
      </c>
      <c r="C1464" s="216">
        <v>221412000</v>
      </c>
      <c r="D1464" s="175" t="s">
        <v>235</v>
      </c>
      <c r="E1464" s="175">
        <v>91.618002076955193</v>
      </c>
      <c r="F1464" s="175" t="s">
        <v>265</v>
      </c>
      <c r="G1464" s="175" t="s">
        <v>1176</v>
      </c>
    </row>
    <row r="1465" spans="1:7">
      <c r="A1465" s="175" t="s">
        <v>4102</v>
      </c>
      <c r="B1465" s="217" t="str">
        <f t="shared" si="22"/>
        <v>221419000[kg]</v>
      </c>
      <c r="C1465" s="216">
        <v>221419000</v>
      </c>
      <c r="D1465" s="175" t="s">
        <v>265</v>
      </c>
      <c r="E1465" s="175">
        <v>9.9789394482943695E-3</v>
      </c>
      <c r="F1465" s="175" t="s">
        <v>235</v>
      </c>
      <c r="G1465" s="175" t="s">
        <v>1177</v>
      </c>
    </row>
    <row r="1466" spans="1:7">
      <c r="A1466" s="175" t="s">
        <v>4103</v>
      </c>
      <c r="B1466" s="217" t="str">
        <f t="shared" si="22"/>
        <v>221500000[kg]</v>
      </c>
      <c r="C1466" s="216">
        <v>221500000</v>
      </c>
      <c r="D1466" s="175" t="s">
        <v>265</v>
      </c>
      <c r="E1466" s="175">
        <v>5.70261535205691E-3</v>
      </c>
      <c r="F1466" s="175" t="s">
        <v>235</v>
      </c>
      <c r="G1466" s="175" t="s">
        <v>4104</v>
      </c>
    </row>
    <row r="1467" spans="1:7">
      <c r="A1467" s="175" t="s">
        <v>4105</v>
      </c>
      <c r="B1467" s="217" t="str">
        <f t="shared" si="22"/>
        <v>221511000[円]</v>
      </c>
      <c r="C1467" s="216">
        <v>221511000</v>
      </c>
      <c r="D1467" s="175" t="s">
        <v>235</v>
      </c>
      <c r="E1467" s="175">
        <v>294.63040446304001</v>
      </c>
      <c r="F1467" s="175" t="s">
        <v>265</v>
      </c>
      <c r="G1467" s="175" t="s">
        <v>1178</v>
      </c>
    </row>
    <row r="1468" spans="1:7">
      <c r="A1468" s="175" t="s">
        <v>4106</v>
      </c>
      <c r="B1468" s="217" t="str">
        <f t="shared" si="22"/>
        <v>221512000[kg]</v>
      </c>
      <c r="C1468" s="216">
        <v>221512000</v>
      </c>
      <c r="D1468" s="175" t="s">
        <v>265</v>
      </c>
      <c r="E1468" s="175">
        <v>9.9789394482943695E-3</v>
      </c>
      <c r="F1468" s="175" t="s">
        <v>235</v>
      </c>
      <c r="G1468" s="175" t="s">
        <v>1179</v>
      </c>
    </row>
    <row r="1469" spans="1:7">
      <c r="A1469" s="175" t="s">
        <v>4107</v>
      </c>
      <c r="B1469" s="217" t="str">
        <f t="shared" si="22"/>
        <v>221513000[円]</v>
      </c>
      <c r="C1469" s="216">
        <v>221513000</v>
      </c>
      <c r="D1469" s="175" t="s">
        <v>235</v>
      </c>
      <c r="E1469" s="175">
        <v>93.854999448247497</v>
      </c>
      <c r="F1469" s="175" t="s">
        <v>265</v>
      </c>
      <c r="G1469" s="175" t="s">
        <v>1180</v>
      </c>
    </row>
    <row r="1470" spans="1:7">
      <c r="A1470" s="175" t="s">
        <v>4108</v>
      </c>
      <c r="B1470" s="217" t="str">
        <f t="shared" si="22"/>
        <v>221600000[kg]</v>
      </c>
      <c r="C1470" s="216">
        <v>221600000</v>
      </c>
      <c r="D1470" s="175" t="s">
        <v>265</v>
      </c>
      <c r="E1470" s="175">
        <v>9.9789394482943695E-3</v>
      </c>
      <c r="F1470" s="175" t="s">
        <v>235</v>
      </c>
      <c r="G1470" s="175" t="s">
        <v>4109</v>
      </c>
    </row>
    <row r="1471" spans="1:7">
      <c r="A1471" s="175" t="s">
        <v>4110</v>
      </c>
      <c r="B1471" s="217" t="str">
        <f t="shared" si="22"/>
        <v>221611000[kg]</v>
      </c>
      <c r="C1471" s="216">
        <v>221611000</v>
      </c>
      <c r="D1471" s="175" t="s">
        <v>265</v>
      </c>
      <c r="E1471" s="175">
        <v>9.9789394482943695E-3</v>
      </c>
      <c r="F1471" s="175" t="s">
        <v>235</v>
      </c>
      <c r="G1471" s="175" t="s">
        <v>1181</v>
      </c>
    </row>
    <row r="1472" spans="1:7">
      <c r="A1472" s="175" t="s">
        <v>4111</v>
      </c>
      <c r="B1472" s="217" t="str">
        <f t="shared" si="22"/>
        <v>221612000[kg]</v>
      </c>
      <c r="C1472" s="216">
        <v>221612000</v>
      </c>
      <c r="D1472" s="175" t="s">
        <v>265</v>
      </c>
      <c r="E1472" s="175">
        <v>9.9789394482943695E-3</v>
      </c>
      <c r="F1472" s="175" t="s">
        <v>235</v>
      </c>
      <c r="G1472" s="175" t="s">
        <v>1182</v>
      </c>
    </row>
    <row r="1473" spans="1:7">
      <c r="A1473" s="175" t="s">
        <v>4112</v>
      </c>
      <c r="B1473" s="217" t="str">
        <f t="shared" si="22"/>
        <v>221700000[kg]</v>
      </c>
      <c r="C1473" s="216">
        <v>221700000</v>
      </c>
      <c r="D1473" s="175" t="s">
        <v>265</v>
      </c>
      <c r="E1473" s="175">
        <v>3.1540222621347798E-3</v>
      </c>
      <c r="F1473" s="175" t="s">
        <v>235</v>
      </c>
      <c r="G1473" s="175" t="s">
        <v>4113</v>
      </c>
    </row>
    <row r="1474" spans="1:7">
      <c r="A1474" s="175" t="s">
        <v>4114</v>
      </c>
      <c r="B1474" s="217" t="str">
        <f t="shared" ref="B1474:B1537" si="23">C1474&amp;"["&amp;F1474&amp;"]"</f>
        <v>221711000[円]</v>
      </c>
      <c r="C1474" s="216">
        <v>221711000</v>
      </c>
      <c r="D1474" s="175" t="s">
        <v>235</v>
      </c>
      <c r="E1474" s="175">
        <v>348.78038522473599</v>
      </c>
      <c r="F1474" s="175" t="s">
        <v>265</v>
      </c>
      <c r="G1474" s="175" t="s">
        <v>4115</v>
      </c>
    </row>
    <row r="1475" spans="1:7">
      <c r="A1475" s="175" t="s">
        <v>4116</v>
      </c>
      <c r="B1475" s="217" t="str">
        <f t="shared" si="23"/>
        <v>221712000[円]</v>
      </c>
      <c r="C1475" s="216">
        <v>221712000</v>
      </c>
      <c r="D1475" s="175" t="s">
        <v>235</v>
      </c>
      <c r="E1475" s="175">
        <v>485.07880063128101</v>
      </c>
      <c r="F1475" s="175" t="s">
        <v>265</v>
      </c>
      <c r="G1475" s="175" t="s">
        <v>4117</v>
      </c>
    </row>
    <row r="1476" spans="1:7">
      <c r="A1476" s="175" t="s">
        <v>4118</v>
      </c>
      <c r="B1476" s="217" t="str">
        <f t="shared" si="23"/>
        <v>221713000[m-芯]</v>
      </c>
      <c r="C1476" s="216">
        <v>221713000</v>
      </c>
      <c r="D1476" s="175" t="s">
        <v>265</v>
      </c>
      <c r="E1476" s="175">
        <v>0.2</v>
      </c>
      <c r="F1476" s="175" t="s">
        <v>1185</v>
      </c>
      <c r="G1476" s="175" t="s">
        <v>1186</v>
      </c>
    </row>
    <row r="1477" spans="1:7">
      <c r="A1477" s="175" t="s">
        <v>4119</v>
      </c>
      <c r="B1477" s="217" t="str">
        <f t="shared" si="23"/>
        <v>221900000[kg]</v>
      </c>
      <c r="C1477" s="216">
        <v>221900000</v>
      </c>
      <c r="D1477" s="175" t="s">
        <v>265</v>
      </c>
      <c r="E1477" s="175">
        <v>1.1475639248583699E-3</v>
      </c>
      <c r="F1477" s="175" t="s">
        <v>235</v>
      </c>
      <c r="G1477" s="175" t="s">
        <v>4120</v>
      </c>
    </row>
    <row r="1478" spans="1:7">
      <c r="A1478" s="175" t="s">
        <v>4121</v>
      </c>
      <c r="B1478" s="217" t="str">
        <f t="shared" si="23"/>
        <v>221911000[kg]</v>
      </c>
      <c r="C1478" s="216">
        <v>221911000</v>
      </c>
      <c r="D1478" s="175" t="s">
        <v>265</v>
      </c>
      <c r="E1478" s="175">
        <v>2.9399522347018799E-3</v>
      </c>
      <c r="F1478" s="175" t="s">
        <v>235</v>
      </c>
      <c r="G1478" s="175" t="s">
        <v>1187</v>
      </c>
    </row>
    <row r="1479" spans="1:7">
      <c r="A1479" s="175" t="s">
        <v>4122</v>
      </c>
      <c r="B1479" s="217" t="str">
        <f t="shared" si="23"/>
        <v>221912000[円]</v>
      </c>
      <c r="C1479" s="216">
        <v>221912000</v>
      </c>
      <c r="D1479" s="175" t="s">
        <v>235</v>
      </c>
      <c r="E1479" s="175">
        <v>1250.7968461667499</v>
      </c>
      <c r="F1479" s="175" t="s">
        <v>265</v>
      </c>
      <c r="G1479" s="175" t="s">
        <v>1188</v>
      </c>
    </row>
    <row r="1480" spans="1:7">
      <c r="A1480" s="175" t="s">
        <v>4123</v>
      </c>
      <c r="B1480" s="217" t="str">
        <f t="shared" si="23"/>
        <v>222100000[円]</v>
      </c>
      <c r="C1480" s="216">
        <v>222100000</v>
      </c>
      <c r="D1480" s="175" t="s">
        <v>235</v>
      </c>
      <c r="E1480" s="175">
        <v>6.2033275410000002</v>
      </c>
      <c r="F1480" s="175" t="s">
        <v>265</v>
      </c>
      <c r="G1480" s="175" t="s">
        <v>4124</v>
      </c>
    </row>
    <row r="1481" spans="1:7">
      <c r="A1481" s="175" t="s">
        <v>4125</v>
      </c>
      <c r="B1481" s="217" t="str">
        <f t="shared" si="23"/>
        <v>222111000[円]</v>
      </c>
      <c r="C1481" s="216">
        <v>222111000</v>
      </c>
      <c r="D1481" s="175" t="s">
        <v>235</v>
      </c>
      <c r="E1481" s="175">
        <v>6.84533844115942</v>
      </c>
      <c r="F1481" s="175" t="s">
        <v>265</v>
      </c>
      <c r="G1481" s="175" t="s">
        <v>1189</v>
      </c>
    </row>
    <row r="1482" spans="1:7">
      <c r="A1482" s="175" t="s">
        <v>4126</v>
      </c>
      <c r="B1482" s="217" t="str">
        <f t="shared" si="23"/>
        <v>222112000[円]</v>
      </c>
      <c r="C1482" s="216">
        <v>222112000</v>
      </c>
      <c r="D1482" s="175" t="s">
        <v>235</v>
      </c>
      <c r="E1482" s="175">
        <v>3.2000617951490802</v>
      </c>
      <c r="F1482" s="175" t="s">
        <v>265</v>
      </c>
      <c r="G1482" s="175" t="s">
        <v>1190</v>
      </c>
    </row>
    <row r="1483" spans="1:7">
      <c r="A1483" s="175" t="s">
        <v>4127</v>
      </c>
      <c r="B1483" s="217" t="str">
        <f t="shared" si="23"/>
        <v>222119000[円]</v>
      </c>
      <c r="C1483" s="216">
        <v>222119000</v>
      </c>
      <c r="D1483" s="175" t="s">
        <v>235</v>
      </c>
      <c r="E1483" s="175">
        <v>6.2588101245218501</v>
      </c>
      <c r="F1483" s="175" t="s">
        <v>265</v>
      </c>
      <c r="G1483" s="175" t="s">
        <v>1191</v>
      </c>
    </row>
    <row r="1484" spans="1:7">
      <c r="A1484" s="175" t="s">
        <v>4128</v>
      </c>
      <c r="B1484" s="217" t="str">
        <f t="shared" si="23"/>
        <v>222200000[円]</v>
      </c>
      <c r="C1484" s="216">
        <v>222200000</v>
      </c>
      <c r="D1484" s="175" t="s">
        <v>278</v>
      </c>
      <c r="E1484" s="175">
        <v>12360.674356662001</v>
      </c>
      <c r="F1484" s="175" t="s">
        <v>265</v>
      </c>
      <c r="G1484" s="175" t="s">
        <v>4129</v>
      </c>
    </row>
    <row r="1485" spans="1:7">
      <c r="A1485" s="175" t="s">
        <v>4130</v>
      </c>
      <c r="B1485" s="217" t="str">
        <f t="shared" si="23"/>
        <v>222211000[円]</v>
      </c>
      <c r="C1485" s="216">
        <v>222211000</v>
      </c>
      <c r="D1485" s="175" t="s">
        <v>278</v>
      </c>
      <c r="E1485" s="175">
        <v>12360.674356662001</v>
      </c>
      <c r="F1485" s="175" t="s">
        <v>265</v>
      </c>
      <c r="G1485" s="175" t="s">
        <v>1192</v>
      </c>
    </row>
    <row r="1486" spans="1:7">
      <c r="A1486" s="175" t="s">
        <v>4131</v>
      </c>
      <c r="B1486" s="217" t="str">
        <f t="shared" si="23"/>
        <v>222300000[kg]</v>
      </c>
      <c r="C1486" s="216">
        <v>222300000</v>
      </c>
      <c r="D1486" s="175" t="s">
        <v>265</v>
      </c>
      <c r="E1486" s="175">
        <v>4.1620049567635001E-2</v>
      </c>
      <c r="F1486" s="175" t="s">
        <v>235</v>
      </c>
      <c r="G1486" s="175" t="s">
        <v>4132</v>
      </c>
    </row>
    <row r="1487" spans="1:7">
      <c r="A1487" s="175" t="s">
        <v>4133</v>
      </c>
      <c r="B1487" s="217" t="str">
        <f t="shared" si="23"/>
        <v>222311000[円]</v>
      </c>
      <c r="C1487" s="216">
        <v>222311000</v>
      </c>
      <c r="D1487" s="175" t="s">
        <v>235</v>
      </c>
      <c r="E1487" s="175">
        <v>41.343712834185702</v>
      </c>
      <c r="F1487" s="175" t="s">
        <v>265</v>
      </c>
      <c r="G1487" s="175" t="s">
        <v>1194</v>
      </c>
    </row>
    <row r="1488" spans="1:7">
      <c r="A1488" s="175" t="s">
        <v>4134</v>
      </c>
      <c r="B1488" s="217" t="str">
        <f t="shared" si="23"/>
        <v>222312000[円]</v>
      </c>
      <c r="C1488" s="216">
        <v>222312000</v>
      </c>
      <c r="D1488" s="175" t="s">
        <v>235</v>
      </c>
      <c r="E1488" s="175">
        <v>43.407398999096898</v>
      </c>
      <c r="F1488" s="175" t="s">
        <v>265</v>
      </c>
      <c r="G1488" s="175" t="s">
        <v>1195</v>
      </c>
    </row>
    <row r="1489" spans="1:7">
      <c r="A1489" s="175" t="s">
        <v>4135</v>
      </c>
      <c r="B1489" s="217" t="str">
        <f t="shared" si="23"/>
        <v>222313000[円]</v>
      </c>
      <c r="C1489" s="216">
        <v>222313000</v>
      </c>
      <c r="D1489" s="175" t="s">
        <v>235</v>
      </c>
      <c r="E1489" s="175">
        <v>26.5272816151768</v>
      </c>
      <c r="F1489" s="175" t="s">
        <v>265</v>
      </c>
      <c r="G1489" s="175" t="s">
        <v>1196</v>
      </c>
    </row>
    <row r="1490" spans="1:7">
      <c r="A1490" s="175" t="s">
        <v>4136</v>
      </c>
      <c r="B1490" s="217" t="str">
        <f t="shared" si="23"/>
        <v>222314000[円]</v>
      </c>
      <c r="C1490" s="216">
        <v>222314000</v>
      </c>
      <c r="D1490" s="175" t="s">
        <v>235</v>
      </c>
      <c r="E1490" s="175">
        <v>25.0281533294275</v>
      </c>
      <c r="F1490" s="175" t="s">
        <v>265</v>
      </c>
      <c r="G1490" s="175" t="s">
        <v>1198</v>
      </c>
    </row>
    <row r="1491" spans="1:7">
      <c r="A1491" s="175" t="s">
        <v>4137</v>
      </c>
      <c r="B1491" s="217" t="str">
        <f t="shared" si="23"/>
        <v>222315000[円]</v>
      </c>
      <c r="C1491" s="216">
        <v>222315000</v>
      </c>
      <c r="D1491" s="175" t="s">
        <v>629</v>
      </c>
      <c r="E1491" s="175">
        <v>123.99037896924</v>
      </c>
      <c r="F1491" s="175" t="s">
        <v>265</v>
      </c>
      <c r="G1491" s="175" t="s">
        <v>1199</v>
      </c>
    </row>
    <row r="1492" spans="1:7">
      <c r="A1492" s="175" t="s">
        <v>4138</v>
      </c>
      <c r="B1492" s="217" t="str">
        <f t="shared" si="23"/>
        <v>222316000[円]</v>
      </c>
      <c r="C1492" s="216">
        <v>222316000</v>
      </c>
      <c r="D1492" s="175" t="s">
        <v>235</v>
      </c>
      <c r="E1492" s="175">
        <v>16.791700548423101</v>
      </c>
      <c r="F1492" s="175" t="s">
        <v>265</v>
      </c>
      <c r="G1492" s="175" t="s">
        <v>1201</v>
      </c>
    </row>
    <row r="1493" spans="1:7">
      <c r="A1493" s="175" t="s">
        <v>4139</v>
      </c>
      <c r="B1493" s="217" t="str">
        <f t="shared" si="23"/>
        <v>222317000[円]</v>
      </c>
      <c r="C1493" s="216">
        <v>222317000</v>
      </c>
      <c r="D1493" s="175" t="s">
        <v>235</v>
      </c>
      <c r="E1493" s="175">
        <v>21.900567387294998</v>
      </c>
      <c r="F1493" s="175" t="s">
        <v>265</v>
      </c>
      <c r="G1493" s="175" t="s">
        <v>1202</v>
      </c>
    </row>
    <row r="1494" spans="1:7">
      <c r="A1494" s="175" t="s">
        <v>4140</v>
      </c>
      <c r="B1494" s="217" t="str">
        <f t="shared" si="23"/>
        <v>222318000[円]</v>
      </c>
      <c r="C1494" s="216">
        <v>222318000</v>
      </c>
      <c r="D1494" s="175" t="s">
        <v>235</v>
      </c>
      <c r="E1494" s="175">
        <v>33.411458625368702</v>
      </c>
      <c r="F1494" s="175" t="s">
        <v>265</v>
      </c>
      <c r="G1494" s="175" t="s">
        <v>1203</v>
      </c>
    </row>
    <row r="1495" spans="1:7">
      <c r="A1495" s="175" t="s">
        <v>4141</v>
      </c>
      <c r="B1495" s="217" t="str">
        <f t="shared" si="23"/>
        <v>222319200[m3]</v>
      </c>
      <c r="C1495" s="216">
        <v>222319200</v>
      </c>
      <c r="D1495" s="175" t="s">
        <v>235</v>
      </c>
      <c r="E1495" s="175">
        <v>2.5999999999999999E-3</v>
      </c>
      <c r="F1495" s="175" t="s">
        <v>278</v>
      </c>
      <c r="G1495" s="175" t="s">
        <v>1206</v>
      </c>
    </row>
    <row r="1496" spans="1:7">
      <c r="A1496" s="175" t="s">
        <v>4142</v>
      </c>
      <c r="B1496" s="217" t="str">
        <f t="shared" si="23"/>
        <v>222319201[m3]</v>
      </c>
      <c r="C1496" s="216">
        <v>222319201</v>
      </c>
      <c r="D1496" s="175" t="s">
        <v>235</v>
      </c>
      <c r="E1496" s="175">
        <v>1E-3</v>
      </c>
      <c r="F1496" s="175" t="s">
        <v>278</v>
      </c>
      <c r="G1496" s="175" t="s">
        <v>1207</v>
      </c>
    </row>
    <row r="1497" spans="1:7">
      <c r="A1497" s="175" t="s">
        <v>4143</v>
      </c>
      <c r="B1497" s="217" t="str">
        <f t="shared" si="23"/>
        <v>222321000[円]</v>
      </c>
      <c r="C1497" s="216">
        <v>222321000</v>
      </c>
      <c r="D1497" s="175" t="s">
        <v>425</v>
      </c>
      <c r="E1497" s="175">
        <v>7451.7584486210299</v>
      </c>
      <c r="F1497" s="175" t="s">
        <v>265</v>
      </c>
      <c r="G1497" s="175" t="s">
        <v>1208</v>
      </c>
    </row>
    <row r="1498" spans="1:7">
      <c r="A1498" s="175" t="s">
        <v>4144</v>
      </c>
      <c r="B1498" s="217" t="str">
        <f t="shared" si="23"/>
        <v>222921000[円]</v>
      </c>
      <c r="C1498" s="216">
        <v>222921000</v>
      </c>
      <c r="D1498" s="175" t="s">
        <v>425</v>
      </c>
      <c r="E1498" s="175">
        <v>1895.3526192264601</v>
      </c>
      <c r="F1498" s="175" t="s">
        <v>265</v>
      </c>
      <c r="G1498" s="175" t="s">
        <v>1210</v>
      </c>
    </row>
    <row r="1499" spans="1:7">
      <c r="A1499" s="175" t="s">
        <v>4145</v>
      </c>
      <c r="B1499" s="217" t="str">
        <f t="shared" si="23"/>
        <v>222921200[kg]</v>
      </c>
      <c r="C1499" s="216">
        <v>222921200</v>
      </c>
      <c r="D1499" s="175" t="s">
        <v>425</v>
      </c>
      <c r="E1499" s="175">
        <v>16.38</v>
      </c>
      <c r="F1499" s="175" t="s">
        <v>235</v>
      </c>
      <c r="G1499" s="175" t="s">
        <v>1211</v>
      </c>
    </row>
    <row r="1500" spans="1:7">
      <c r="A1500" s="175" t="s">
        <v>4146</v>
      </c>
      <c r="B1500" s="217" t="str">
        <f t="shared" si="23"/>
        <v>222921201[kg]</v>
      </c>
      <c r="C1500" s="216">
        <v>222921201</v>
      </c>
      <c r="D1500" s="175" t="s">
        <v>425</v>
      </c>
      <c r="E1500" s="175">
        <v>12.61</v>
      </c>
      <c r="F1500" s="175" t="s">
        <v>235</v>
      </c>
      <c r="G1500" s="175" t="s">
        <v>1212</v>
      </c>
    </row>
    <row r="1501" spans="1:7">
      <c r="A1501" s="175" t="s">
        <v>4147</v>
      </c>
      <c r="B1501" s="217" t="str">
        <f t="shared" si="23"/>
        <v>222922000[円]</v>
      </c>
      <c r="C1501" s="216">
        <v>222922000</v>
      </c>
      <c r="D1501" s="175" t="s">
        <v>641</v>
      </c>
      <c r="E1501" s="175">
        <v>1227.1422257010099</v>
      </c>
      <c r="F1501" s="175" t="s">
        <v>265</v>
      </c>
      <c r="G1501" s="175" t="s">
        <v>4148</v>
      </c>
    </row>
    <row r="1502" spans="1:7">
      <c r="A1502" s="175" t="s">
        <v>4149</v>
      </c>
      <c r="B1502" s="217" t="str">
        <f t="shared" si="23"/>
        <v>222923000[円]</v>
      </c>
      <c r="C1502" s="216">
        <v>222923000</v>
      </c>
      <c r="D1502" s="175" t="s">
        <v>278</v>
      </c>
      <c r="E1502" s="175">
        <v>28978.258950898799</v>
      </c>
      <c r="F1502" s="175" t="s">
        <v>265</v>
      </c>
      <c r="G1502" s="175" t="s">
        <v>1213</v>
      </c>
    </row>
    <row r="1503" spans="1:7">
      <c r="A1503" s="175" t="s">
        <v>4150</v>
      </c>
      <c r="B1503" s="217" t="str">
        <f t="shared" si="23"/>
        <v>222923200[kg]</v>
      </c>
      <c r="C1503" s="216">
        <v>222923200</v>
      </c>
      <c r="D1503" s="175" t="s">
        <v>278</v>
      </c>
      <c r="E1503" s="175">
        <v>600</v>
      </c>
      <c r="F1503" s="175" t="s">
        <v>235</v>
      </c>
      <c r="G1503" s="175" t="s">
        <v>1214</v>
      </c>
    </row>
    <row r="1504" spans="1:7">
      <c r="A1504" s="175" t="s">
        <v>4151</v>
      </c>
      <c r="B1504" s="217" t="str">
        <f t="shared" si="23"/>
        <v>222929200[kg]</v>
      </c>
      <c r="C1504" s="216">
        <v>222929200</v>
      </c>
      <c r="D1504" s="175" t="s">
        <v>278</v>
      </c>
      <c r="E1504" s="175">
        <v>2500</v>
      </c>
      <c r="F1504" s="175" t="s">
        <v>235</v>
      </c>
      <c r="G1504" s="175" t="s">
        <v>1216</v>
      </c>
    </row>
    <row r="1505" spans="1:7">
      <c r="A1505" s="175" t="s">
        <v>4152</v>
      </c>
      <c r="B1505" s="217" t="str">
        <f t="shared" si="23"/>
        <v>223100000[円]</v>
      </c>
      <c r="C1505" s="216">
        <v>223100000</v>
      </c>
      <c r="D1505" s="175" t="s">
        <v>629</v>
      </c>
      <c r="E1505" s="175">
        <v>101.199521418564</v>
      </c>
      <c r="F1505" s="175" t="s">
        <v>265</v>
      </c>
      <c r="G1505" s="175" t="s">
        <v>4153</v>
      </c>
    </row>
    <row r="1506" spans="1:7">
      <c r="A1506" s="175" t="s">
        <v>4154</v>
      </c>
      <c r="B1506" s="217" t="str">
        <f t="shared" si="23"/>
        <v>223111000[円]</v>
      </c>
      <c r="C1506" s="216">
        <v>223111000</v>
      </c>
      <c r="D1506" s="175" t="s">
        <v>629</v>
      </c>
      <c r="E1506" s="175">
        <v>124.685394423137</v>
      </c>
      <c r="F1506" s="175" t="s">
        <v>265</v>
      </c>
      <c r="G1506" s="175" t="s">
        <v>1217</v>
      </c>
    </row>
    <row r="1507" spans="1:7">
      <c r="A1507" s="175" t="s">
        <v>4155</v>
      </c>
      <c r="B1507" s="217" t="str">
        <f t="shared" si="23"/>
        <v>223112000[円]</v>
      </c>
      <c r="C1507" s="216">
        <v>223112000</v>
      </c>
      <c r="D1507" s="175" t="s">
        <v>629</v>
      </c>
      <c r="E1507" s="175">
        <v>96.128637577650593</v>
      </c>
      <c r="F1507" s="175" t="s">
        <v>265</v>
      </c>
      <c r="G1507" s="175" t="s">
        <v>1218</v>
      </c>
    </row>
    <row r="1508" spans="1:7">
      <c r="A1508" s="175" t="s">
        <v>4156</v>
      </c>
      <c r="B1508" s="217" t="str">
        <f t="shared" si="23"/>
        <v>223200000[円]</v>
      </c>
      <c r="C1508" s="216">
        <v>223200000</v>
      </c>
      <c r="D1508" s="175" t="s">
        <v>629</v>
      </c>
      <c r="E1508" s="175">
        <v>81.589228028862095</v>
      </c>
      <c r="F1508" s="175" t="s">
        <v>265</v>
      </c>
      <c r="G1508" s="175" t="s">
        <v>4157</v>
      </c>
    </row>
    <row r="1509" spans="1:7">
      <c r="A1509" s="175" t="s">
        <v>4158</v>
      </c>
      <c r="B1509" s="217" t="str">
        <f t="shared" si="23"/>
        <v>223211000[円]</v>
      </c>
      <c r="C1509" s="216">
        <v>223211000</v>
      </c>
      <c r="D1509" s="175" t="s">
        <v>629</v>
      </c>
      <c r="E1509" s="175">
        <v>81.589228028862095</v>
      </c>
      <c r="F1509" s="175" t="s">
        <v>265</v>
      </c>
      <c r="G1509" s="175" t="s">
        <v>1219</v>
      </c>
    </row>
    <row r="1510" spans="1:7">
      <c r="A1510" s="175" t="s">
        <v>4159</v>
      </c>
      <c r="B1510" s="217" t="str">
        <f t="shared" si="23"/>
        <v>223300000[個]</v>
      </c>
      <c r="C1510" s="216">
        <v>223300000</v>
      </c>
      <c r="D1510" s="175" t="s">
        <v>265</v>
      </c>
      <c r="E1510" s="175">
        <v>7.5414235705951E-3</v>
      </c>
      <c r="F1510" s="175" t="s">
        <v>629</v>
      </c>
      <c r="G1510" s="175" t="s">
        <v>4160</v>
      </c>
    </row>
    <row r="1511" spans="1:7">
      <c r="A1511" s="175" t="s">
        <v>4161</v>
      </c>
      <c r="B1511" s="217" t="str">
        <f t="shared" si="23"/>
        <v>223311000[個]</v>
      </c>
      <c r="C1511" s="216">
        <v>223311000</v>
      </c>
      <c r="D1511" s="175" t="s">
        <v>265</v>
      </c>
      <c r="E1511" s="175">
        <v>7.5414235705951E-3</v>
      </c>
      <c r="F1511" s="175" t="s">
        <v>629</v>
      </c>
      <c r="G1511" s="175" t="s">
        <v>4162</v>
      </c>
    </row>
    <row r="1512" spans="1:7">
      <c r="A1512" s="175" t="s">
        <v>4163</v>
      </c>
      <c r="B1512" s="217" t="str">
        <f t="shared" si="23"/>
        <v>224200000[円]</v>
      </c>
      <c r="C1512" s="216">
        <v>224200000</v>
      </c>
      <c r="D1512" s="175" t="s">
        <v>235</v>
      </c>
      <c r="E1512" s="175">
        <v>503.08328614406599</v>
      </c>
      <c r="F1512" s="175" t="s">
        <v>265</v>
      </c>
      <c r="G1512" s="175" t="s">
        <v>4164</v>
      </c>
    </row>
    <row r="1513" spans="1:7">
      <c r="A1513" s="175" t="s">
        <v>4165</v>
      </c>
      <c r="B1513" s="217" t="str">
        <f t="shared" si="23"/>
        <v>224211000[円]</v>
      </c>
      <c r="C1513" s="216">
        <v>224211000</v>
      </c>
      <c r="D1513" s="175" t="s">
        <v>235</v>
      </c>
      <c r="E1513" s="175">
        <v>482.15607249421703</v>
      </c>
      <c r="F1513" s="175" t="s">
        <v>265</v>
      </c>
      <c r="G1513" s="175" t="s">
        <v>1225</v>
      </c>
    </row>
    <row r="1514" spans="1:7">
      <c r="A1514" s="175" t="s">
        <v>4166</v>
      </c>
      <c r="B1514" s="217" t="str">
        <f t="shared" si="23"/>
        <v>224212000[円]</v>
      </c>
      <c r="C1514" s="216">
        <v>224212000</v>
      </c>
      <c r="D1514" s="175" t="s">
        <v>235</v>
      </c>
      <c r="E1514" s="175">
        <v>532.62322187710299</v>
      </c>
      <c r="F1514" s="175" t="s">
        <v>265</v>
      </c>
      <c r="G1514" s="175" t="s">
        <v>1226</v>
      </c>
    </row>
    <row r="1515" spans="1:7">
      <c r="A1515" s="175" t="s">
        <v>4167</v>
      </c>
      <c r="B1515" s="217" t="str">
        <f t="shared" si="23"/>
        <v>224213000[円]</v>
      </c>
      <c r="C1515" s="216">
        <v>224213000</v>
      </c>
      <c r="D1515" s="175" t="s">
        <v>235</v>
      </c>
      <c r="E1515" s="175">
        <v>590.54437004394697</v>
      </c>
      <c r="F1515" s="175" t="s">
        <v>265</v>
      </c>
      <c r="G1515" s="175" t="s">
        <v>1227</v>
      </c>
    </row>
    <row r="1516" spans="1:7">
      <c r="A1516" s="175" t="s">
        <v>4168</v>
      </c>
      <c r="B1516" s="217" t="str">
        <f t="shared" si="23"/>
        <v>224300000[円]</v>
      </c>
      <c r="C1516" s="216">
        <v>224300000</v>
      </c>
      <c r="D1516" s="175" t="s">
        <v>235</v>
      </c>
      <c r="E1516" s="175">
        <v>655.71554809106703</v>
      </c>
      <c r="F1516" s="175" t="s">
        <v>265</v>
      </c>
      <c r="G1516" s="175" t="s">
        <v>4169</v>
      </c>
    </row>
    <row r="1517" spans="1:7">
      <c r="A1517" s="175" t="s">
        <v>4170</v>
      </c>
      <c r="B1517" s="217" t="str">
        <f t="shared" si="23"/>
        <v>224311000[円]</v>
      </c>
      <c r="C1517" s="216">
        <v>224311000</v>
      </c>
      <c r="D1517" s="175" t="s">
        <v>235</v>
      </c>
      <c r="E1517" s="175">
        <v>655.71554809106703</v>
      </c>
      <c r="F1517" s="175" t="s">
        <v>265</v>
      </c>
      <c r="G1517" s="175" t="s">
        <v>1228</v>
      </c>
    </row>
    <row r="1518" spans="1:7">
      <c r="A1518" s="175" t="s">
        <v>4171</v>
      </c>
      <c r="B1518" s="217" t="str">
        <f t="shared" si="23"/>
        <v>224400000[kg]</v>
      </c>
      <c r="C1518" s="216">
        <v>224400000</v>
      </c>
      <c r="D1518" s="175" t="s">
        <v>265</v>
      </c>
      <c r="E1518" s="175">
        <v>1.56028268140894E-3</v>
      </c>
      <c r="F1518" s="175" t="s">
        <v>235</v>
      </c>
      <c r="G1518" s="175" t="s">
        <v>4172</v>
      </c>
    </row>
    <row r="1519" spans="1:7">
      <c r="A1519" s="175" t="s">
        <v>4173</v>
      </c>
      <c r="B1519" s="217" t="str">
        <f t="shared" si="23"/>
        <v>224411000[円]</v>
      </c>
      <c r="C1519" s="216">
        <v>224411000</v>
      </c>
      <c r="D1519" s="175" t="s">
        <v>235</v>
      </c>
      <c r="E1519" s="175">
        <v>625.067826375506</v>
      </c>
      <c r="F1519" s="175" t="s">
        <v>265</v>
      </c>
      <c r="G1519" s="175" t="s">
        <v>1229</v>
      </c>
    </row>
    <row r="1520" spans="1:7">
      <c r="A1520" s="175" t="s">
        <v>4174</v>
      </c>
      <c r="B1520" s="217" t="str">
        <f t="shared" si="23"/>
        <v>224412000[kg]</v>
      </c>
      <c r="C1520" s="216">
        <v>224412000</v>
      </c>
      <c r="D1520" s="175" t="s">
        <v>265</v>
      </c>
      <c r="E1520" s="175">
        <v>1.49700698371288E-3</v>
      </c>
      <c r="F1520" s="175" t="s">
        <v>235</v>
      </c>
      <c r="G1520" s="175" t="s">
        <v>1230</v>
      </c>
    </row>
    <row r="1521" spans="1:7">
      <c r="A1521" s="175" t="s">
        <v>4175</v>
      </c>
      <c r="B1521" s="217" t="str">
        <f t="shared" si="23"/>
        <v>224413000[円]</v>
      </c>
      <c r="C1521" s="216">
        <v>224413000</v>
      </c>
      <c r="D1521" s="175" t="s">
        <v>629</v>
      </c>
      <c r="E1521" s="175">
        <v>15.402865765758101</v>
      </c>
      <c r="F1521" s="175" t="s">
        <v>265</v>
      </c>
      <c r="G1521" s="175" t="s">
        <v>4176</v>
      </c>
    </row>
    <row r="1522" spans="1:7">
      <c r="A1522" s="175" t="s">
        <v>4177</v>
      </c>
      <c r="B1522" s="217" t="str">
        <f t="shared" si="23"/>
        <v>224419000[kg]</v>
      </c>
      <c r="C1522" s="216">
        <v>224419000</v>
      </c>
      <c r="D1522" s="175" t="s">
        <v>265</v>
      </c>
      <c r="E1522" s="175">
        <v>1.49700698371288E-3</v>
      </c>
      <c r="F1522" s="175" t="s">
        <v>235</v>
      </c>
      <c r="G1522" s="175" t="s">
        <v>1231</v>
      </c>
    </row>
    <row r="1523" spans="1:7">
      <c r="A1523" s="175" t="s">
        <v>4178</v>
      </c>
      <c r="B1523" s="217" t="str">
        <f t="shared" si="23"/>
        <v>224600000[円]</v>
      </c>
      <c r="C1523" s="216">
        <v>224600000</v>
      </c>
      <c r="D1523" s="175" t="s">
        <v>425</v>
      </c>
      <c r="E1523" s="175">
        <v>2235.0795620384602</v>
      </c>
      <c r="F1523" s="175" t="s">
        <v>265</v>
      </c>
      <c r="G1523" s="175" t="s">
        <v>4179</v>
      </c>
    </row>
    <row r="1524" spans="1:7">
      <c r="A1524" s="175" t="s">
        <v>4180</v>
      </c>
      <c r="B1524" s="217" t="str">
        <f t="shared" si="23"/>
        <v>224611000[円]</v>
      </c>
      <c r="C1524" s="216">
        <v>224611000</v>
      </c>
      <c r="D1524" s="175" t="s">
        <v>425</v>
      </c>
      <c r="E1524" s="175">
        <v>1236.62020128838</v>
      </c>
      <c r="F1524" s="175" t="s">
        <v>265</v>
      </c>
      <c r="G1524" s="175" t="s">
        <v>1234</v>
      </c>
    </row>
    <row r="1525" spans="1:7">
      <c r="A1525" s="175" t="s">
        <v>4181</v>
      </c>
      <c r="B1525" s="217" t="str">
        <f t="shared" si="23"/>
        <v>224612000[円]</v>
      </c>
      <c r="C1525" s="216">
        <v>224612000</v>
      </c>
      <c r="D1525" s="175" t="s">
        <v>425</v>
      </c>
      <c r="E1525" s="175">
        <v>2888.57156174391</v>
      </c>
      <c r="F1525" s="175" t="s">
        <v>265</v>
      </c>
      <c r="G1525" s="175" t="s">
        <v>1235</v>
      </c>
    </row>
    <row r="1526" spans="1:7">
      <c r="A1526" s="175" t="s">
        <v>4182</v>
      </c>
      <c r="B1526" s="217" t="str">
        <f t="shared" si="23"/>
        <v>224619000[円]</v>
      </c>
      <c r="C1526" s="216">
        <v>224619000</v>
      </c>
      <c r="D1526" s="175" t="s">
        <v>425</v>
      </c>
      <c r="E1526" s="175">
        <v>3155.1866523466201</v>
      </c>
      <c r="F1526" s="175" t="s">
        <v>265</v>
      </c>
      <c r="G1526" s="175" t="s">
        <v>1236</v>
      </c>
    </row>
    <row r="1527" spans="1:7">
      <c r="A1527" s="175" t="s">
        <v>4183</v>
      </c>
      <c r="B1527" s="217" t="str">
        <f t="shared" si="23"/>
        <v>224800000[kg]</v>
      </c>
      <c r="C1527" s="216">
        <v>224800000</v>
      </c>
      <c r="D1527" s="175" t="s">
        <v>265</v>
      </c>
      <c r="E1527" s="175">
        <v>5.3926789541649998E-2</v>
      </c>
      <c r="F1527" s="175" t="s">
        <v>235</v>
      </c>
      <c r="G1527" s="175" t="s">
        <v>4184</v>
      </c>
    </row>
    <row r="1528" spans="1:7">
      <c r="A1528" s="175" t="s">
        <v>4185</v>
      </c>
      <c r="B1528" s="217" t="str">
        <f t="shared" si="23"/>
        <v>224811000[kg]</v>
      </c>
      <c r="C1528" s="216">
        <v>224811000</v>
      </c>
      <c r="D1528" s="175" t="s">
        <v>265</v>
      </c>
      <c r="E1528" s="175">
        <v>5.3926789541649998E-2</v>
      </c>
      <c r="F1528" s="175" t="s">
        <v>235</v>
      </c>
      <c r="G1528" s="175" t="s">
        <v>4186</v>
      </c>
    </row>
    <row r="1529" spans="1:7">
      <c r="A1529" s="175" t="s">
        <v>4187</v>
      </c>
      <c r="B1529" s="217" t="str">
        <f t="shared" si="23"/>
        <v>225100000[円]</v>
      </c>
      <c r="C1529" s="216">
        <v>225100000</v>
      </c>
      <c r="D1529" s="175" t="s">
        <v>235</v>
      </c>
      <c r="E1529" s="175">
        <v>275.35727152112202</v>
      </c>
      <c r="F1529" s="175" t="s">
        <v>265</v>
      </c>
      <c r="G1529" s="175" t="s">
        <v>4188</v>
      </c>
    </row>
    <row r="1530" spans="1:7">
      <c r="A1530" s="175" t="s">
        <v>4189</v>
      </c>
      <c r="B1530" s="217" t="str">
        <f t="shared" si="23"/>
        <v>225111000[円]</v>
      </c>
      <c r="C1530" s="216">
        <v>225111000</v>
      </c>
      <c r="D1530" s="175" t="s">
        <v>235</v>
      </c>
      <c r="E1530" s="175">
        <v>235.398631956245</v>
      </c>
      <c r="F1530" s="175" t="s">
        <v>265</v>
      </c>
      <c r="G1530" s="175" t="s">
        <v>1238</v>
      </c>
    </row>
    <row r="1531" spans="1:7">
      <c r="A1531" s="175" t="s">
        <v>4190</v>
      </c>
      <c r="B1531" s="217" t="str">
        <f t="shared" si="23"/>
        <v>225119000[円]</v>
      </c>
      <c r="C1531" s="216">
        <v>225119000</v>
      </c>
      <c r="D1531" s="175" t="s">
        <v>235</v>
      </c>
      <c r="E1531" s="175">
        <v>296.02458520043598</v>
      </c>
      <c r="F1531" s="175" t="s">
        <v>265</v>
      </c>
      <c r="G1531" s="175" t="s">
        <v>1239</v>
      </c>
    </row>
    <row r="1532" spans="1:7">
      <c r="A1532" s="175" t="s">
        <v>4191</v>
      </c>
      <c r="B1532" s="217" t="str">
        <f t="shared" si="23"/>
        <v>225200000[円]</v>
      </c>
      <c r="C1532" s="216">
        <v>225200000</v>
      </c>
      <c r="D1532" s="175" t="s">
        <v>235</v>
      </c>
      <c r="E1532" s="175">
        <v>102.89612220388</v>
      </c>
      <c r="F1532" s="175" t="s">
        <v>265</v>
      </c>
      <c r="G1532" s="175" t="s">
        <v>4192</v>
      </c>
    </row>
    <row r="1533" spans="1:7">
      <c r="A1533" s="175" t="s">
        <v>4193</v>
      </c>
      <c r="B1533" s="217" t="str">
        <f t="shared" si="23"/>
        <v>225211000[円]</v>
      </c>
      <c r="C1533" s="216">
        <v>225211000</v>
      </c>
      <c r="D1533" s="175" t="s">
        <v>235</v>
      </c>
      <c r="E1533" s="175">
        <v>94.366810905679799</v>
      </c>
      <c r="F1533" s="175" t="s">
        <v>265</v>
      </c>
      <c r="G1533" s="175" t="s">
        <v>1241</v>
      </c>
    </row>
    <row r="1534" spans="1:7">
      <c r="A1534" s="175" t="s">
        <v>4194</v>
      </c>
      <c r="B1534" s="217" t="str">
        <f t="shared" si="23"/>
        <v>225212000[円]</v>
      </c>
      <c r="C1534" s="216">
        <v>225212000</v>
      </c>
      <c r="D1534" s="175" t="s">
        <v>235</v>
      </c>
      <c r="E1534" s="175">
        <v>107.445911034972</v>
      </c>
      <c r="F1534" s="175" t="s">
        <v>265</v>
      </c>
      <c r="G1534" s="175" t="s">
        <v>1242</v>
      </c>
    </row>
    <row r="1535" spans="1:7">
      <c r="A1535" s="175" t="s">
        <v>4195</v>
      </c>
      <c r="B1535" s="217" t="str">
        <f t="shared" si="23"/>
        <v>225219000[円]</v>
      </c>
      <c r="C1535" s="216">
        <v>225219000</v>
      </c>
      <c r="D1535" s="175" t="s">
        <v>235</v>
      </c>
      <c r="E1535" s="175">
        <v>101.413439907975</v>
      </c>
      <c r="F1535" s="175" t="s">
        <v>265</v>
      </c>
      <c r="G1535" s="175" t="s">
        <v>1243</v>
      </c>
    </row>
    <row r="1536" spans="1:7">
      <c r="A1536" s="175" t="s">
        <v>4196</v>
      </c>
      <c r="B1536" s="217" t="str">
        <f t="shared" si="23"/>
        <v>225900000[kg]</v>
      </c>
      <c r="C1536" s="216">
        <v>225900000</v>
      </c>
      <c r="D1536" s="175" t="s">
        <v>265</v>
      </c>
      <c r="E1536" s="175">
        <v>2.6291495979043999E-3</v>
      </c>
      <c r="F1536" s="175" t="s">
        <v>235</v>
      </c>
      <c r="G1536" s="175" t="s">
        <v>4197</v>
      </c>
    </row>
    <row r="1537" spans="1:7">
      <c r="A1537" s="175" t="s">
        <v>4198</v>
      </c>
      <c r="B1537" s="217" t="str">
        <f t="shared" si="23"/>
        <v>225911000[円]</v>
      </c>
      <c r="C1537" s="216">
        <v>225911000</v>
      </c>
      <c r="D1537" s="175" t="s">
        <v>235</v>
      </c>
      <c r="E1537" s="175">
        <v>82.669829740311002</v>
      </c>
      <c r="F1537" s="175" t="s">
        <v>265</v>
      </c>
      <c r="G1537" s="175" t="s">
        <v>1244</v>
      </c>
    </row>
    <row r="1538" spans="1:7">
      <c r="A1538" s="175" t="s">
        <v>4199</v>
      </c>
      <c r="B1538" s="217" t="str">
        <f t="shared" ref="B1538:B1601" si="24">C1538&amp;"["&amp;F1538&amp;"]"</f>
        <v>225911200[円]</v>
      </c>
      <c r="C1538" s="216">
        <v>225911200</v>
      </c>
      <c r="D1538" s="175" t="s">
        <v>235</v>
      </c>
      <c r="E1538" s="175">
        <v>43.6</v>
      </c>
      <c r="F1538" s="175" t="s">
        <v>265</v>
      </c>
      <c r="G1538" s="175" t="s">
        <v>4200</v>
      </c>
    </row>
    <row r="1539" spans="1:7">
      <c r="A1539" s="175" t="s">
        <v>4201</v>
      </c>
      <c r="B1539" s="217" t="str">
        <f t="shared" si="24"/>
        <v>225919000[kg]</v>
      </c>
      <c r="C1539" s="216">
        <v>225919000</v>
      </c>
      <c r="D1539" s="175" t="s">
        <v>265</v>
      </c>
      <c r="E1539" s="175">
        <v>1.56833763573038E-3</v>
      </c>
      <c r="F1539" s="175" t="s">
        <v>235</v>
      </c>
      <c r="G1539" s="175" t="s">
        <v>1245</v>
      </c>
    </row>
    <row r="1540" spans="1:7">
      <c r="A1540" s="175" t="s">
        <v>4202</v>
      </c>
      <c r="B1540" s="217" t="str">
        <f t="shared" si="24"/>
        <v>226100000[円]</v>
      </c>
      <c r="C1540" s="216">
        <v>226100000</v>
      </c>
      <c r="D1540" s="175" t="s">
        <v>235</v>
      </c>
      <c r="E1540" s="175">
        <v>456.17342547488403</v>
      </c>
      <c r="F1540" s="175" t="s">
        <v>265</v>
      </c>
      <c r="G1540" s="175" t="s">
        <v>4203</v>
      </c>
    </row>
    <row r="1541" spans="1:7">
      <c r="A1541" s="175" t="s">
        <v>4204</v>
      </c>
      <c r="B1541" s="217" t="str">
        <f t="shared" si="24"/>
        <v>226111000[円]</v>
      </c>
      <c r="C1541" s="216">
        <v>226111000</v>
      </c>
      <c r="D1541" s="175" t="s">
        <v>235</v>
      </c>
      <c r="E1541" s="175">
        <v>507.63448841661102</v>
      </c>
      <c r="F1541" s="175" t="s">
        <v>265</v>
      </c>
      <c r="G1541" s="175" t="s">
        <v>1246</v>
      </c>
    </row>
    <row r="1542" spans="1:7">
      <c r="A1542" s="175" t="s">
        <v>4205</v>
      </c>
      <c r="B1542" s="217" t="str">
        <f t="shared" si="24"/>
        <v>226119000[円]</v>
      </c>
      <c r="C1542" s="216">
        <v>226119000</v>
      </c>
      <c r="D1542" s="175" t="s">
        <v>235</v>
      </c>
      <c r="E1542" s="175">
        <v>325.63329455616002</v>
      </c>
      <c r="F1542" s="175" t="s">
        <v>265</v>
      </c>
      <c r="G1542" s="175" t="s">
        <v>1247</v>
      </c>
    </row>
    <row r="1543" spans="1:7">
      <c r="A1543" s="175" t="s">
        <v>4206</v>
      </c>
      <c r="B1543" s="217" t="str">
        <f t="shared" si="24"/>
        <v>226200000[円]</v>
      </c>
      <c r="C1543" s="216">
        <v>226200000</v>
      </c>
      <c r="D1543" s="175" t="s">
        <v>235</v>
      </c>
      <c r="E1543" s="175">
        <v>3197.0144336366502</v>
      </c>
      <c r="F1543" s="175" t="s">
        <v>265</v>
      </c>
      <c r="G1543" s="175" t="s">
        <v>4207</v>
      </c>
    </row>
    <row r="1544" spans="1:7">
      <c r="A1544" s="175" t="s">
        <v>4208</v>
      </c>
      <c r="B1544" s="217" t="str">
        <f t="shared" si="24"/>
        <v>226211000[円]</v>
      </c>
      <c r="C1544" s="216">
        <v>226211000</v>
      </c>
      <c r="D1544" s="175" t="s">
        <v>235</v>
      </c>
      <c r="E1544" s="175">
        <v>3197.0144336366502</v>
      </c>
      <c r="F1544" s="175" t="s">
        <v>265</v>
      </c>
      <c r="G1544" s="175" t="s">
        <v>1249</v>
      </c>
    </row>
    <row r="1545" spans="1:7">
      <c r="A1545" s="175" t="s">
        <v>4209</v>
      </c>
      <c r="B1545" s="217" t="str">
        <f t="shared" si="24"/>
        <v>226900000[kg]</v>
      </c>
      <c r="C1545" s="216">
        <v>226900000</v>
      </c>
      <c r="D1545" s="175" t="s">
        <v>265</v>
      </c>
      <c r="E1545" s="175">
        <v>4.1193142694703403E-4</v>
      </c>
      <c r="F1545" s="175" t="s">
        <v>235</v>
      </c>
      <c r="G1545" s="175" t="s">
        <v>4210</v>
      </c>
    </row>
    <row r="1546" spans="1:7">
      <c r="A1546" s="175" t="s">
        <v>4211</v>
      </c>
      <c r="B1546" s="217" t="str">
        <f t="shared" si="24"/>
        <v>226911000[円]</v>
      </c>
      <c r="C1546" s="216">
        <v>226911000</v>
      </c>
      <c r="D1546" s="175" t="s">
        <v>235</v>
      </c>
      <c r="E1546" s="175">
        <v>371.80860403862999</v>
      </c>
      <c r="F1546" s="175" t="s">
        <v>265</v>
      </c>
      <c r="G1546" s="175" t="s">
        <v>1251</v>
      </c>
    </row>
    <row r="1547" spans="1:7">
      <c r="A1547" s="175" t="s">
        <v>4212</v>
      </c>
      <c r="B1547" s="217" t="str">
        <f t="shared" si="24"/>
        <v>226912000[円]</v>
      </c>
      <c r="C1547" s="216">
        <v>226912000</v>
      </c>
      <c r="D1547" s="175" t="s">
        <v>235</v>
      </c>
      <c r="E1547" s="175">
        <v>4454.9791044776102</v>
      </c>
      <c r="F1547" s="175" t="s">
        <v>265</v>
      </c>
      <c r="G1547" s="175" t="s">
        <v>1252</v>
      </c>
    </row>
    <row r="1548" spans="1:7">
      <c r="A1548" s="175" t="s">
        <v>4213</v>
      </c>
      <c r="B1548" s="217" t="str">
        <f t="shared" si="24"/>
        <v>226913000[円]</v>
      </c>
      <c r="C1548" s="216">
        <v>226913000</v>
      </c>
      <c r="D1548" s="175" t="s">
        <v>235</v>
      </c>
      <c r="E1548" s="175">
        <v>946.12090572181398</v>
      </c>
      <c r="F1548" s="175" t="s">
        <v>265</v>
      </c>
      <c r="G1548" s="175" t="s">
        <v>1253</v>
      </c>
    </row>
    <row r="1549" spans="1:7">
      <c r="A1549" s="175" t="s">
        <v>4214</v>
      </c>
      <c r="B1549" s="217" t="str">
        <f t="shared" si="24"/>
        <v>226919000[kg]</v>
      </c>
      <c r="C1549" s="216">
        <v>226919000</v>
      </c>
      <c r="D1549" s="175" t="s">
        <v>265</v>
      </c>
      <c r="E1549" s="175">
        <v>3.8307558618870199E-4</v>
      </c>
      <c r="F1549" s="175" t="s">
        <v>235</v>
      </c>
      <c r="G1549" s="175" t="s">
        <v>1254</v>
      </c>
    </row>
    <row r="1550" spans="1:7">
      <c r="A1550" s="175" t="s">
        <v>4215</v>
      </c>
      <c r="B1550" s="217" t="str">
        <f t="shared" si="24"/>
        <v>227111000[kg]</v>
      </c>
      <c r="C1550" s="216">
        <v>227111000</v>
      </c>
      <c r="D1550" s="175" t="s">
        <v>265</v>
      </c>
      <c r="E1550" s="175">
        <v>4.62963E-3</v>
      </c>
      <c r="F1550" s="175" t="s">
        <v>235</v>
      </c>
      <c r="G1550" s="175" t="s">
        <v>1255</v>
      </c>
    </row>
    <row r="1551" spans="1:7">
      <c r="A1551" s="175" t="s">
        <v>4216</v>
      </c>
      <c r="B1551" s="217" t="str">
        <f t="shared" si="24"/>
        <v>227200000[kg]</v>
      </c>
      <c r="C1551" s="216">
        <v>227200000</v>
      </c>
      <c r="D1551" s="175" t="s">
        <v>265</v>
      </c>
      <c r="E1551" s="175">
        <v>7.7383861309480301E-4</v>
      </c>
      <c r="F1551" s="175" t="s">
        <v>235</v>
      </c>
      <c r="G1551" s="175" t="s">
        <v>4217</v>
      </c>
    </row>
    <row r="1552" spans="1:7">
      <c r="A1552" s="175" t="s">
        <v>4218</v>
      </c>
      <c r="B1552" s="217" t="str">
        <f t="shared" si="24"/>
        <v>227211000[円]</v>
      </c>
      <c r="C1552" s="216">
        <v>227211000</v>
      </c>
      <c r="D1552" s="175" t="s">
        <v>235</v>
      </c>
      <c r="E1552" s="175">
        <v>1368.0498049805001</v>
      </c>
      <c r="F1552" s="175" t="s">
        <v>265</v>
      </c>
      <c r="G1552" s="175" t="s">
        <v>4219</v>
      </c>
    </row>
    <row r="1553" spans="1:7">
      <c r="A1553" s="175" t="s">
        <v>4220</v>
      </c>
      <c r="B1553" s="217" t="str">
        <f t="shared" si="24"/>
        <v>227212000[円]</v>
      </c>
      <c r="C1553" s="216">
        <v>227212000</v>
      </c>
      <c r="D1553" s="175" t="s">
        <v>235</v>
      </c>
      <c r="E1553" s="175">
        <v>878.11791703442202</v>
      </c>
      <c r="F1553" s="175" t="s">
        <v>265</v>
      </c>
      <c r="G1553" s="175" t="s">
        <v>1259</v>
      </c>
    </row>
    <row r="1554" spans="1:7">
      <c r="A1554" s="175" t="s">
        <v>4221</v>
      </c>
      <c r="B1554" s="217" t="str">
        <f t="shared" si="24"/>
        <v>227219000[kg]</v>
      </c>
      <c r="C1554" s="216">
        <v>227219000</v>
      </c>
      <c r="D1554" s="175" t="s">
        <v>265</v>
      </c>
      <c r="E1554" s="175">
        <v>5.5479592683683305E-4</v>
      </c>
      <c r="F1554" s="175" t="s">
        <v>235</v>
      </c>
      <c r="G1554" s="175" t="s">
        <v>1260</v>
      </c>
    </row>
    <row r="1555" spans="1:7">
      <c r="A1555" s="175" t="s">
        <v>4222</v>
      </c>
      <c r="B1555" s="217" t="str">
        <f t="shared" si="24"/>
        <v>227300000[円]</v>
      </c>
      <c r="C1555" s="216">
        <v>227300000</v>
      </c>
      <c r="D1555" s="175" t="s">
        <v>1262</v>
      </c>
      <c r="E1555" s="175">
        <v>20886.9008058486</v>
      </c>
      <c r="F1555" s="175" t="s">
        <v>265</v>
      </c>
      <c r="G1555" s="175" t="s">
        <v>4223</v>
      </c>
    </row>
    <row r="1556" spans="1:7">
      <c r="A1556" s="175" t="s">
        <v>4224</v>
      </c>
      <c r="B1556" s="217" t="str">
        <f t="shared" si="24"/>
        <v>227311000[円]</v>
      </c>
      <c r="C1556" s="216">
        <v>227311000</v>
      </c>
      <c r="D1556" s="175" t="s">
        <v>1262</v>
      </c>
      <c r="E1556" s="175">
        <v>20886.9008058486</v>
      </c>
      <c r="F1556" s="175" t="s">
        <v>265</v>
      </c>
      <c r="G1556" s="175" t="s">
        <v>1261</v>
      </c>
    </row>
    <row r="1557" spans="1:7">
      <c r="A1557" s="175" t="s">
        <v>4225</v>
      </c>
      <c r="B1557" s="217" t="str">
        <f t="shared" si="24"/>
        <v>228100000[kg]</v>
      </c>
      <c r="C1557" s="216">
        <v>228100000</v>
      </c>
      <c r="D1557" s="175" t="s">
        <v>265</v>
      </c>
      <c r="E1557" s="175">
        <v>0.87682925311461501</v>
      </c>
      <c r="F1557" s="175" t="s">
        <v>235</v>
      </c>
      <c r="G1557" s="175" t="s">
        <v>4226</v>
      </c>
    </row>
    <row r="1558" spans="1:7">
      <c r="A1558" s="175" t="s">
        <v>4227</v>
      </c>
      <c r="B1558" s="217" t="str">
        <f t="shared" si="24"/>
        <v>228111000[kg]</v>
      </c>
      <c r="C1558" s="216">
        <v>228111000</v>
      </c>
      <c r="D1558" s="175" t="s">
        <v>265</v>
      </c>
      <c r="E1558" s="175">
        <v>0.87682925311461501</v>
      </c>
      <c r="F1558" s="175" t="s">
        <v>235</v>
      </c>
      <c r="G1558" s="175" t="s">
        <v>1264</v>
      </c>
    </row>
    <row r="1559" spans="1:7">
      <c r="A1559" s="175" t="s">
        <v>4228</v>
      </c>
      <c r="B1559" s="217" t="str">
        <f t="shared" si="24"/>
        <v>228200000[kg]</v>
      </c>
      <c r="C1559" s="216">
        <v>228200000</v>
      </c>
      <c r="D1559" s="175" t="s">
        <v>265</v>
      </c>
      <c r="E1559" s="175">
        <v>0.125</v>
      </c>
      <c r="F1559" s="175" t="s">
        <v>235</v>
      </c>
      <c r="G1559" s="175" t="s">
        <v>4229</v>
      </c>
    </row>
    <row r="1560" spans="1:7">
      <c r="A1560" s="175" t="s">
        <v>4230</v>
      </c>
      <c r="B1560" s="217" t="str">
        <f t="shared" si="24"/>
        <v>228211000[kg]</v>
      </c>
      <c r="C1560" s="216">
        <v>228211000</v>
      </c>
      <c r="D1560" s="175" t="s">
        <v>265</v>
      </c>
      <c r="E1560" s="175">
        <v>0.125</v>
      </c>
      <c r="F1560" s="175" t="s">
        <v>235</v>
      </c>
      <c r="G1560" s="175" t="s">
        <v>1265</v>
      </c>
    </row>
    <row r="1561" spans="1:7">
      <c r="A1561" s="175" t="s">
        <v>4231</v>
      </c>
      <c r="B1561" s="217" t="str">
        <f t="shared" si="24"/>
        <v>228400000[kg]</v>
      </c>
      <c r="C1561" s="216">
        <v>228400000</v>
      </c>
      <c r="D1561" s="175" t="s">
        <v>265</v>
      </c>
      <c r="E1561" s="175">
        <v>1.1415525114155301E-2</v>
      </c>
      <c r="F1561" s="175" t="s">
        <v>235</v>
      </c>
      <c r="G1561" s="175" t="s">
        <v>4232</v>
      </c>
    </row>
    <row r="1562" spans="1:7">
      <c r="A1562" s="175" t="s">
        <v>4233</v>
      </c>
      <c r="B1562" s="217" t="str">
        <f t="shared" si="24"/>
        <v>228411000[kg]</v>
      </c>
      <c r="C1562" s="216">
        <v>228411000</v>
      </c>
      <c r="D1562" s="175" t="s">
        <v>265</v>
      </c>
      <c r="E1562" s="175">
        <v>1.1415525114155301E-2</v>
      </c>
      <c r="F1562" s="175" t="s">
        <v>235</v>
      </c>
      <c r="G1562" s="175" t="s">
        <v>4234</v>
      </c>
    </row>
    <row r="1563" spans="1:7">
      <c r="A1563" s="175" t="s">
        <v>4235</v>
      </c>
      <c r="B1563" s="217" t="str">
        <f t="shared" si="24"/>
        <v>228511000[kg]</v>
      </c>
      <c r="C1563" s="216">
        <v>228511000</v>
      </c>
      <c r="D1563" s="175" t="s">
        <v>265</v>
      </c>
      <c r="E1563" s="175">
        <v>7</v>
      </c>
      <c r="F1563" s="175" t="s">
        <v>235</v>
      </c>
      <c r="G1563" s="175" t="s">
        <v>1267</v>
      </c>
    </row>
    <row r="1564" spans="1:7">
      <c r="A1564" s="175" t="s">
        <v>4236</v>
      </c>
      <c r="B1564" s="217" t="str">
        <f t="shared" si="24"/>
        <v>229100000[kg]</v>
      </c>
      <c r="C1564" s="216">
        <v>229100000</v>
      </c>
      <c r="D1564" s="175" t="s">
        <v>265</v>
      </c>
      <c r="E1564" s="175">
        <v>2.51580319322255E-3</v>
      </c>
      <c r="F1564" s="175" t="s">
        <v>235</v>
      </c>
      <c r="G1564" s="175" t="s">
        <v>4237</v>
      </c>
    </row>
    <row r="1565" spans="1:7">
      <c r="A1565" s="175" t="s">
        <v>4238</v>
      </c>
      <c r="B1565" s="217" t="str">
        <f t="shared" si="24"/>
        <v>229111000[円]</v>
      </c>
      <c r="C1565" s="216">
        <v>229111000</v>
      </c>
      <c r="D1565" s="175" t="s">
        <v>235</v>
      </c>
      <c r="E1565" s="175">
        <v>708.28247602441104</v>
      </c>
      <c r="F1565" s="175" t="s">
        <v>265</v>
      </c>
      <c r="G1565" s="175" t="s">
        <v>1268</v>
      </c>
    </row>
    <row r="1566" spans="1:7">
      <c r="A1566" s="175" t="s">
        <v>4239</v>
      </c>
      <c r="B1566" s="217" t="str">
        <f t="shared" si="24"/>
        <v>229400000[円]</v>
      </c>
      <c r="C1566" s="216">
        <v>229400000</v>
      </c>
      <c r="D1566" s="175" t="s">
        <v>235</v>
      </c>
      <c r="E1566" s="175">
        <v>90.033695324443102</v>
      </c>
      <c r="F1566" s="175" t="s">
        <v>265</v>
      </c>
      <c r="G1566" s="175" t="s">
        <v>4240</v>
      </c>
    </row>
    <row r="1567" spans="1:7">
      <c r="A1567" s="175" t="s">
        <v>4241</v>
      </c>
      <c r="B1567" s="217" t="str">
        <f t="shared" si="24"/>
        <v>229411000[円]</v>
      </c>
      <c r="C1567" s="216">
        <v>229411000</v>
      </c>
      <c r="D1567" s="175" t="s">
        <v>235</v>
      </c>
      <c r="E1567" s="175">
        <v>90.033695324443102</v>
      </c>
      <c r="F1567" s="175" t="s">
        <v>265</v>
      </c>
      <c r="G1567" s="175" t="s">
        <v>4242</v>
      </c>
    </row>
    <row r="1568" spans="1:7">
      <c r="A1568" s="175" t="s">
        <v>4243</v>
      </c>
      <c r="B1568" s="217" t="str">
        <f t="shared" si="24"/>
        <v>229500000[円]</v>
      </c>
      <c r="C1568" s="216">
        <v>229500000</v>
      </c>
      <c r="D1568" s="175" t="s">
        <v>235</v>
      </c>
      <c r="E1568" s="175">
        <v>492.660908238535</v>
      </c>
      <c r="F1568" s="175" t="s">
        <v>265</v>
      </c>
      <c r="G1568" s="175" t="s">
        <v>4244</v>
      </c>
    </row>
    <row r="1569" spans="1:7">
      <c r="A1569" s="175" t="s">
        <v>4245</v>
      </c>
      <c r="B1569" s="217" t="str">
        <f t="shared" si="24"/>
        <v>229519000[円]</v>
      </c>
      <c r="C1569" s="216">
        <v>229519000</v>
      </c>
      <c r="D1569" s="175" t="s">
        <v>235</v>
      </c>
      <c r="E1569" s="175">
        <v>492.660908238535</v>
      </c>
      <c r="F1569" s="175" t="s">
        <v>265</v>
      </c>
      <c r="G1569" s="175" t="s">
        <v>1272</v>
      </c>
    </row>
    <row r="1570" spans="1:7">
      <c r="A1570" s="175" t="s">
        <v>4246</v>
      </c>
      <c r="B1570" s="217" t="str">
        <f t="shared" si="24"/>
        <v>229600000[m2]</v>
      </c>
      <c r="C1570" s="216">
        <v>229600000</v>
      </c>
      <c r="D1570" s="175" t="s">
        <v>265</v>
      </c>
      <c r="E1570" s="175">
        <v>5.2249154621899002E-3</v>
      </c>
      <c r="F1570" s="175" t="s">
        <v>425</v>
      </c>
      <c r="G1570" s="175" t="s">
        <v>4247</v>
      </c>
    </row>
    <row r="1571" spans="1:7">
      <c r="A1571" s="175" t="s">
        <v>4248</v>
      </c>
      <c r="B1571" s="217" t="str">
        <f t="shared" si="24"/>
        <v>229611000[円]</v>
      </c>
      <c r="C1571" s="216">
        <v>229611000</v>
      </c>
      <c r="D1571" s="175" t="s">
        <v>235</v>
      </c>
      <c r="E1571" s="175">
        <v>62.169681064619397</v>
      </c>
      <c r="F1571" s="175" t="s">
        <v>265</v>
      </c>
      <c r="G1571" s="175" t="s">
        <v>1273</v>
      </c>
    </row>
    <row r="1572" spans="1:7">
      <c r="A1572" s="175" t="s">
        <v>4249</v>
      </c>
      <c r="B1572" s="217" t="str">
        <f t="shared" si="24"/>
        <v>229612000[kg]</v>
      </c>
      <c r="C1572" s="216">
        <v>229612000</v>
      </c>
      <c r="D1572" s="175" t="s">
        <v>425</v>
      </c>
      <c r="E1572" s="175">
        <v>9.4359999999999999</v>
      </c>
      <c r="F1572" s="175" t="s">
        <v>235</v>
      </c>
      <c r="G1572" s="175" t="s">
        <v>4250</v>
      </c>
    </row>
    <row r="1573" spans="1:7">
      <c r="A1573" s="175" t="s">
        <v>4249</v>
      </c>
      <c r="B1573" s="217" t="str">
        <f t="shared" si="24"/>
        <v>229612000[円]</v>
      </c>
      <c r="C1573" s="216">
        <v>229612000</v>
      </c>
      <c r="D1573" s="175" t="s">
        <v>425</v>
      </c>
      <c r="E1573" s="175">
        <v>187.06468503112799</v>
      </c>
      <c r="F1573" s="175" t="s">
        <v>265</v>
      </c>
      <c r="G1573" s="175" t="s">
        <v>4250</v>
      </c>
    </row>
    <row r="1574" spans="1:7">
      <c r="A1574" s="175" t="s">
        <v>4251</v>
      </c>
      <c r="B1574" s="217" t="str">
        <f t="shared" si="24"/>
        <v>229613000[円]</v>
      </c>
      <c r="C1574" s="216">
        <v>229613000</v>
      </c>
      <c r="D1574" s="175" t="s">
        <v>235</v>
      </c>
      <c r="E1574" s="175">
        <v>38.348409114933297</v>
      </c>
      <c r="F1574" s="175" t="s">
        <v>265</v>
      </c>
      <c r="G1574" s="175" t="s">
        <v>1274</v>
      </c>
    </row>
    <row r="1575" spans="1:7">
      <c r="A1575" s="175" t="s">
        <v>4252</v>
      </c>
      <c r="B1575" s="217" t="str">
        <f t="shared" si="24"/>
        <v>229619000[kg]</v>
      </c>
      <c r="C1575" s="216">
        <v>229619000</v>
      </c>
      <c r="D1575" s="175" t="s">
        <v>265</v>
      </c>
      <c r="E1575" s="175">
        <v>3.6128443198719801E-3</v>
      </c>
      <c r="F1575" s="175" t="s">
        <v>235</v>
      </c>
      <c r="G1575" s="175" t="s">
        <v>1275</v>
      </c>
    </row>
    <row r="1576" spans="1:7">
      <c r="A1576" s="175" t="s">
        <v>4253</v>
      </c>
      <c r="B1576" s="217" t="str">
        <f t="shared" si="24"/>
        <v>229700000[kg]</v>
      </c>
      <c r="C1576" s="216">
        <v>229700000</v>
      </c>
      <c r="D1576" s="175" t="s">
        <v>265</v>
      </c>
      <c r="E1576" s="175">
        <v>6.7768309609060703E-2</v>
      </c>
      <c r="F1576" s="175" t="s">
        <v>235</v>
      </c>
      <c r="G1576" s="175" t="s">
        <v>4254</v>
      </c>
    </row>
    <row r="1577" spans="1:7">
      <c r="A1577" s="175" t="s">
        <v>4255</v>
      </c>
      <c r="B1577" s="217" t="str">
        <f t="shared" si="24"/>
        <v>229711000[円]</v>
      </c>
      <c r="C1577" s="216">
        <v>229711000</v>
      </c>
      <c r="D1577" s="175" t="s">
        <v>235</v>
      </c>
      <c r="E1577" s="175">
        <v>12.547813927110299</v>
      </c>
      <c r="F1577" s="175" t="s">
        <v>265</v>
      </c>
      <c r="G1577" s="175" t="s">
        <v>1276</v>
      </c>
    </row>
    <row r="1578" spans="1:7">
      <c r="A1578" s="175" t="s">
        <v>4256</v>
      </c>
      <c r="B1578" s="217" t="str">
        <f t="shared" si="24"/>
        <v>229712000[円]</v>
      </c>
      <c r="C1578" s="216">
        <v>229712000</v>
      </c>
      <c r="D1578" s="175" t="s">
        <v>235</v>
      </c>
      <c r="E1578" s="175">
        <v>19.099833207197801</v>
      </c>
      <c r="F1578" s="175" t="s">
        <v>265</v>
      </c>
      <c r="G1578" s="175" t="s">
        <v>1277</v>
      </c>
    </row>
    <row r="1579" spans="1:7">
      <c r="A1579" s="175" t="s">
        <v>4257</v>
      </c>
      <c r="B1579" s="217" t="str">
        <f t="shared" si="24"/>
        <v>229713000[円]</v>
      </c>
      <c r="C1579" s="216">
        <v>229713000</v>
      </c>
      <c r="D1579" s="175" t="s">
        <v>235</v>
      </c>
      <c r="E1579" s="175">
        <v>26.3216620008163</v>
      </c>
      <c r="F1579" s="175" t="s">
        <v>265</v>
      </c>
      <c r="G1579" s="175" t="s">
        <v>1278</v>
      </c>
    </row>
    <row r="1580" spans="1:7">
      <c r="A1580" s="175" t="s">
        <v>4258</v>
      </c>
      <c r="B1580" s="217" t="str">
        <f t="shared" si="24"/>
        <v>229719100[円]</v>
      </c>
      <c r="C1580" s="216">
        <v>229719100</v>
      </c>
      <c r="D1580" s="175" t="s">
        <v>235</v>
      </c>
      <c r="E1580" s="175">
        <v>50</v>
      </c>
      <c r="F1580" s="175" t="s">
        <v>265</v>
      </c>
      <c r="G1580" s="175" t="s">
        <v>1280</v>
      </c>
    </row>
    <row r="1581" spans="1:7">
      <c r="A1581" s="175" t="s">
        <v>4259</v>
      </c>
      <c r="B1581" s="217" t="str">
        <f t="shared" si="24"/>
        <v>229911000[kg]</v>
      </c>
      <c r="C1581" s="216">
        <v>229911000</v>
      </c>
      <c r="D1581" s="175" t="s">
        <v>265</v>
      </c>
      <c r="E1581" s="175">
        <v>7.8125E-3</v>
      </c>
      <c r="F1581" s="175" t="s">
        <v>235</v>
      </c>
      <c r="G1581" s="175" t="s">
        <v>1281</v>
      </c>
    </row>
    <row r="1582" spans="1:7">
      <c r="A1582" s="175" t="s">
        <v>4260</v>
      </c>
      <c r="B1582" s="217" t="str">
        <f t="shared" si="24"/>
        <v>231111000[円]</v>
      </c>
      <c r="C1582" s="216">
        <v>231111000</v>
      </c>
      <c r="D1582" s="175" t="s">
        <v>235</v>
      </c>
      <c r="E1582" s="175">
        <v>37</v>
      </c>
      <c r="F1582" s="175" t="s">
        <v>265</v>
      </c>
      <c r="G1582" s="175" t="s">
        <v>1293</v>
      </c>
    </row>
    <row r="1583" spans="1:7">
      <c r="A1583" s="175" t="s">
        <v>4261</v>
      </c>
      <c r="B1583" s="217" t="str">
        <f t="shared" si="24"/>
        <v>231112000[円]</v>
      </c>
      <c r="C1583" s="216">
        <v>231112000</v>
      </c>
      <c r="D1583" s="175" t="s">
        <v>235</v>
      </c>
      <c r="E1583" s="175">
        <v>37</v>
      </c>
      <c r="F1583" s="175" t="s">
        <v>265</v>
      </c>
      <c r="G1583" s="175" t="s">
        <v>1294</v>
      </c>
    </row>
    <row r="1584" spans="1:7">
      <c r="A1584" s="175" t="s">
        <v>4262</v>
      </c>
      <c r="B1584" s="217" t="str">
        <f t="shared" si="24"/>
        <v>231113000[円]</v>
      </c>
      <c r="C1584" s="216">
        <v>231113000</v>
      </c>
      <c r="D1584" s="175" t="s">
        <v>235</v>
      </c>
      <c r="E1584" s="175">
        <v>41.002671994562199</v>
      </c>
      <c r="F1584" s="175" t="s">
        <v>265</v>
      </c>
      <c r="G1584" s="175" t="s">
        <v>1295</v>
      </c>
    </row>
    <row r="1585" spans="1:7">
      <c r="A1585" s="175" t="s">
        <v>4263</v>
      </c>
      <c r="B1585" s="217" t="str">
        <f t="shared" si="24"/>
        <v>231114000[円]</v>
      </c>
      <c r="C1585" s="216">
        <v>231114000</v>
      </c>
      <c r="D1585" s="175" t="s">
        <v>235</v>
      </c>
      <c r="E1585" s="175">
        <v>65.920894926088707</v>
      </c>
      <c r="F1585" s="175" t="s">
        <v>265</v>
      </c>
      <c r="G1585" s="175" t="s">
        <v>4264</v>
      </c>
    </row>
    <row r="1586" spans="1:7">
      <c r="A1586" s="175" t="s">
        <v>4265</v>
      </c>
      <c r="B1586" s="217" t="str">
        <f t="shared" si="24"/>
        <v>231115201[円]</v>
      </c>
      <c r="C1586" s="216">
        <v>231115201</v>
      </c>
      <c r="D1586" s="175" t="s">
        <v>235</v>
      </c>
      <c r="E1586" s="175">
        <v>63</v>
      </c>
      <c r="F1586" s="175" t="s">
        <v>265</v>
      </c>
      <c r="G1586" s="175" t="s">
        <v>4266</v>
      </c>
    </row>
    <row r="1587" spans="1:7">
      <c r="A1587" s="175" t="s">
        <v>4267</v>
      </c>
      <c r="B1587" s="217" t="str">
        <f t="shared" si="24"/>
        <v>231115202[円]</v>
      </c>
      <c r="C1587" s="216">
        <v>231115202</v>
      </c>
      <c r="D1587" s="175" t="s">
        <v>235</v>
      </c>
      <c r="E1587" s="175">
        <v>70</v>
      </c>
      <c r="F1587" s="175" t="s">
        <v>265</v>
      </c>
      <c r="G1587" s="175" t="s">
        <v>4268</v>
      </c>
    </row>
    <row r="1588" spans="1:7">
      <c r="A1588" s="175" t="s">
        <v>4269</v>
      </c>
      <c r="B1588" s="217" t="str">
        <f t="shared" si="24"/>
        <v>231300000[円]</v>
      </c>
      <c r="C1588" s="216">
        <v>231300000</v>
      </c>
      <c r="D1588" s="175" t="s">
        <v>235</v>
      </c>
      <c r="E1588" s="175">
        <v>122.45285084510201</v>
      </c>
      <c r="F1588" s="175" t="s">
        <v>265</v>
      </c>
      <c r="G1588" s="175" t="s">
        <v>4270</v>
      </c>
    </row>
    <row r="1589" spans="1:7">
      <c r="A1589" s="175" t="s">
        <v>4271</v>
      </c>
      <c r="B1589" s="217" t="str">
        <f t="shared" si="24"/>
        <v>231311000[円]</v>
      </c>
      <c r="C1589" s="216">
        <v>231311000</v>
      </c>
      <c r="D1589" s="175" t="s">
        <v>235</v>
      </c>
      <c r="E1589" s="175">
        <v>60.773873302573698</v>
      </c>
      <c r="F1589" s="175" t="s">
        <v>265</v>
      </c>
      <c r="G1589" s="175" t="s">
        <v>1297</v>
      </c>
    </row>
    <row r="1590" spans="1:7">
      <c r="A1590" s="175" t="s">
        <v>4272</v>
      </c>
      <c r="B1590" s="217" t="str">
        <f t="shared" si="24"/>
        <v>231312000[円]</v>
      </c>
      <c r="C1590" s="216">
        <v>231312000</v>
      </c>
      <c r="D1590" s="175" t="s">
        <v>235</v>
      </c>
      <c r="E1590" s="175">
        <v>55.673730927808002</v>
      </c>
      <c r="F1590" s="175" t="s">
        <v>265</v>
      </c>
      <c r="G1590" s="175" t="s">
        <v>1298</v>
      </c>
    </row>
    <row r="1591" spans="1:7">
      <c r="A1591" s="175" t="s">
        <v>4273</v>
      </c>
      <c r="B1591" s="217" t="str">
        <f t="shared" si="24"/>
        <v>231313000[円]</v>
      </c>
      <c r="C1591" s="216">
        <v>231313000</v>
      </c>
      <c r="D1591" s="175" t="s">
        <v>235</v>
      </c>
      <c r="E1591" s="175">
        <v>0</v>
      </c>
      <c r="F1591" s="175" t="s">
        <v>265</v>
      </c>
      <c r="G1591" s="175" t="s">
        <v>1299</v>
      </c>
    </row>
    <row r="1592" spans="1:7">
      <c r="A1592" s="175" t="s">
        <v>4274</v>
      </c>
      <c r="B1592" s="217" t="str">
        <f t="shared" si="24"/>
        <v>231314000[円]</v>
      </c>
      <c r="C1592" s="216">
        <v>231314000</v>
      </c>
      <c r="D1592" s="175" t="s">
        <v>235</v>
      </c>
      <c r="E1592" s="175">
        <v>85.521283158544094</v>
      </c>
      <c r="F1592" s="175" t="s">
        <v>265</v>
      </c>
      <c r="G1592" s="175" t="s">
        <v>1300</v>
      </c>
    </row>
    <row r="1593" spans="1:7">
      <c r="A1593" s="175" t="s">
        <v>4275</v>
      </c>
      <c r="B1593" s="217" t="str">
        <f t="shared" si="24"/>
        <v>231315000[円]</v>
      </c>
      <c r="C1593" s="216">
        <v>231315000</v>
      </c>
      <c r="D1593" s="175" t="s">
        <v>235</v>
      </c>
      <c r="E1593" s="175">
        <v>189.998937853538</v>
      </c>
      <c r="F1593" s="175" t="s">
        <v>265</v>
      </c>
      <c r="G1593" s="175" t="s">
        <v>1301</v>
      </c>
    </row>
    <row r="1594" spans="1:7">
      <c r="A1594" s="175" t="s">
        <v>4276</v>
      </c>
      <c r="B1594" s="217" t="str">
        <f t="shared" si="24"/>
        <v>231316000[円]</v>
      </c>
      <c r="C1594" s="216">
        <v>231316000</v>
      </c>
      <c r="D1594" s="175" t="s">
        <v>235</v>
      </c>
      <c r="E1594" s="175">
        <v>500.13517166801802</v>
      </c>
      <c r="F1594" s="175" t="s">
        <v>265</v>
      </c>
      <c r="G1594" s="175" t="s">
        <v>1302</v>
      </c>
    </row>
    <row r="1595" spans="1:7">
      <c r="A1595" s="175" t="s">
        <v>4277</v>
      </c>
      <c r="B1595" s="217" t="str">
        <f t="shared" si="24"/>
        <v>231317000[円]</v>
      </c>
      <c r="C1595" s="216">
        <v>231317000</v>
      </c>
      <c r="D1595" s="175" t="s">
        <v>235</v>
      </c>
      <c r="E1595" s="175">
        <v>860.02921129503397</v>
      </c>
      <c r="F1595" s="175" t="s">
        <v>265</v>
      </c>
      <c r="G1595" s="175" t="s">
        <v>1303</v>
      </c>
    </row>
    <row r="1596" spans="1:7">
      <c r="A1596" s="175" t="s">
        <v>4278</v>
      </c>
      <c r="B1596" s="217" t="str">
        <f t="shared" si="24"/>
        <v>231318000[円]</v>
      </c>
      <c r="C1596" s="216">
        <v>231318000</v>
      </c>
      <c r="D1596" s="175" t="s">
        <v>235</v>
      </c>
      <c r="E1596" s="175">
        <v>523.80952380952397</v>
      </c>
      <c r="F1596" s="175" t="s">
        <v>265</v>
      </c>
      <c r="G1596" s="175" t="s">
        <v>1304</v>
      </c>
    </row>
    <row r="1597" spans="1:7">
      <c r="A1597" s="175" t="s">
        <v>4279</v>
      </c>
      <c r="B1597" s="217" t="str">
        <f t="shared" si="24"/>
        <v>231319000[円]</v>
      </c>
      <c r="C1597" s="216">
        <v>231319000</v>
      </c>
      <c r="D1597" s="175" t="s">
        <v>235</v>
      </c>
      <c r="E1597" s="175">
        <v>279.20636992559702</v>
      </c>
      <c r="F1597" s="175" t="s">
        <v>265</v>
      </c>
      <c r="G1597" s="175" t="s">
        <v>1305</v>
      </c>
    </row>
    <row r="1598" spans="1:7">
      <c r="A1598" s="175" t="s">
        <v>4280</v>
      </c>
      <c r="B1598" s="217" t="str">
        <f t="shared" si="24"/>
        <v>232100000[円]</v>
      </c>
      <c r="C1598" s="216">
        <v>232100000</v>
      </c>
      <c r="D1598" s="175" t="s">
        <v>235</v>
      </c>
      <c r="E1598" s="175">
        <v>45.685291147549698</v>
      </c>
      <c r="F1598" s="175" t="s">
        <v>265</v>
      </c>
      <c r="G1598" s="175" t="s">
        <v>4281</v>
      </c>
    </row>
    <row r="1599" spans="1:7">
      <c r="A1599" s="175" t="s">
        <v>4282</v>
      </c>
      <c r="B1599" s="217" t="str">
        <f t="shared" si="24"/>
        <v>232111000[円]</v>
      </c>
      <c r="C1599" s="216">
        <v>232111000</v>
      </c>
      <c r="D1599" s="175" t="s">
        <v>235</v>
      </c>
      <c r="E1599" s="175">
        <v>40.271800931363899</v>
      </c>
      <c r="F1599" s="175" t="s">
        <v>265</v>
      </c>
      <c r="G1599" s="175" t="s">
        <v>1306</v>
      </c>
    </row>
    <row r="1600" spans="1:7">
      <c r="A1600" s="175" t="s">
        <v>4283</v>
      </c>
      <c r="B1600" s="217" t="str">
        <f t="shared" si="24"/>
        <v>232112000[円]</v>
      </c>
      <c r="C1600" s="216">
        <v>232112000</v>
      </c>
      <c r="D1600" s="175" t="s">
        <v>235</v>
      </c>
      <c r="E1600" s="175">
        <v>31.479255807940799</v>
      </c>
      <c r="F1600" s="175" t="s">
        <v>265</v>
      </c>
      <c r="G1600" s="175" t="s">
        <v>1307</v>
      </c>
    </row>
    <row r="1601" spans="1:7">
      <c r="A1601" s="175" t="s">
        <v>4284</v>
      </c>
      <c r="B1601" s="217" t="str">
        <f t="shared" si="24"/>
        <v>232113000[円]</v>
      </c>
      <c r="C1601" s="216">
        <v>232113000</v>
      </c>
      <c r="D1601" s="175" t="s">
        <v>235</v>
      </c>
      <c r="E1601" s="175">
        <v>40.508231508871802</v>
      </c>
      <c r="F1601" s="175" t="s">
        <v>265</v>
      </c>
      <c r="G1601" s="175" t="s">
        <v>1308</v>
      </c>
    </row>
    <row r="1602" spans="1:7">
      <c r="A1602" s="175" t="s">
        <v>4285</v>
      </c>
      <c r="B1602" s="217" t="str">
        <f t="shared" ref="B1602:B1665" si="25">C1602&amp;"["&amp;F1602&amp;"]"</f>
        <v>232114000[円]</v>
      </c>
      <c r="C1602" s="216">
        <v>232114000</v>
      </c>
      <c r="D1602" s="175" t="s">
        <v>235</v>
      </c>
      <c r="E1602" s="175">
        <v>48.029579398221301</v>
      </c>
      <c r="F1602" s="175" t="s">
        <v>265</v>
      </c>
      <c r="G1602" s="175" t="s">
        <v>1309</v>
      </c>
    </row>
    <row r="1603" spans="1:7">
      <c r="A1603" s="175" t="s">
        <v>4286</v>
      </c>
      <c r="B1603" s="217" t="str">
        <f t="shared" si="25"/>
        <v>232115000[円]</v>
      </c>
      <c r="C1603" s="216">
        <v>232115000</v>
      </c>
      <c r="D1603" s="175" t="s">
        <v>235</v>
      </c>
      <c r="E1603" s="175">
        <v>37.956665992012198</v>
      </c>
      <c r="F1603" s="175" t="s">
        <v>265</v>
      </c>
      <c r="G1603" s="175" t="s">
        <v>1310</v>
      </c>
    </row>
    <row r="1604" spans="1:7">
      <c r="A1604" s="175" t="s">
        <v>4287</v>
      </c>
      <c r="B1604" s="217" t="str">
        <f t="shared" si="25"/>
        <v>232116000[円]</v>
      </c>
      <c r="C1604" s="216">
        <v>232116000</v>
      </c>
      <c r="D1604" s="175" t="s">
        <v>235</v>
      </c>
      <c r="E1604" s="175">
        <v>65.231872692207602</v>
      </c>
      <c r="F1604" s="175" t="s">
        <v>265</v>
      </c>
      <c r="G1604" s="175" t="s">
        <v>1311</v>
      </c>
    </row>
    <row r="1605" spans="1:7">
      <c r="A1605" s="175" t="s">
        <v>4288</v>
      </c>
      <c r="B1605" s="217" t="str">
        <f t="shared" si="25"/>
        <v>232117000[円]</v>
      </c>
      <c r="C1605" s="216">
        <v>232117000</v>
      </c>
      <c r="D1605" s="175" t="s">
        <v>235</v>
      </c>
      <c r="E1605" s="175">
        <v>72.816424979337</v>
      </c>
      <c r="F1605" s="175" t="s">
        <v>265</v>
      </c>
      <c r="G1605" s="175" t="s">
        <v>4289</v>
      </c>
    </row>
    <row r="1606" spans="1:7">
      <c r="A1606" s="175" t="s">
        <v>4290</v>
      </c>
      <c r="B1606" s="217" t="str">
        <f t="shared" si="25"/>
        <v>232118000[円]</v>
      </c>
      <c r="C1606" s="216">
        <v>232118000</v>
      </c>
      <c r="D1606" s="175" t="s">
        <v>235</v>
      </c>
      <c r="E1606" s="175">
        <v>94.776904952673604</v>
      </c>
      <c r="F1606" s="175" t="s">
        <v>265</v>
      </c>
      <c r="G1606" s="175" t="s">
        <v>1312</v>
      </c>
    </row>
    <row r="1607" spans="1:7">
      <c r="A1607" s="175" t="s">
        <v>4291</v>
      </c>
      <c r="B1607" s="217" t="str">
        <f t="shared" si="25"/>
        <v>232119000[円]</v>
      </c>
      <c r="C1607" s="216">
        <v>232119000</v>
      </c>
      <c r="D1607" s="175" t="s">
        <v>235</v>
      </c>
      <c r="E1607" s="175">
        <v>78.751382620108103</v>
      </c>
      <c r="F1607" s="175" t="s">
        <v>265</v>
      </c>
      <c r="G1607" s="175" t="s">
        <v>1313</v>
      </c>
    </row>
    <row r="1608" spans="1:7">
      <c r="A1608" s="175" t="s">
        <v>4292</v>
      </c>
      <c r="B1608" s="217" t="str">
        <f t="shared" si="25"/>
        <v>232121000[円]</v>
      </c>
      <c r="C1608" s="216">
        <v>232121000</v>
      </c>
      <c r="D1608" s="175" t="s">
        <v>235</v>
      </c>
      <c r="E1608" s="175">
        <v>75.791499284813597</v>
      </c>
      <c r="F1608" s="175" t="s">
        <v>265</v>
      </c>
      <c r="G1608" s="175" t="s">
        <v>1314</v>
      </c>
    </row>
    <row r="1609" spans="1:7">
      <c r="A1609" s="175" t="s">
        <v>4293</v>
      </c>
      <c r="B1609" s="217" t="str">
        <f t="shared" si="25"/>
        <v>232122000[円]</v>
      </c>
      <c r="C1609" s="216">
        <v>232122000</v>
      </c>
      <c r="D1609" s="175" t="s">
        <v>235</v>
      </c>
      <c r="E1609" s="175">
        <v>106.488459829402</v>
      </c>
      <c r="F1609" s="175" t="s">
        <v>265</v>
      </c>
      <c r="G1609" s="175" t="s">
        <v>1315</v>
      </c>
    </row>
    <row r="1610" spans="1:7">
      <c r="A1610" s="175" t="s">
        <v>4294</v>
      </c>
      <c r="B1610" s="217" t="str">
        <f t="shared" si="25"/>
        <v>232123000[円]</v>
      </c>
      <c r="C1610" s="216">
        <v>232123000</v>
      </c>
      <c r="D1610" s="175" t="s">
        <v>235</v>
      </c>
      <c r="E1610" s="175">
        <v>71.375032238445201</v>
      </c>
      <c r="F1610" s="175" t="s">
        <v>265</v>
      </c>
      <c r="G1610" s="175" t="s">
        <v>1316</v>
      </c>
    </row>
    <row r="1611" spans="1:7">
      <c r="A1611" s="175" t="s">
        <v>4295</v>
      </c>
      <c r="B1611" s="217" t="str">
        <f t="shared" si="25"/>
        <v>232124000[円]</v>
      </c>
      <c r="C1611" s="216">
        <v>232124000</v>
      </c>
      <c r="D1611" s="175" t="s">
        <v>235</v>
      </c>
      <c r="E1611" s="175">
        <v>79.811936737970896</v>
      </c>
      <c r="F1611" s="175" t="s">
        <v>265</v>
      </c>
      <c r="G1611" s="175" t="s">
        <v>1319</v>
      </c>
    </row>
    <row r="1612" spans="1:7">
      <c r="A1612" s="175" t="s">
        <v>4296</v>
      </c>
      <c r="B1612" s="217" t="str">
        <f t="shared" si="25"/>
        <v>233100000[円]</v>
      </c>
      <c r="C1612" s="216">
        <v>233100000</v>
      </c>
      <c r="D1612" s="175" t="s">
        <v>235</v>
      </c>
      <c r="E1612" s="175">
        <v>121.837952991417</v>
      </c>
      <c r="F1612" s="175" t="s">
        <v>265</v>
      </c>
      <c r="G1612" s="175" t="s">
        <v>4297</v>
      </c>
    </row>
    <row r="1613" spans="1:7">
      <c r="A1613" s="175" t="s">
        <v>4298</v>
      </c>
      <c r="B1613" s="217" t="str">
        <f t="shared" si="25"/>
        <v>233111000[円]</v>
      </c>
      <c r="C1613" s="216">
        <v>233111000</v>
      </c>
      <c r="D1613" s="175" t="s">
        <v>235</v>
      </c>
      <c r="E1613" s="175">
        <v>121.837952991417</v>
      </c>
      <c r="F1613" s="175" t="s">
        <v>265</v>
      </c>
      <c r="G1613" s="175" t="s">
        <v>1320</v>
      </c>
    </row>
    <row r="1614" spans="1:7">
      <c r="A1614" s="175" t="s">
        <v>4299</v>
      </c>
      <c r="B1614" s="217" t="str">
        <f t="shared" si="25"/>
        <v>233112000[円]</v>
      </c>
      <c r="C1614" s="216">
        <v>233112000</v>
      </c>
      <c r="D1614" s="175" t="s">
        <v>235</v>
      </c>
      <c r="E1614" s="175">
        <v>121.837952991417</v>
      </c>
      <c r="F1614" s="175" t="s">
        <v>265</v>
      </c>
      <c r="G1614" s="175" t="s">
        <v>1321</v>
      </c>
    </row>
    <row r="1615" spans="1:7">
      <c r="A1615" s="175" t="s">
        <v>4300</v>
      </c>
      <c r="B1615" s="217" t="str">
        <f t="shared" si="25"/>
        <v>233113000[円]</v>
      </c>
      <c r="C1615" s="216">
        <v>233113000</v>
      </c>
      <c r="D1615" s="175" t="s">
        <v>235</v>
      </c>
      <c r="E1615" s="175">
        <v>121.837952991417</v>
      </c>
      <c r="F1615" s="175" t="s">
        <v>265</v>
      </c>
      <c r="G1615" s="175" t="s">
        <v>1322</v>
      </c>
    </row>
    <row r="1616" spans="1:7">
      <c r="A1616" s="175" t="s">
        <v>4301</v>
      </c>
      <c r="B1616" s="217" t="str">
        <f t="shared" si="25"/>
        <v>233114000[円]</v>
      </c>
      <c r="C1616" s="216">
        <v>233114000</v>
      </c>
      <c r="D1616" s="175" t="s">
        <v>235</v>
      </c>
      <c r="E1616" s="175">
        <v>121.837952991417</v>
      </c>
      <c r="F1616" s="175" t="s">
        <v>265</v>
      </c>
      <c r="G1616" s="175" t="s">
        <v>1323</v>
      </c>
    </row>
    <row r="1617" spans="1:7">
      <c r="A1617" s="175" t="s">
        <v>4302</v>
      </c>
      <c r="B1617" s="217" t="str">
        <f t="shared" si="25"/>
        <v>233115000[円]</v>
      </c>
      <c r="C1617" s="216">
        <v>233115000</v>
      </c>
      <c r="D1617" s="175" t="s">
        <v>235</v>
      </c>
      <c r="E1617" s="175">
        <v>121.837952991417</v>
      </c>
      <c r="F1617" s="175" t="s">
        <v>265</v>
      </c>
      <c r="G1617" s="175" t="s">
        <v>1324</v>
      </c>
    </row>
    <row r="1618" spans="1:7">
      <c r="A1618" s="175" t="s">
        <v>4303</v>
      </c>
      <c r="B1618" s="217" t="str">
        <f t="shared" si="25"/>
        <v>233116000[円]</v>
      </c>
      <c r="C1618" s="216">
        <v>233116000</v>
      </c>
      <c r="D1618" s="175" t="s">
        <v>235</v>
      </c>
      <c r="E1618" s="175">
        <v>121.837952991417</v>
      </c>
      <c r="F1618" s="175" t="s">
        <v>265</v>
      </c>
      <c r="G1618" s="175" t="s">
        <v>1325</v>
      </c>
    </row>
    <row r="1619" spans="1:7">
      <c r="A1619" s="175" t="s">
        <v>4304</v>
      </c>
      <c r="B1619" s="217" t="str">
        <f t="shared" si="25"/>
        <v>233117000[円]</v>
      </c>
      <c r="C1619" s="216">
        <v>233117000</v>
      </c>
      <c r="D1619" s="175" t="s">
        <v>235</v>
      </c>
      <c r="E1619" s="175">
        <v>156.905015340304</v>
      </c>
      <c r="F1619" s="175" t="s">
        <v>265</v>
      </c>
      <c r="G1619" s="175" t="s">
        <v>1326</v>
      </c>
    </row>
    <row r="1620" spans="1:7">
      <c r="A1620" s="175" t="s">
        <v>4305</v>
      </c>
      <c r="B1620" s="217" t="str">
        <f t="shared" si="25"/>
        <v>233121000[円]</v>
      </c>
      <c r="C1620" s="216">
        <v>233121000</v>
      </c>
      <c r="D1620" s="175" t="s">
        <v>235</v>
      </c>
      <c r="E1620" s="175">
        <v>230.43425980004801</v>
      </c>
      <c r="F1620" s="175" t="s">
        <v>265</v>
      </c>
      <c r="G1620" s="175" t="s">
        <v>1327</v>
      </c>
    </row>
    <row r="1621" spans="1:7">
      <c r="A1621" s="175" t="s">
        <v>4306</v>
      </c>
      <c r="B1621" s="217" t="str">
        <f t="shared" si="25"/>
        <v>233122000[円]</v>
      </c>
      <c r="C1621" s="216">
        <v>233122000</v>
      </c>
      <c r="D1621" s="175" t="s">
        <v>235</v>
      </c>
      <c r="E1621" s="175">
        <v>66.717642489562095</v>
      </c>
      <c r="F1621" s="175" t="s">
        <v>265</v>
      </c>
      <c r="G1621" s="175" t="s">
        <v>1328</v>
      </c>
    </row>
    <row r="1622" spans="1:7">
      <c r="A1622" s="175" t="s">
        <v>4307</v>
      </c>
      <c r="B1622" s="217" t="str">
        <f t="shared" si="25"/>
        <v>233123000[円]</v>
      </c>
      <c r="C1622" s="216">
        <v>233123000</v>
      </c>
      <c r="D1622" s="175" t="s">
        <v>235</v>
      </c>
      <c r="E1622" s="175">
        <v>66.717642489562095</v>
      </c>
      <c r="F1622" s="175" t="s">
        <v>265</v>
      </c>
      <c r="G1622" s="175" t="s">
        <v>1329</v>
      </c>
    </row>
    <row r="1623" spans="1:7">
      <c r="A1623" s="175" t="s">
        <v>4308</v>
      </c>
      <c r="B1623" s="217" t="str">
        <f t="shared" si="25"/>
        <v>233124000[円]</v>
      </c>
      <c r="C1623" s="216">
        <v>233124000</v>
      </c>
      <c r="D1623" s="175" t="s">
        <v>235</v>
      </c>
      <c r="E1623" s="175">
        <v>97.114999999999995</v>
      </c>
      <c r="F1623" s="175" t="s">
        <v>265</v>
      </c>
      <c r="G1623" s="175" t="s">
        <v>4309</v>
      </c>
    </row>
    <row r="1624" spans="1:7">
      <c r="A1624" s="175" t="s">
        <v>4310</v>
      </c>
      <c r="B1624" s="217" t="str">
        <f t="shared" si="25"/>
        <v>233125000[円]</v>
      </c>
      <c r="C1624" s="216">
        <v>233125000</v>
      </c>
      <c r="D1624" s="175" t="s">
        <v>235</v>
      </c>
      <c r="E1624" s="175">
        <v>97.114999999999995</v>
      </c>
      <c r="F1624" s="175" t="s">
        <v>265</v>
      </c>
      <c r="G1624" s="175" t="s">
        <v>1330</v>
      </c>
    </row>
    <row r="1625" spans="1:7">
      <c r="A1625" s="175" t="s">
        <v>4311</v>
      </c>
      <c r="B1625" s="217" t="str">
        <f t="shared" si="25"/>
        <v>233126000[円]</v>
      </c>
      <c r="C1625" s="216">
        <v>233126000</v>
      </c>
      <c r="D1625" s="175" t="s">
        <v>235</v>
      </c>
      <c r="E1625" s="175">
        <v>97.114999999999995</v>
      </c>
      <c r="F1625" s="175" t="s">
        <v>265</v>
      </c>
      <c r="G1625" s="175" t="s">
        <v>1331</v>
      </c>
    </row>
    <row r="1626" spans="1:7">
      <c r="A1626" s="175" t="s">
        <v>4312</v>
      </c>
      <c r="B1626" s="217" t="str">
        <f t="shared" si="25"/>
        <v>233127000[円]</v>
      </c>
      <c r="C1626" s="216">
        <v>233127000</v>
      </c>
      <c r="D1626" s="175" t="s">
        <v>235</v>
      </c>
      <c r="E1626" s="175">
        <v>172.17746448821899</v>
      </c>
      <c r="F1626" s="175" t="s">
        <v>265</v>
      </c>
      <c r="G1626" s="175" t="s">
        <v>1332</v>
      </c>
    </row>
    <row r="1627" spans="1:7">
      <c r="A1627" s="175" t="s">
        <v>4313</v>
      </c>
      <c r="B1627" s="217" t="str">
        <f t="shared" si="25"/>
        <v>234100000[円]</v>
      </c>
      <c r="C1627" s="216">
        <v>234100000</v>
      </c>
      <c r="D1627" s="175" t="s">
        <v>235</v>
      </c>
      <c r="E1627" s="175">
        <v>97.114999999999995</v>
      </c>
      <c r="F1627" s="175" t="s">
        <v>265</v>
      </c>
      <c r="G1627" s="175" t="s">
        <v>4314</v>
      </c>
    </row>
    <row r="1628" spans="1:7">
      <c r="A1628" s="175" t="s">
        <v>4315</v>
      </c>
      <c r="B1628" s="217" t="str">
        <f t="shared" si="25"/>
        <v>234111000[円]</v>
      </c>
      <c r="C1628" s="216">
        <v>234111000</v>
      </c>
      <c r="D1628" s="175" t="s">
        <v>235</v>
      </c>
      <c r="E1628" s="175">
        <v>97.114999999999995</v>
      </c>
      <c r="F1628" s="175" t="s">
        <v>265</v>
      </c>
      <c r="G1628" s="175" t="s">
        <v>1333</v>
      </c>
    </row>
    <row r="1629" spans="1:7">
      <c r="A1629" s="175" t="s">
        <v>4316</v>
      </c>
      <c r="B1629" s="217" t="str">
        <f t="shared" si="25"/>
        <v>234112000[円]</v>
      </c>
      <c r="C1629" s="216">
        <v>234112000</v>
      </c>
      <c r="D1629" s="175" t="s">
        <v>235</v>
      </c>
      <c r="E1629" s="175">
        <v>97.114999999999995</v>
      </c>
      <c r="F1629" s="175" t="s">
        <v>265</v>
      </c>
      <c r="G1629" s="175" t="s">
        <v>1334</v>
      </c>
    </row>
    <row r="1630" spans="1:7">
      <c r="A1630" s="175" t="s">
        <v>4317</v>
      </c>
      <c r="B1630" s="217" t="str">
        <f t="shared" si="25"/>
        <v>234113000[円]</v>
      </c>
      <c r="C1630" s="216">
        <v>234113000</v>
      </c>
      <c r="D1630" s="175" t="s">
        <v>235</v>
      </c>
      <c r="E1630" s="175">
        <v>97.114999999999995</v>
      </c>
      <c r="F1630" s="175" t="s">
        <v>265</v>
      </c>
      <c r="G1630" s="175" t="s">
        <v>1335</v>
      </c>
    </row>
    <row r="1631" spans="1:7">
      <c r="A1631" s="175" t="s">
        <v>4318</v>
      </c>
      <c r="B1631" s="217" t="str">
        <f t="shared" si="25"/>
        <v>234114000[円]</v>
      </c>
      <c r="C1631" s="216">
        <v>234114000</v>
      </c>
      <c r="D1631" s="175" t="s">
        <v>235</v>
      </c>
      <c r="E1631" s="175">
        <v>97.114999999999995</v>
      </c>
      <c r="F1631" s="175" t="s">
        <v>265</v>
      </c>
      <c r="G1631" s="175" t="s">
        <v>1336</v>
      </c>
    </row>
    <row r="1632" spans="1:7">
      <c r="A1632" s="175" t="s">
        <v>4319</v>
      </c>
      <c r="B1632" s="217" t="str">
        <f t="shared" si="25"/>
        <v>234115000[円]</v>
      </c>
      <c r="C1632" s="216">
        <v>234115000</v>
      </c>
      <c r="D1632" s="175" t="s">
        <v>235</v>
      </c>
      <c r="E1632" s="175">
        <v>97.114999999999995</v>
      </c>
      <c r="F1632" s="175" t="s">
        <v>265</v>
      </c>
      <c r="G1632" s="175" t="s">
        <v>1337</v>
      </c>
    </row>
    <row r="1633" spans="1:7">
      <c r="A1633" s="175" t="s">
        <v>4320</v>
      </c>
      <c r="B1633" s="217" t="str">
        <f t="shared" si="25"/>
        <v>234116000[円]</v>
      </c>
      <c r="C1633" s="216">
        <v>234116000</v>
      </c>
      <c r="D1633" s="175" t="s">
        <v>235</v>
      </c>
      <c r="E1633" s="175">
        <v>97.114999999999995</v>
      </c>
      <c r="F1633" s="175" t="s">
        <v>265</v>
      </c>
      <c r="G1633" s="175" t="s">
        <v>1340</v>
      </c>
    </row>
    <row r="1634" spans="1:7">
      <c r="A1634" s="175" t="s">
        <v>4321</v>
      </c>
      <c r="B1634" s="217" t="str">
        <f t="shared" si="25"/>
        <v>234117000[円]</v>
      </c>
      <c r="C1634" s="216">
        <v>234117000</v>
      </c>
      <c r="D1634" s="175" t="s">
        <v>235</v>
      </c>
      <c r="E1634" s="175">
        <v>156.905015340304</v>
      </c>
      <c r="F1634" s="175" t="s">
        <v>265</v>
      </c>
      <c r="G1634" s="175" t="s">
        <v>1343</v>
      </c>
    </row>
    <row r="1635" spans="1:7">
      <c r="A1635" s="175" t="s">
        <v>4322</v>
      </c>
      <c r="B1635" s="217" t="str">
        <f t="shared" si="25"/>
        <v>235100000[円]</v>
      </c>
      <c r="C1635" s="216">
        <v>235100000</v>
      </c>
      <c r="D1635" s="175" t="s">
        <v>235</v>
      </c>
      <c r="E1635" s="175">
        <v>179.57740050000001</v>
      </c>
      <c r="F1635" s="175" t="s">
        <v>265</v>
      </c>
      <c r="G1635" s="175" t="s">
        <v>4323</v>
      </c>
    </row>
    <row r="1636" spans="1:7">
      <c r="A1636" s="175" t="s">
        <v>4324</v>
      </c>
      <c r="B1636" s="217" t="str">
        <f t="shared" si="25"/>
        <v>235111000[円]</v>
      </c>
      <c r="C1636" s="216">
        <v>235111000</v>
      </c>
      <c r="D1636" s="175" t="s">
        <v>235</v>
      </c>
      <c r="E1636" s="175">
        <v>210</v>
      </c>
      <c r="F1636" s="175" t="s">
        <v>265</v>
      </c>
      <c r="G1636" s="175" t="s">
        <v>1344</v>
      </c>
    </row>
    <row r="1637" spans="1:7">
      <c r="A1637" s="175" t="s">
        <v>4325</v>
      </c>
      <c r="B1637" s="217" t="str">
        <f t="shared" si="25"/>
        <v>235119000[円]</v>
      </c>
      <c r="C1637" s="216">
        <v>235119000</v>
      </c>
      <c r="D1637" s="175" t="s">
        <v>235</v>
      </c>
      <c r="E1637" s="175">
        <v>267</v>
      </c>
      <c r="F1637" s="175" t="s">
        <v>265</v>
      </c>
      <c r="G1637" s="175" t="s">
        <v>1345</v>
      </c>
    </row>
    <row r="1638" spans="1:7">
      <c r="A1638" s="175" t="s">
        <v>4326</v>
      </c>
      <c r="B1638" s="217" t="str">
        <f t="shared" si="25"/>
        <v>235200000[円]</v>
      </c>
      <c r="C1638" s="216">
        <v>235200000</v>
      </c>
      <c r="D1638" s="175" t="s">
        <v>235</v>
      </c>
      <c r="E1638" s="175">
        <v>334.331881800958</v>
      </c>
      <c r="F1638" s="175" t="s">
        <v>265</v>
      </c>
      <c r="G1638" s="175" t="s">
        <v>4327</v>
      </c>
    </row>
    <row r="1639" spans="1:7">
      <c r="A1639" s="175" t="s">
        <v>4328</v>
      </c>
      <c r="B1639" s="217" t="str">
        <f t="shared" si="25"/>
        <v>235211000[円]</v>
      </c>
      <c r="C1639" s="216">
        <v>235211000</v>
      </c>
      <c r="D1639" s="175" t="s">
        <v>235</v>
      </c>
      <c r="E1639" s="175">
        <v>334.331881800958</v>
      </c>
      <c r="F1639" s="175" t="s">
        <v>265</v>
      </c>
      <c r="G1639" s="175" t="s">
        <v>1346</v>
      </c>
    </row>
    <row r="1640" spans="1:7">
      <c r="A1640" s="175" t="s">
        <v>4329</v>
      </c>
      <c r="B1640" s="217" t="str">
        <f t="shared" si="25"/>
        <v>235212000[円]</v>
      </c>
      <c r="C1640" s="216">
        <v>235212000</v>
      </c>
      <c r="D1640" s="175" t="s">
        <v>235</v>
      </c>
      <c r="E1640" s="175">
        <v>665</v>
      </c>
      <c r="F1640" s="175" t="s">
        <v>265</v>
      </c>
      <c r="G1640" s="175" t="s">
        <v>4330</v>
      </c>
    </row>
    <row r="1641" spans="1:7">
      <c r="A1641" s="175" t="s">
        <v>4331</v>
      </c>
      <c r="B1641" s="217" t="str">
        <f t="shared" si="25"/>
        <v>235219000[円]</v>
      </c>
      <c r="C1641" s="216">
        <v>235219000</v>
      </c>
      <c r="D1641" s="175" t="s">
        <v>235</v>
      </c>
      <c r="E1641" s="175">
        <v>1250</v>
      </c>
      <c r="F1641" s="175" t="s">
        <v>265</v>
      </c>
      <c r="G1641" s="175" t="s">
        <v>1347</v>
      </c>
    </row>
    <row r="1642" spans="1:7">
      <c r="A1642" s="175" t="s">
        <v>4332</v>
      </c>
      <c r="B1642" s="217" t="str">
        <f t="shared" si="25"/>
        <v>235300000[円]</v>
      </c>
      <c r="C1642" s="216">
        <v>235300000</v>
      </c>
      <c r="D1642" s="175" t="s">
        <v>235</v>
      </c>
      <c r="E1642" s="175">
        <v>502.99748870000002</v>
      </c>
      <c r="F1642" s="175" t="s">
        <v>265</v>
      </c>
      <c r="G1642" s="175" t="s">
        <v>4333</v>
      </c>
    </row>
    <row r="1643" spans="1:7">
      <c r="A1643" s="175" t="s">
        <v>4334</v>
      </c>
      <c r="B1643" s="217" t="str">
        <f t="shared" si="25"/>
        <v>235311000[円]</v>
      </c>
      <c r="C1643" s="216">
        <v>235311000</v>
      </c>
      <c r="D1643" s="175" t="s">
        <v>235</v>
      </c>
      <c r="E1643" s="175">
        <v>427</v>
      </c>
      <c r="F1643" s="175" t="s">
        <v>265</v>
      </c>
      <c r="G1643" s="175" t="s">
        <v>4335</v>
      </c>
    </row>
    <row r="1644" spans="1:7">
      <c r="A1644" s="175" t="s">
        <v>4336</v>
      </c>
      <c r="B1644" s="217" t="str">
        <f t="shared" si="25"/>
        <v>235312000[円]</v>
      </c>
      <c r="C1644" s="216">
        <v>235312000</v>
      </c>
      <c r="D1644" s="175" t="s">
        <v>235</v>
      </c>
      <c r="E1644" s="175">
        <v>964</v>
      </c>
      <c r="F1644" s="175" t="s">
        <v>265</v>
      </c>
      <c r="G1644" s="175" t="s">
        <v>4337</v>
      </c>
    </row>
    <row r="1645" spans="1:7">
      <c r="A1645" s="175" t="s">
        <v>4338</v>
      </c>
      <c r="B1645" s="217" t="str">
        <f t="shared" si="25"/>
        <v>235400000[円]</v>
      </c>
      <c r="C1645" s="216">
        <v>235400000</v>
      </c>
      <c r="D1645" s="175" t="s">
        <v>235</v>
      </c>
      <c r="E1645" s="175">
        <v>245</v>
      </c>
      <c r="F1645" s="175" t="s">
        <v>265</v>
      </c>
      <c r="G1645" s="175" t="s">
        <v>4339</v>
      </c>
    </row>
    <row r="1646" spans="1:7">
      <c r="A1646" s="175" t="s">
        <v>4340</v>
      </c>
      <c r="B1646" s="217" t="str">
        <f t="shared" si="25"/>
        <v>235411000[円]</v>
      </c>
      <c r="C1646" s="216">
        <v>235411000</v>
      </c>
      <c r="D1646" s="175" t="s">
        <v>235</v>
      </c>
      <c r="E1646" s="175">
        <v>245</v>
      </c>
      <c r="F1646" s="175" t="s">
        <v>265</v>
      </c>
      <c r="G1646" s="175" t="s">
        <v>4341</v>
      </c>
    </row>
    <row r="1647" spans="1:7">
      <c r="A1647" s="175" t="s">
        <v>4342</v>
      </c>
      <c r="B1647" s="217" t="str">
        <f t="shared" si="25"/>
        <v>235500000[円]</v>
      </c>
      <c r="C1647" s="216">
        <v>235500000</v>
      </c>
      <c r="D1647" s="175" t="s">
        <v>235</v>
      </c>
      <c r="E1647" s="175">
        <v>265.68794869999999</v>
      </c>
      <c r="F1647" s="175" t="s">
        <v>265</v>
      </c>
      <c r="G1647" s="175" t="s">
        <v>4343</v>
      </c>
    </row>
    <row r="1648" spans="1:7">
      <c r="A1648" s="175" t="s">
        <v>4344</v>
      </c>
      <c r="B1648" s="217" t="str">
        <f t="shared" si="25"/>
        <v>235511000[円]</v>
      </c>
      <c r="C1648" s="216">
        <v>235511000</v>
      </c>
      <c r="D1648" s="175" t="s">
        <v>235</v>
      </c>
      <c r="E1648" s="175">
        <v>436</v>
      </c>
      <c r="F1648" s="175" t="s">
        <v>265</v>
      </c>
      <c r="G1648" s="175" t="s">
        <v>4345</v>
      </c>
    </row>
    <row r="1649" spans="1:7">
      <c r="A1649" s="175" t="s">
        <v>4346</v>
      </c>
      <c r="B1649" s="217" t="str">
        <f t="shared" si="25"/>
        <v>235512000[円]</v>
      </c>
      <c r="C1649" s="216">
        <v>235512000</v>
      </c>
      <c r="D1649" s="175" t="s">
        <v>235</v>
      </c>
      <c r="E1649" s="175">
        <v>578</v>
      </c>
      <c r="F1649" s="175" t="s">
        <v>265</v>
      </c>
      <c r="G1649" s="175" t="s">
        <v>4347</v>
      </c>
    </row>
    <row r="1650" spans="1:7">
      <c r="A1650" s="175" t="s">
        <v>4348</v>
      </c>
      <c r="B1650" s="217" t="str">
        <f t="shared" si="25"/>
        <v>239211700[kg]</v>
      </c>
      <c r="C1650" s="216">
        <v>239211700</v>
      </c>
      <c r="D1650" s="175" t="s">
        <v>265</v>
      </c>
      <c r="E1650" s="175">
        <v>0.109146474568871</v>
      </c>
      <c r="F1650" s="175" t="s">
        <v>235</v>
      </c>
      <c r="G1650" s="175" t="s">
        <v>1349</v>
      </c>
    </row>
    <row r="1651" spans="1:7">
      <c r="A1651" s="175" t="s">
        <v>4349</v>
      </c>
      <c r="B1651" s="217" t="str">
        <f t="shared" si="25"/>
        <v>239300000[円]</v>
      </c>
      <c r="C1651" s="216">
        <v>239300000</v>
      </c>
      <c r="D1651" s="175" t="s">
        <v>235</v>
      </c>
      <c r="E1651" s="175">
        <v>319.15413842039499</v>
      </c>
      <c r="F1651" s="175" t="s">
        <v>265</v>
      </c>
      <c r="G1651" s="175" t="s">
        <v>4350</v>
      </c>
    </row>
    <row r="1652" spans="1:7">
      <c r="A1652" s="175" t="s">
        <v>4351</v>
      </c>
      <c r="B1652" s="217" t="str">
        <f t="shared" si="25"/>
        <v>239311000[円]</v>
      </c>
      <c r="C1652" s="216">
        <v>239311000</v>
      </c>
      <c r="D1652" s="175" t="s">
        <v>235</v>
      </c>
      <c r="E1652" s="175">
        <v>319.15413842039499</v>
      </c>
      <c r="F1652" s="175" t="s">
        <v>265</v>
      </c>
      <c r="G1652" s="175" t="s">
        <v>1350</v>
      </c>
    </row>
    <row r="1653" spans="1:7">
      <c r="A1653" s="175" t="s">
        <v>4352</v>
      </c>
      <c r="B1653" s="217" t="str">
        <f t="shared" si="25"/>
        <v>239911000[円]</v>
      </c>
      <c r="C1653" s="216">
        <v>239911000</v>
      </c>
      <c r="D1653" s="175" t="s">
        <v>235</v>
      </c>
      <c r="E1653" s="175">
        <v>185.85142857142901</v>
      </c>
      <c r="F1653" s="175" t="s">
        <v>265</v>
      </c>
      <c r="G1653" s="175" t="s">
        <v>4353</v>
      </c>
    </row>
    <row r="1654" spans="1:7">
      <c r="A1654" s="175" t="s">
        <v>4354</v>
      </c>
      <c r="B1654" s="217" t="str">
        <f t="shared" si="25"/>
        <v>239919000[kg]</v>
      </c>
      <c r="C1654" s="216">
        <v>239919000</v>
      </c>
      <c r="D1654" s="175" t="s">
        <v>265</v>
      </c>
      <c r="E1654" s="175">
        <v>185.85</v>
      </c>
      <c r="F1654" s="175" t="s">
        <v>235</v>
      </c>
      <c r="G1654" s="175" t="s">
        <v>1351</v>
      </c>
    </row>
    <row r="1655" spans="1:7">
      <c r="A1655" s="175" t="s">
        <v>4355</v>
      </c>
      <c r="B1655" s="217" t="str">
        <f t="shared" si="25"/>
        <v>241100000[円]</v>
      </c>
      <c r="C1655" s="216">
        <v>241100000</v>
      </c>
      <c r="D1655" s="175" t="s">
        <v>235</v>
      </c>
      <c r="E1655" s="175">
        <v>217.07956584950699</v>
      </c>
      <c r="F1655" s="175" t="s">
        <v>265</v>
      </c>
      <c r="G1655" s="175" t="s">
        <v>4356</v>
      </c>
    </row>
    <row r="1656" spans="1:7">
      <c r="A1656" s="175" t="s">
        <v>4357</v>
      </c>
      <c r="B1656" s="217" t="str">
        <f t="shared" si="25"/>
        <v>241111000[円]</v>
      </c>
      <c r="C1656" s="216">
        <v>241111000</v>
      </c>
      <c r="D1656" s="175" t="s">
        <v>235</v>
      </c>
      <c r="E1656" s="175">
        <v>738.51569375183306</v>
      </c>
      <c r="F1656" s="175" t="s">
        <v>265</v>
      </c>
      <c r="G1656" s="175" t="s">
        <v>1353</v>
      </c>
    </row>
    <row r="1657" spans="1:7">
      <c r="A1657" s="175" t="s">
        <v>4358</v>
      </c>
      <c r="B1657" s="217" t="str">
        <f t="shared" si="25"/>
        <v>241112000[円]</v>
      </c>
      <c r="C1657" s="216">
        <v>241112000</v>
      </c>
      <c r="D1657" s="175" t="s">
        <v>235</v>
      </c>
      <c r="E1657" s="175">
        <v>575.31632697683096</v>
      </c>
      <c r="F1657" s="175" t="s">
        <v>265</v>
      </c>
      <c r="G1657" s="175" t="s">
        <v>4359</v>
      </c>
    </row>
    <row r="1658" spans="1:7">
      <c r="A1658" s="175" t="s">
        <v>4360</v>
      </c>
      <c r="B1658" s="217" t="str">
        <f t="shared" si="25"/>
        <v>241112310[円]</v>
      </c>
      <c r="C1658" s="216">
        <v>241112310</v>
      </c>
      <c r="D1658" s="175" t="s">
        <v>235</v>
      </c>
      <c r="E1658" s="175">
        <v>33786.131970000002</v>
      </c>
      <c r="F1658" s="175" t="s">
        <v>265</v>
      </c>
      <c r="G1658" s="175" t="s">
        <v>4361</v>
      </c>
    </row>
    <row r="1659" spans="1:7">
      <c r="A1659" s="175" t="s">
        <v>4362</v>
      </c>
      <c r="B1659" s="217" t="str">
        <f t="shared" si="25"/>
        <v>241200000[円]</v>
      </c>
      <c r="C1659" s="216">
        <v>241200000</v>
      </c>
      <c r="D1659" s="175" t="s">
        <v>235</v>
      </c>
      <c r="E1659" s="175">
        <v>172.25794483903999</v>
      </c>
      <c r="F1659" s="175" t="s">
        <v>265</v>
      </c>
      <c r="G1659" s="175" t="s">
        <v>4363</v>
      </c>
    </row>
    <row r="1660" spans="1:7">
      <c r="A1660" s="175" t="s">
        <v>4364</v>
      </c>
      <c r="B1660" s="217" t="str">
        <f t="shared" si="25"/>
        <v>241211000[円]</v>
      </c>
      <c r="C1660" s="216">
        <v>241211000</v>
      </c>
      <c r="D1660" s="175" t="s">
        <v>235</v>
      </c>
      <c r="E1660" s="175">
        <v>172.25794483903999</v>
      </c>
      <c r="F1660" s="175" t="s">
        <v>265</v>
      </c>
      <c r="G1660" s="175" t="s">
        <v>4365</v>
      </c>
    </row>
    <row r="1661" spans="1:7">
      <c r="A1661" s="175" t="s">
        <v>4366</v>
      </c>
      <c r="B1661" s="217" t="str">
        <f t="shared" si="25"/>
        <v>241211220[円]</v>
      </c>
      <c r="C1661" s="216">
        <v>241211220</v>
      </c>
      <c r="D1661" s="175" t="s">
        <v>235</v>
      </c>
      <c r="E1661" s="175">
        <v>1024242.9851</v>
      </c>
      <c r="F1661" s="175" t="s">
        <v>265</v>
      </c>
      <c r="G1661" s="175" t="s">
        <v>4367</v>
      </c>
    </row>
    <row r="1662" spans="1:7">
      <c r="A1662" s="175" t="s">
        <v>4368</v>
      </c>
      <c r="B1662" s="217" t="str">
        <f t="shared" si="25"/>
        <v>241211230[円]</v>
      </c>
      <c r="C1662" s="216">
        <v>241211230</v>
      </c>
      <c r="D1662" s="175" t="s">
        <v>235</v>
      </c>
      <c r="E1662" s="175">
        <v>17919.908821000001</v>
      </c>
      <c r="F1662" s="175" t="s">
        <v>265</v>
      </c>
      <c r="G1662" s="175" t="s">
        <v>4369</v>
      </c>
    </row>
    <row r="1663" spans="1:7">
      <c r="A1663" s="175" t="s">
        <v>4370</v>
      </c>
      <c r="B1663" s="217" t="str">
        <f t="shared" si="25"/>
        <v>241300000[円]</v>
      </c>
      <c r="C1663" s="216">
        <v>241300000</v>
      </c>
      <c r="D1663" s="175" t="s">
        <v>235</v>
      </c>
      <c r="E1663" s="175">
        <v>125.0401818</v>
      </c>
      <c r="F1663" s="175" t="s">
        <v>265</v>
      </c>
      <c r="G1663" s="175" t="s">
        <v>4371</v>
      </c>
    </row>
    <row r="1664" spans="1:7">
      <c r="A1664" s="175" t="s">
        <v>4372</v>
      </c>
      <c r="B1664" s="217" t="str">
        <f t="shared" si="25"/>
        <v>241311000[円]</v>
      </c>
      <c r="C1664" s="216">
        <v>241311000</v>
      </c>
      <c r="D1664" s="175" t="s">
        <v>235</v>
      </c>
      <c r="E1664" s="175">
        <v>61.072883502789999</v>
      </c>
      <c r="F1664" s="175" t="s">
        <v>265</v>
      </c>
      <c r="G1664" s="175" t="s">
        <v>1359</v>
      </c>
    </row>
    <row r="1665" spans="1:7">
      <c r="A1665" s="175" t="s">
        <v>4373</v>
      </c>
      <c r="B1665" s="217" t="str">
        <f t="shared" si="25"/>
        <v>241312000[円]</v>
      </c>
      <c r="C1665" s="216">
        <v>241312000</v>
      </c>
      <c r="D1665" s="175" t="s">
        <v>235</v>
      </c>
      <c r="E1665" s="175">
        <v>46.710425889177202</v>
      </c>
      <c r="F1665" s="175" t="s">
        <v>265</v>
      </c>
      <c r="G1665" s="175" t="s">
        <v>1360</v>
      </c>
    </row>
    <row r="1666" spans="1:7">
      <c r="A1666" s="175" t="s">
        <v>4374</v>
      </c>
      <c r="B1666" s="217" t="str">
        <f t="shared" ref="B1666:B1729" si="26">C1666&amp;"["&amp;F1666&amp;"]"</f>
        <v>241313000[円]</v>
      </c>
      <c r="C1666" s="216">
        <v>241313000</v>
      </c>
      <c r="D1666" s="175" t="s">
        <v>235</v>
      </c>
      <c r="E1666" s="175">
        <v>388.48577755067299</v>
      </c>
      <c r="F1666" s="175" t="s">
        <v>265</v>
      </c>
      <c r="G1666" s="175" t="s">
        <v>1361</v>
      </c>
    </row>
    <row r="1667" spans="1:7">
      <c r="A1667" s="175" t="s">
        <v>4375</v>
      </c>
      <c r="B1667" s="217" t="str">
        <f t="shared" si="26"/>
        <v>241313201[円]</v>
      </c>
      <c r="C1667" s="216">
        <v>241313201</v>
      </c>
      <c r="D1667" s="175" t="s">
        <v>235</v>
      </c>
      <c r="E1667" s="175">
        <v>583.28289553322804</v>
      </c>
      <c r="F1667" s="175" t="s">
        <v>265</v>
      </c>
      <c r="G1667" s="175" t="s">
        <v>1362</v>
      </c>
    </row>
    <row r="1668" spans="1:7">
      <c r="A1668" s="175" t="s">
        <v>4376</v>
      </c>
      <c r="B1668" s="217" t="str">
        <f t="shared" si="26"/>
        <v>241900000[kg]</v>
      </c>
      <c r="C1668" s="216">
        <v>241900000</v>
      </c>
      <c r="D1668" s="175" t="s">
        <v>265</v>
      </c>
      <c r="E1668" s="175">
        <v>1.27524971147533E-6</v>
      </c>
      <c r="F1668" s="175" t="s">
        <v>235</v>
      </c>
      <c r="G1668" s="175" t="s">
        <v>4377</v>
      </c>
    </row>
    <row r="1669" spans="1:7">
      <c r="A1669" s="175" t="s">
        <v>4378</v>
      </c>
      <c r="B1669" s="217" t="str">
        <f t="shared" si="26"/>
        <v>241911000[円]</v>
      </c>
      <c r="C1669" s="216">
        <v>241911000</v>
      </c>
      <c r="D1669" s="175" t="s">
        <v>235</v>
      </c>
      <c r="E1669" s="175">
        <v>204.63743796807</v>
      </c>
      <c r="F1669" s="175" t="s">
        <v>265</v>
      </c>
      <c r="G1669" s="175" t="s">
        <v>4379</v>
      </c>
    </row>
    <row r="1670" spans="1:7">
      <c r="A1670" s="175" t="s">
        <v>4380</v>
      </c>
      <c r="B1670" s="217" t="str">
        <f t="shared" si="26"/>
        <v>241911102[円]</v>
      </c>
      <c r="C1670" s="216">
        <v>241911102</v>
      </c>
      <c r="D1670" s="175" t="s">
        <v>235</v>
      </c>
      <c r="E1670" s="175">
        <v>204.63743796807</v>
      </c>
      <c r="F1670" s="175" t="s">
        <v>265</v>
      </c>
      <c r="G1670" s="175" t="s">
        <v>1364</v>
      </c>
    </row>
    <row r="1671" spans="1:7">
      <c r="A1671" s="175" t="s">
        <v>4381</v>
      </c>
      <c r="B1671" s="217" t="str">
        <f t="shared" si="26"/>
        <v>241911202[円]</v>
      </c>
      <c r="C1671" s="216">
        <v>241911202</v>
      </c>
      <c r="D1671" s="175" t="s">
        <v>235</v>
      </c>
      <c r="E1671" s="175">
        <v>204.63743796807</v>
      </c>
      <c r="F1671" s="175" t="s">
        <v>265</v>
      </c>
      <c r="G1671" s="175" t="s">
        <v>4382</v>
      </c>
    </row>
    <row r="1672" spans="1:7">
      <c r="A1672" s="175" t="s">
        <v>4383</v>
      </c>
      <c r="B1672" s="217" t="str">
        <f t="shared" si="26"/>
        <v>241911210[円]</v>
      </c>
      <c r="C1672" s="216">
        <v>241911210</v>
      </c>
      <c r="D1672" s="175" t="s">
        <v>235</v>
      </c>
      <c r="E1672" s="175">
        <v>2106.3490015000002</v>
      </c>
      <c r="F1672" s="175" t="s">
        <v>265</v>
      </c>
      <c r="G1672" s="175" t="s">
        <v>4384</v>
      </c>
    </row>
    <row r="1673" spans="1:7">
      <c r="A1673" s="175" t="s">
        <v>4385</v>
      </c>
      <c r="B1673" s="217" t="str">
        <f t="shared" si="26"/>
        <v>241911220[円]</v>
      </c>
      <c r="C1673" s="216">
        <v>241911220</v>
      </c>
      <c r="D1673" s="175" t="s">
        <v>235</v>
      </c>
      <c r="E1673" s="175">
        <v>1024242.9851</v>
      </c>
      <c r="F1673" s="175" t="s">
        <v>265</v>
      </c>
      <c r="G1673" s="175" t="s">
        <v>4386</v>
      </c>
    </row>
    <row r="1674" spans="1:7">
      <c r="A1674" s="175" t="s">
        <v>4387</v>
      </c>
      <c r="B1674" s="217" t="str">
        <f t="shared" si="26"/>
        <v>241911230[円]</v>
      </c>
      <c r="C1674" s="216">
        <v>241911230</v>
      </c>
      <c r="D1674" s="175" t="s">
        <v>235</v>
      </c>
      <c r="E1674" s="175">
        <v>17919.908821000001</v>
      </c>
      <c r="F1674" s="175" t="s">
        <v>265</v>
      </c>
      <c r="G1674" s="175" t="s">
        <v>4388</v>
      </c>
    </row>
    <row r="1675" spans="1:7">
      <c r="A1675" s="175" t="s">
        <v>4389</v>
      </c>
      <c r="B1675" s="217" t="str">
        <f t="shared" si="26"/>
        <v>241912000[円]</v>
      </c>
      <c r="C1675" s="216">
        <v>241912000</v>
      </c>
      <c r="D1675" s="175" t="s">
        <v>235</v>
      </c>
      <c r="E1675" s="175">
        <v>2811952.2032402302</v>
      </c>
      <c r="F1675" s="175" t="s">
        <v>265</v>
      </c>
      <c r="G1675" s="175" t="s">
        <v>4390</v>
      </c>
    </row>
    <row r="1676" spans="1:7">
      <c r="A1676" s="175" t="s">
        <v>4391</v>
      </c>
      <c r="B1676" s="217" t="str">
        <f t="shared" si="26"/>
        <v>241912300[円]</v>
      </c>
      <c r="C1676" s="216">
        <v>241912300</v>
      </c>
      <c r="D1676" s="175" t="s">
        <v>235</v>
      </c>
      <c r="E1676" s="175">
        <v>1381214.1666999999</v>
      </c>
      <c r="F1676" s="175" t="s">
        <v>265</v>
      </c>
      <c r="G1676" s="175" t="s">
        <v>4392</v>
      </c>
    </row>
    <row r="1677" spans="1:7">
      <c r="A1677" s="175" t="s">
        <v>4393</v>
      </c>
      <c r="B1677" s="217" t="str">
        <f t="shared" si="26"/>
        <v>241912340[円]</v>
      </c>
      <c r="C1677" s="216">
        <v>241912340</v>
      </c>
      <c r="D1677" s="175" t="s">
        <v>235</v>
      </c>
      <c r="E1677" s="175">
        <v>1339777.7416999999</v>
      </c>
      <c r="F1677" s="175" t="s">
        <v>265</v>
      </c>
      <c r="G1677" s="175" t="s">
        <v>4394</v>
      </c>
    </row>
    <row r="1678" spans="1:7">
      <c r="A1678" s="175" t="s">
        <v>4395</v>
      </c>
      <c r="B1678" s="217" t="str">
        <f t="shared" si="26"/>
        <v>241913000[円]</v>
      </c>
      <c r="C1678" s="216">
        <v>241913000</v>
      </c>
      <c r="D1678" s="175" t="s">
        <v>235</v>
      </c>
      <c r="E1678" s="175">
        <v>17919.908821004901</v>
      </c>
      <c r="F1678" s="175" t="s">
        <v>265</v>
      </c>
      <c r="G1678" s="175" t="s">
        <v>2028</v>
      </c>
    </row>
    <row r="1679" spans="1:7">
      <c r="A1679" s="175" t="s">
        <v>4396</v>
      </c>
      <c r="B1679" s="217" t="str">
        <f t="shared" si="26"/>
        <v>241913202[円]</v>
      </c>
      <c r="C1679" s="216">
        <v>241913202</v>
      </c>
      <c r="D1679" s="175" t="s">
        <v>235</v>
      </c>
      <c r="E1679" s="175">
        <v>18943.400390999999</v>
      </c>
      <c r="F1679" s="175" t="s">
        <v>265</v>
      </c>
      <c r="G1679" s="175" t="s">
        <v>1992</v>
      </c>
    </row>
    <row r="1680" spans="1:7">
      <c r="A1680" s="175" t="s">
        <v>4397</v>
      </c>
      <c r="B1680" s="217" t="str">
        <f t="shared" si="26"/>
        <v>241913300[円]</v>
      </c>
      <c r="C1680" s="216">
        <v>241913300</v>
      </c>
      <c r="D1680" s="175" t="s">
        <v>235</v>
      </c>
      <c r="E1680" s="175">
        <v>105068.71210999999</v>
      </c>
      <c r="F1680" s="175" t="s">
        <v>265</v>
      </c>
      <c r="G1680" s="175" t="s">
        <v>4398</v>
      </c>
    </row>
    <row r="1681" spans="1:7">
      <c r="A1681" s="175" t="s">
        <v>4399</v>
      </c>
      <c r="B1681" s="217" t="str">
        <f t="shared" si="26"/>
        <v>241913301[円]</v>
      </c>
      <c r="C1681" s="216">
        <v>241913301</v>
      </c>
      <c r="D1681" s="175" t="s">
        <v>235</v>
      </c>
      <c r="E1681" s="175">
        <v>50905.043457942003</v>
      </c>
      <c r="F1681" s="175" t="s">
        <v>265</v>
      </c>
      <c r="G1681" s="175" t="s">
        <v>4400</v>
      </c>
    </row>
    <row r="1682" spans="1:7">
      <c r="A1682" s="175" t="s">
        <v>4401</v>
      </c>
      <c r="B1682" s="217" t="str">
        <f t="shared" si="26"/>
        <v>241929216[円]</v>
      </c>
      <c r="C1682" s="216">
        <v>241929216</v>
      </c>
      <c r="D1682" s="175" t="s">
        <v>235</v>
      </c>
      <c r="E1682" s="175">
        <v>465.03330476000002</v>
      </c>
      <c r="F1682" s="175" t="s">
        <v>265</v>
      </c>
      <c r="G1682" s="175" t="s">
        <v>1994</v>
      </c>
    </row>
    <row r="1683" spans="1:7">
      <c r="A1683" s="175" t="s">
        <v>4402</v>
      </c>
      <c r="B1683" s="217" t="str">
        <f t="shared" si="26"/>
        <v>241929217[円]</v>
      </c>
      <c r="C1683" s="216">
        <v>241929217</v>
      </c>
      <c r="D1683" s="175" t="s">
        <v>235</v>
      </c>
      <c r="E1683" s="175">
        <v>235.20071250000001</v>
      </c>
      <c r="F1683" s="175" t="s">
        <v>265</v>
      </c>
      <c r="G1683" s="175" t="s">
        <v>1993</v>
      </c>
    </row>
    <row r="1684" spans="1:7">
      <c r="A1684" s="175" t="s">
        <v>4403</v>
      </c>
      <c r="B1684" s="217" t="str">
        <f t="shared" si="26"/>
        <v>241929220[円]</v>
      </c>
      <c r="C1684" s="216">
        <v>241929220</v>
      </c>
      <c r="D1684" s="175" t="s">
        <v>235</v>
      </c>
      <c r="E1684" s="175">
        <v>905</v>
      </c>
      <c r="F1684" s="175" t="s">
        <v>265</v>
      </c>
      <c r="G1684" s="175" t="s">
        <v>1377</v>
      </c>
    </row>
    <row r="1685" spans="1:7">
      <c r="A1685" s="175" t="s">
        <v>4404</v>
      </c>
      <c r="B1685" s="217" t="str">
        <f t="shared" si="26"/>
        <v>241929229[円]</v>
      </c>
      <c r="C1685" s="216">
        <v>241929229</v>
      </c>
      <c r="D1685" s="175" t="s">
        <v>235</v>
      </c>
      <c r="E1685" s="175">
        <v>200</v>
      </c>
      <c r="F1685" s="175" t="s">
        <v>265</v>
      </c>
      <c r="G1685" s="175" t="s">
        <v>1380</v>
      </c>
    </row>
    <row r="1686" spans="1:7">
      <c r="A1686" s="175" t="s">
        <v>4405</v>
      </c>
      <c r="B1686" s="217" t="str">
        <f t="shared" si="26"/>
        <v>241929234[円]</v>
      </c>
      <c r="C1686" s="216">
        <v>241929234</v>
      </c>
      <c r="D1686" s="175" t="s">
        <v>235</v>
      </c>
      <c r="E1686" s="175">
        <v>15739</v>
      </c>
      <c r="F1686" s="175" t="s">
        <v>265</v>
      </c>
      <c r="G1686" s="175" t="s">
        <v>1381</v>
      </c>
    </row>
    <row r="1687" spans="1:7">
      <c r="A1687" s="175" t="s">
        <v>4406</v>
      </c>
      <c r="B1687" s="217" t="str">
        <f t="shared" si="26"/>
        <v>241929235[円]</v>
      </c>
      <c r="C1687" s="216">
        <v>241929235</v>
      </c>
      <c r="D1687" s="175" t="s">
        <v>235</v>
      </c>
      <c r="E1687" s="175">
        <v>1001</v>
      </c>
      <c r="F1687" s="175" t="s">
        <v>265</v>
      </c>
      <c r="G1687" s="175" t="s">
        <v>1382</v>
      </c>
    </row>
    <row r="1688" spans="1:7">
      <c r="A1688" s="175" t="s">
        <v>4407</v>
      </c>
      <c r="B1688" s="217" t="str">
        <f t="shared" si="26"/>
        <v>241929236[円]</v>
      </c>
      <c r="C1688" s="216">
        <v>241929236</v>
      </c>
      <c r="D1688" s="175" t="s">
        <v>235</v>
      </c>
      <c r="E1688" s="175">
        <v>129.4</v>
      </c>
      <c r="F1688" s="175" t="s">
        <v>265</v>
      </c>
      <c r="G1688" s="175" t="s">
        <v>1383</v>
      </c>
    </row>
    <row r="1689" spans="1:7">
      <c r="A1689" s="175" t="s">
        <v>4408</v>
      </c>
      <c r="B1689" s="217" t="str">
        <f t="shared" si="26"/>
        <v>241929309[円]</v>
      </c>
      <c r="C1689" s="216">
        <v>241929309</v>
      </c>
      <c r="D1689" s="175" t="s">
        <v>235</v>
      </c>
      <c r="E1689" s="175">
        <v>1067.1155217999999</v>
      </c>
      <c r="F1689" s="175" t="s">
        <v>265</v>
      </c>
      <c r="G1689" s="175" t="s">
        <v>4409</v>
      </c>
    </row>
    <row r="1690" spans="1:7">
      <c r="A1690" s="175" t="s">
        <v>4410</v>
      </c>
      <c r="B1690" s="217" t="str">
        <f t="shared" si="26"/>
        <v>241929310[円]</v>
      </c>
      <c r="C1690" s="216">
        <v>241929310</v>
      </c>
      <c r="D1690" s="175" t="s">
        <v>235</v>
      </c>
      <c r="E1690" s="175">
        <v>1742.4887751000001</v>
      </c>
      <c r="F1690" s="175" t="s">
        <v>265</v>
      </c>
      <c r="G1690" s="175" t="s">
        <v>4411</v>
      </c>
    </row>
    <row r="1691" spans="1:7">
      <c r="A1691" s="175" t="s">
        <v>4412</v>
      </c>
      <c r="B1691" s="217" t="str">
        <f t="shared" si="26"/>
        <v>241929311[円]</v>
      </c>
      <c r="C1691" s="216">
        <v>241929311</v>
      </c>
      <c r="D1691" s="175" t="s">
        <v>235</v>
      </c>
      <c r="E1691" s="175">
        <v>2603916</v>
      </c>
      <c r="F1691" s="175" t="s">
        <v>265</v>
      </c>
      <c r="G1691" s="175" t="s">
        <v>4413</v>
      </c>
    </row>
    <row r="1692" spans="1:7">
      <c r="A1692" s="175" t="s">
        <v>4414</v>
      </c>
      <c r="B1692" s="217" t="str">
        <f t="shared" si="26"/>
        <v>241929314[円]</v>
      </c>
      <c r="C1692" s="216">
        <v>241929314</v>
      </c>
      <c r="D1692" s="175" t="s">
        <v>235</v>
      </c>
      <c r="E1692" s="175">
        <v>1142880.3193999999</v>
      </c>
      <c r="F1692" s="175" t="s">
        <v>265</v>
      </c>
      <c r="G1692" s="175" t="s">
        <v>4415</v>
      </c>
    </row>
    <row r="1693" spans="1:7">
      <c r="A1693" s="175" t="s">
        <v>4416</v>
      </c>
      <c r="B1693" s="217" t="str">
        <f t="shared" si="26"/>
        <v>242100000[kg]</v>
      </c>
      <c r="C1693" s="216">
        <v>242100000</v>
      </c>
      <c r="D1693" s="175" t="s">
        <v>265</v>
      </c>
      <c r="E1693" s="175">
        <v>2.8169020988549399E-3</v>
      </c>
      <c r="F1693" s="175" t="s">
        <v>235</v>
      </c>
      <c r="G1693" s="175" t="s">
        <v>4417</v>
      </c>
    </row>
    <row r="1694" spans="1:7">
      <c r="A1694" s="175" t="s">
        <v>4418</v>
      </c>
      <c r="B1694" s="217" t="str">
        <f t="shared" si="26"/>
        <v>242111000[円]</v>
      </c>
      <c r="C1694" s="216">
        <v>242111000</v>
      </c>
      <c r="D1694" s="175" t="s">
        <v>235</v>
      </c>
      <c r="E1694" s="175">
        <v>150.53105186364201</v>
      </c>
      <c r="F1694" s="175" t="s">
        <v>265</v>
      </c>
      <c r="G1694" s="175" t="s">
        <v>4419</v>
      </c>
    </row>
    <row r="1695" spans="1:7">
      <c r="A1695" s="175" t="s">
        <v>4420</v>
      </c>
      <c r="B1695" s="217" t="str">
        <f t="shared" si="26"/>
        <v>242112000[kg]</v>
      </c>
      <c r="C1695" s="216">
        <v>242112000</v>
      </c>
      <c r="D1695" s="175" t="s">
        <v>265</v>
      </c>
      <c r="E1695" s="175">
        <v>2.4209212415231599E-3</v>
      </c>
      <c r="F1695" s="175" t="s">
        <v>235</v>
      </c>
      <c r="G1695" s="175" t="s">
        <v>1394</v>
      </c>
    </row>
    <row r="1696" spans="1:7">
      <c r="A1696" s="175" t="s">
        <v>4421</v>
      </c>
      <c r="B1696" s="217" t="str">
        <f t="shared" si="26"/>
        <v>242200000[円]</v>
      </c>
      <c r="C1696" s="216">
        <v>242200000</v>
      </c>
      <c r="D1696" s="175" t="s">
        <v>235</v>
      </c>
      <c r="E1696" s="175">
        <v>183.03240945159999</v>
      </c>
      <c r="F1696" s="175" t="s">
        <v>265</v>
      </c>
      <c r="G1696" s="175" t="s">
        <v>4422</v>
      </c>
    </row>
    <row r="1697" spans="1:7">
      <c r="A1697" s="175" t="s">
        <v>4423</v>
      </c>
      <c r="B1697" s="217" t="str">
        <f t="shared" si="26"/>
        <v>242211000[円]</v>
      </c>
      <c r="C1697" s="216">
        <v>242211000</v>
      </c>
      <c r="D1697" s="175" t="s">
        <v>235</v>
      </c>
      <c r="E1697" s="175">
        <v>183.03240945159999</v>
      </c>
      <c r="F1697" s="175" t="s">
        <v>265</v>
      </c>
      <c r="G1697" s="175" t="s">
        <v>1395</v>
      </c>
    </row>
    <row r="1698" spans="1:7">
      <c r="A1698" s="175" t="s">
        <v>4424</v>
      </c>
      <c r="B1698" s="217" t="str">
        <f t="shared" si="26"/>
        <v>242300000[円]</v>
      </c>
      <c r="C1698" s="216">
        <v>242300000</v>
      </c>
      <c r="D1698" s="175" t="s">
        <v>235</v>
      </c>
      <c r="E1698" s="175">
        <v>233.852996987567</v>
      </c>
      <c r="F1698" s="175" t="s">
        <v>265</v>
      </c>
      <c r="G1698" s="175" t="s">
        <v>4425</v>
      </c>
    </row>
    <row r="1699" spans="1:7">
      <c r="A1699" s="175" t="s">
        <v>4426</v>
      </c>
      <c r="B1699" s="217" t="str">
        <f t="shared" si="26"/>
        <v>242311000[円]</v>
      </c>
      <c r="C1699" s="216">
        <v>242311000</v>
      </c>
      <c r="D1699" s="175" t="s">
        <v>235</v>
      </c>
      <c r="E1699" s="175">
        <v>233.852996987567</v>
      </c>
      <c r="F1699" s="175" t="s">
        <v>265</v>
      </c>
      <c r="G1699" s="175" t="s">
        <v>1396</v>
      </c>
    </row>
    <row r="1700" spans="1:7">
      <c r="A1700" s="175" t="s">
        <v>4427</v>
      </c>
      <c r="B1700" s="217" t="str">
        <f t="shared" si="26"/>
        <v>242900000[kg]</v>
      </c>
      <c r="C1700" s="216">
        <v>242900000</v>
      </c>
      <c r="D1700" s="175" t="s">
        <v>265</v>
      </c>
      <c r="E1700" s="175">
        <v>2.3186450190571799E-6</v>
      </c>
      <c r="F1700" s="175" t="s">
        <v>235</v>
      </c>
      <c r="G1700" s="175" t="s">
        <v>4428</v>
      </c>
    </row>
    <row r="1701" spans="1:7">
      <c r="A1701" s="175" t="s">
        <v>4429</v>
      </c>
      <c r="B1701" s="217" t="str">
        <f t="shared" si="26"/>
        <v>242911000[円]</v>
      </c>
      <c r="C1701" s="216">
        <v>242911000</v>
      </c>
      <c r="D1701" s="175" t="s">
        <v>235</v>
      </c>
      <c r="E1701" s="175">
        <v>2952435.68905049</v>
      </c>
      <c r="F1701" s="175" t="s">
        <v>265</v>
      </c>
      <c r="G1701" s="175" t="s">
        <v>2021</v>
      </c>
    </row>
    <row r="1702" spans="1:7">
      <c r="A1702" s="175" t="s">
        <v>4430</v>
      </c>
      <c r="B1702" s="217" t="str">
        <f t="shared" si="26"/>
        <v>242912000[円]</v>
      </c>
      <c r="C1702" s="216">
        <v>242912000</v>
      </c>
      <c r="D1702" s="175" t="s">
        <v>235</v>
      </c>
      <c r="E1702" s="175">
        <v>47984.343853465303</v>
      </c>
      <c r="F1702" s="175" t="s">
        <v>265</v>
      </c>
      <c r="G1702" s="175" t="s">
        <v>2023</v>
      </c>
    </row>
    <row r="1703" spans="1:7">
      <c r="A1703" s="175" t="s">
        <v>4431</v>
      </c>
      <c r="B1703" s="217" t="str">
        <f t="shared" si="26"/>
        <v>242913000[円]</v>
      </c>
      <c r="C1703" s="216">
        <v>242913000</v>
      </c>
      <c r="D1703" s="175" t="s">
        <v>235</v>
      </c>
      <c r="E1703" s="175">
        <v>545.44990596141201</v>
      </c>
      <c r="F1703" s="175" t="s">
        <v>265</v>
      </c>
      <c r="G1703" s="175" t="s">
        <v>2019</v>
      </c>
    </row>
    <row r="1704" spans="1:7">
      <c r="A1704" s="175" t="s">
        <v>4432</v>
      </c>
      <c r="B1704" s="217" t="str">
        <f t="shared" si="26"/>
        <v>243100000[円]</v>
      </c>
      <c r="C1704" s="216">
        <v>243100000</v>
      </c>
      <c r="D1704" s="175" t="s">
        <v>235</v>
      </c>
      <c r="E1704" s="175">
        <v>439.78850017601201</v>
      </c>
      <c r="F1704" s="175" t="s">
        <v>265</v>
      </c>
      <c r="G1704" s="175" t="s">
        <v>4433</v>
      </c>
    </row>
    <row r="1705" spans="1:7">
      <c r="A1705" s="175" t="s">
        <v>4434</v>
      </c>
      <c r="B1705" s="217" t="str">
        <f t="shared" si="26"/>
        <v>243111000[円]</v>
      </c>
      <c r="C1705" s="216">
        <v>243111000</v>
      </c>
      <c r="D1705" s="175" t="s">
        <v>235</v>
      </c>
      <c r="E1705" s="175">
        <v>775.00615275873497</v>
      </c>
      <c r="F1705" s="175" t="s">
        <v>265</v>
      </c>
      <c r="G1705" s="175" t="s">
        <v>1403</v>
      </c>
    </row>
    <row r="1706" spans="1:7">
      <c r="A1706" s="175" t="s">
        <v>4435</v>
      </c>
      <c r="B1706" s="217" t="str">
        <f t="shared" si="26"/>
        <v>243112000[円]</v>
      </c>
      <c r="C1706" s="216">
        <v>243112000</v>
      </c>
      <c r="D1706" s="175" t="s">
        <v>235</v>
      </c>
      <c r="E1706" s="175">
        <v>658.364908136483</v>
      </c>
      <c r="F1706" s="175" t="s">
        <v>265</v>
      </c>
      <c r="G1706" s="175" t="s">
        <v>1404</v>
      </c>
    </row>
    <row r="1707" spans="1:7">
      <c r="A1707" s="175" t="s">
        <v>4436</v>
      </c>
      <c r="B1707" s="217" t="str">
        <f t="shared" si="26"/>
        <v>243113000[円]</v>
      </c>
      <c r="C1707" s="216">
        <v>243113000</v>
      </c>
      <c r="D1707" s="175" t="s">
        <v>235</v>
      </c>
      <c r="E1707" s="175">
        <v>981.02319062181402</v>
      </c>
      <c r="F1707" s="175" t="s">
        <v>265</v>
      </c>
      <c r="G1707" s="175" t="s">
        <v>1405</v>
      </c>
    </row>
    <row r="1708" spans="1:7">
      <c r="A1708" s="175" t="s">
        <v>4437</v>
      </c>
      <c r="B1708" s="217" t="str">
        <f t="shared" si="26"/>
        <v>243119000[円]</v>
      </c>
      <c r="C1708" s="216">
        <v>243119000</v>
      </c>
      <c r="D1708" s="175" t="s">
        <v>235</v>
      </c>
      <c r="E1708" s="175">
        <v>1262.3954983922799</v>
      </c>
      <c r="F1708" s="175" t="s">
        <v>265</v>
      </c>
      <c r="G1708" s="175" t="s">
        <v>4438</v>
      </c>
    </row>
    <row r="1709" spans="1:7">
      <c r="A1709" s="175" t="s">
        <v>4439</v>
      </c>
      <c r="B1709" s="217" t="str">
        <f t="shared" si="26"/>
        <v>243200000[円]</v>
      </c>
      <c r="C1709" s="216">
        <v>243200000</v>
      </c>
      <c r="D1709" s="175" t="s">
        <v>235</v>
      </c>
      <c r="E1709" s="175">
        <v>451.70858200693402</v>
      </c>
      <c r="F1709" s="175" t="s">
        <v>265</v>
      </c>
      <c r="G1709" s="175" t="s">
        <v>4440</v>
      </c>
    </row>
    <row r="1710" spans="1:7">
      <c r="A1710" s="175" t="s">
        <v>4441</v>
      </c>
      <c r="B1710" s="217" t="str">
        <f t="shared" si="26"/>
        <v>243211000[円]</v>
      </c>
      <c r="C1710" s="216">
        <v>243211000</v>
      </c>
      <c r="D1710" s="175" t="s">
        <v>235</v>
      </c>
      <c r="E1710" s="175">
        <v>394.75258557304898</v>
      </c>
      <c r="F1710" s="175" t="s">
        <v>265</v>
      </c>
      <c r="G1710" s="175" t="s">
        <v>1406</v>
      </c>
    </row>
    <row r="1711" spans="1:7">
      <c r="A1711" s="175" t="s">
        <v>4442</v>
      </c>
      <c r="B1711" s="217" t="str">
        <f t="shared" si="26"/>
        <v>243212000[円]</v>
      </c>
      <c r="C1711" s="216">
        <v>243212000</v>
      </c>
      <c r="D1711" s="175" t="s">
        <v>235</v>
      </c>
      <c r="E1711" s="175">
        <v>478.89801632927299</v>
      </c>
      <c r="F1711" s="175" t="s">
        <v>265</v>
      </c>
      <c r="G1711" s="175" t="s">
        <v>4443</v>
      </c>
    </row>
    <row r="1712" spans="1:7">
      <c r="A1712" s="175" t="s">
        <v>4444</v>
      </c>
      <c r="B1712" s="217" t="str">
        <f t="shared" si="26"/>
        <v>243213000[円]</v>
      </c>
      <c r="C1712" s="216">
        <v>243213000</v>
      </c>
      <c r="D1712" s="175" t="s">
        <v>235</v>
      </c>
      <c r="E1712" s="175">
        <v>961.08918395675005</v>
      </c>
      <c r="F1712" s="175" t="s">
        <v>265</v>
      </c>
      <c r="G1712" s="175" t="s">
        <v>1418</v>
      </c>
    </row>
    <row r="1713" spans="1:7">
      <c r="A1713" s="175" t="s">
        <v>4445</v>
      </c>
      <c r="B1713" s="217" t="str">
        <f t="shared" si="26"/>
        <v>243900000[kg]</v>
      </c>
      <c r="C1713" s="216">
        <v>243900000</v>
      </c>
      <c r="D1713" s="175" t="s">
        <v>265</v>
      </c>
      <c r="E1713" s="175">
        <v>9.1507217303099695E-7</v>
      </c>
      <c r="F1713" s="175" t="s">
        <v>235</v>
      </c>
      <c r="G1713" s="175" t="s">
        <v>4446</v>
      </c>
    </row>
    <row r="1714" spans="1:7">
      <c r="A1714" s="175" t="s">
        <v>4447</v>
      </c>
      <c r="B1714" s="217" t="str">
        <f t="shared" si="26"/>
        <v>243911000[円]</v>
      </c>
      <c r="C1714" s="216">
        <v>243911000</v>
      </c>
      <c r="D1714" s="175" t="s">
        <v>235</v>
      </c>
      <c r="E1714" s="175">
        <v>226.82294328053101</v>
      </c>
      <c r="F1714" s="175" t="s">
        <v>265</v>
      </c>
      <c r="G1714" s="175" t="s">
        <v>1422</v>
      </c>
    </row>
    <row r="1715" spans="1:7">
      <c r="A1715" s="175" t="s">
        <v>4448</v>
      </c>
      <c r="B1715" s="217" t="str">
        <f t="shared" si="26"/>
        <v>243912000[円]</v>
      </c>
      <c r="C1715" s="216">
        <v>243912000</v>
      </c>
      <c r="D1715" s="175" t="s">
        <v>235</v>
      </c>
      <c r="E1715" s="175">
        <v>578.31057672712495</v>
      </c>
      <c r="F1715" s="175" t="s">
        <v>265</v>
      </c>
      <c r="G1715" s="175" t="s">
        <v>4449</v>
      </c>
    </row>
    <row r="1716" spans="1:7">
      <c r="A1716" s="175" t="s">
        <v>4450</v>
      </c>
      <c r="B1716" s="217" t="str">
        <f t="shared" si="26"/>
        <v>243913000[円]</v>
      </c>
      <c r="C1716" s="216">
        <v>243913000</v>
      </c>
      <c r="D1716" s="175" t="s">
        <v>235</v>
      </c>
      <c r="E1716" s="175">
        <v>2461133.03735191</v>
      </c>
      <c r="F1716" s="175" t="s">
        <v>265</v>
      </c>
      <c r="G1716" s="175" t="s">
        <v>1423</v>
      </c>
    </row>
    <row r="1717" spans="1:7">
      <c r="A1717" s="175" t="s">
        <v>4451</v>
      </c>
      <c r="B1717" s="217" t="str">
        <f t="shared" si="26"/>
        <v>243914000[円]</v>
      </c>
      <c r="C1717" s="216">
        <v>243914000</v>
      </c>
      <c r="D1717" s="175" t="s">
        <v>235</v>
      </c>
      <c r="E1717" s="175">
        <v>39310.949768655402</v>
      </c>
      <c r="F1717" s="175" t="s">
        <v>265</v>
      </c>
      <c r="G1717" s="175" t="s">
        <v>1424</v>
      </c>
    </row>
    <row r="1718" spans="1:7">
      <c r="A1718" s="175" t="s">
        <v>4452</v>
      </c>
      <c r="B1718" s="217" t="str">
        <f t="shared" si="26"/>
        <v>243915000[円]</v>
      </c>
      <c r="C1718" s="216">
        <v>243915000</v>
      </c>
      <c r="D1718" s="175" t="s">
        <v>235</v>
      </c>
      <c r="E1718" s="175">
        <v>5468454.4577581398</v>
      </c>
      <c r="F1718" s="175" t="s">
        <v>265</v>
      </c>
      <c r="G1718" s="175" t="s">
        <v>1425</v>
      </c>
    </row>
    <row r="1719" spans="1:7">
      <c r="A1719" s="175" t="s">
        <v>4453</v>
      </c>
      <c r="B1719" s="217" t="str">
        <f t="shared" si="26"/>
        <v>243916000[円]</v>
      </c>
      <c r="C1719" s="216">
        <v>243916000</v>
      </c>
      <c r="D1719" s="175" t="s">
        <v>235</v>
      </c>
      <c r="E1719" s="175">
        <v>3092.9043612637402</v>
      </c>
      <c r="F1719" s="175" t="s">
        <v>265</v>
      </c>
      <c r="G1719" s="175" t="s">
        <v>1426</v>
      </c>
    </row>
    <row r="1720" spans="1:7">
      <c r="A1720" s="175" t="s">
        <v>4454</v>
      </c>
      <c r="B1720" s="217" t="str">
        <f t="shared" si="26"/>
        <v>243919200[円]</v>
      </c>
      <c r="C1720" s="216">
        <v>243919200</v>
      </c>
      <c r="D1720" s="175" t="s">
        <v>235</v>
      </c>
      <c r="E1720" s="175">
        <v>4702</v>
      </c>
      <c r="F1720" s="175" t="s">
        <v>265</v>
      </c>
      <c r="G1720" s="175" t="s">
        <v>1428</v>
      </c>
    </row>
    <row r="1721" spans="1:7">
      <c r="A1721" s="175" t="s">
        <v>4455</v>
      </c>
      <c r="B1721" s="217" t="str">
        <f t="shared" si="26"/>
        <v>244100000[円]</v>
      </c>
      <c r="C1721" s="216">
        <v>244100000</v>
      </c>
      <c r="D1721" s="175" t="s">
        <v>1430</v>
      </c>
      <c r="E1721" s="175">
        <v>985.03468184916403</v>
      </c>
      <c r="F1721" s="175" t="s">
        <v>265</v>
      </c>
      <c r="G1721" s="175" t="s">
        <v>4456</v>
      </c>
    </row>
    <row r="1722" spans="1:7">
      <c r="A1722" s="175" t="s">
        <v>4457</v>
      </c>
      <c r="B1722" s="217" t="str">
        <f t="shared" si="26"/>
        <v>244111000[円]</v>
      </c>
      <c r="C1722" s="216">
        <v>244111000</v>
      </c>
      <c r="D1722" s="175" t="s">
        <v>235</v>
      </c>
      <c r="E1722" s="175">
        <v>699.91394016754396</v>
      </c>
      <c r="F1722" s="175" t="s">
        <v>265</v>
      </c>
      <c r="G1722" s="175" t="s">
        <v>1431</v>
      </c>
    </row>
    <row r="1723" spans="1:7">
      <c r="A1723" s="175" t="s">
        <v>4458</v>
      </c>
      <c r="B1723" s="217" t="str">
        <f t="shared" si="26"/>
        <v>244112000[円]</v>
      </c>
      <c r="C1723" s="216">
        <v>244112000</v>
      </c>
      <c r="D1723" s="175" t="s">
        <v>235</v>
      </c>
      <c r="E1723" s="175">
        <v>759.618983434548</v>
      </c>
      <c r="F1723" s="175" t="s">
        <v>265</v>
      </c>
      <c r="G1723" s="175" t="s">
        <v>1432</v>
      </c>
    </row>
    <row r="1724" spans="1:7">
      <c r="A1724" s="175" t="s">
        <v>4459</v>
      </c>
      <c r="B1724" s="217" t="str">
        <f t="shared" si="26"/>
        <v>244113000[円]</v>
      </c>
      <c r="C1724" s="216">
        <v>244113000</v>
      </c>
      <c r="D1724" s="175" t="s">
        <v>1430</v>
      </c>
      <c r="E1724" s="175">
        <v>1331.53157278144</v>
      </c>
      <c r="F1724" s="175" t="s">
        <v>265</v>
      </c>
      <c r="G1724" s="175" t="s">
        <v>1433</v>
      </c>
    </row>
    <row r="1725" spans="1:7">
      <c r="A1725" s="175" t="s">
        <v>4460</v>
      </c>
      <c r="B1725" s="217" t="str">
        <f t="shared" si="26"/>
        <v>244114000[円]</v>
      </c>
      <c r="C1725" s="216">
        <v>244114000</v>
      </c>
      <c r="D1725" s="175" t="s">
        <v>1430</v>
      </c>
      <c r="E1725" s="175">
        <v>922.38321831778899</v>
      </c>
      <c r="F1725" s="175" t="s">
        <v>265</v>
      </c>
      <c r="G1725" s="175" t="s">
        <v>1434</v>
      </c>
    </row>
    <row r="1726" spans="1:7">
      <c r="A1726" s="175" t="s">
        <v>4461</v>
      </c>
      <c r="B1726" s="217" t="str">
        <f t="shared" si="26"/>
        <v>244115000[円]</v>
      </c>
      <c r="C1726" s="216">
        <v>244115000</v>
      </c>
      <c r="D1726" s="175" t="s">
        <v>1430</v>
      </c>
      <c r="E1726" s="175">
        <v>985.68867893198706</v>
      </c>
      <c r="F1726" s="175" t="s">
        <v>265</v>
      </c>
      <c r="G1726" s="175" t="s">
        <v>6948</v>
      </c>
    </row>
    <row r="1727" spans="1:7">
      <c r="A1727" s="175" t="s">
        <v>4462</v>
      </c>
      <c r="B1727" s="217" t="str">
        <f t="shared" si="26"/>
        <v>244116000[円]</v>
      </c>
      <c r="C1727" s="216">
        <v>244116000</v>
      </c>
      <c r="D1727" s="175" t="s">
        <v>1430</v>
      </c>
      <c r="E1727" s="175">
        <v>3428.0635005336198</v>
      </c>
      <c r="F1727" s="175" t="s">
        <v>265</v>
      </c>
      <c r="G1727" s="175" t="s">
        <v>1435</v>
      </c>
    </row>
    <row r="1728" spans="1:7">
      <c r="A1728" s="175" t="s">
        <v>4463</v>
      </c>
      <c r="B1728" s="217" t="str">
        <f t="shared" si="26"/>
        <v>244117000[円]</v>
      </c>
      <c r="C1728" s="216">
        <v>244117000</v>
      </c>
      <c r="D1728" s="175" t="s">
        <v>235</v>
      </c>
      <c r="E1728" s="175">
        <v>277.749830377048</v>
      </c>
      <c r="F1728" s="175" t="s">
        <v>265</v>
      </c>
      <c r="G1728" s="175" t="s">
        <v>1436</v>
      </c>
    </row>
    <row r="1729" spans="1:7">
      <c r="A1729" s="175" t="s">
        <v>4464</v>
      </c>
      <c r="B1729" s="217" t="str">
        <f t="shared" si="26"/>
        <v>244118000[円]</v>
      </c>
      <c r="C1729" s="216">
        <v>244118000</v>
      </c>
      <c r="D1729" s="175" t="s">
        <v>1430</v>
      </c>
      <c r="E1729" s="175">
        <v>544.43403620791798</v>
      </c>
      <c r="F1729" s="175" t="s">
        <v>265</v>
      </c>
      <c r="G1729" s="175" t="s">
        <v>4465</v>
      </c>
    </row>
    <row r="1730" spans="1:7">
      <c r="A1730" s="175" t="s">
        <v>4466</v>
      </c>
      <c r="B1730" s="217" t="str">
        <f t="shared" ref="B1730:B1793" si="27">C1730&amp;"["&amp;F1730&amp;"]"</f>
        <v>244200000[円]</v>
      </c>
      <c r="C1730" s="216">
        <v>244200000</v>
      </c>
      <c r="D1730" s="175" t="s">
        <v>1185</v>
      </c>
      <c r="E1730" s="175">
        <v>10.471</v>
      </c>
      <c r="F1730" s="175" t="s">
        <v>265</v>
      </c>
      <c r="G1730" s="175" t="s">
        <v>4467</v>
      </c>
    </row>
    <row r="1731" spans="1:7">
      <c r="A1731" s="175" t="s">
        <v>4468</v>
      </c>
      <c r="B1731" s="217" t="str">
        <f t="shared" si="27"/>
        <v>244211000[円]</v>
      </c>
      <c r="C1731" s="216">
        <v>244211000</v>
      </c>
      <c r="D1731" s="175" t="s">
        <v>1185</v>
      </c>
      <c r="E1731" s="175">
        <v>10.4709934241151</v>
      </c>
      <c r="F1731" s="175" t="s">
        <v>265</v>
      </c>
      <c r="G1731" s="175" t="s">
        <v>4469</v>
      </c>
    </row>
    <row r="1732" spans="1:7">
      <c r="A1732" s="175" t="s">
        <v>4470</v>
      </c>
      <c r="B1732" s="217" t="str">
        <f t="shared" si="27"/>
        <v>244212000[円]</v>
      </c>
      <c r="C1732" s="216">
        <v>244212000</v>
      </c>
      <c r="D1732" s="175" t="s">
        <v>1185</v>
      </c>
      <c r="E1732" s="175">
        <v>10.4710252261696</v>
      </c>
      <c r="F1732" s="175" t="s">
        <v>265</v>
      </c>
      <c r="G1732" s="175" t="s">
        <v>4471</v>
      </c>
    </row>
    <row r="1733" spans="1:7">
      <c r="A1733" s="175" t="s">
        <v>4472</v>
      </c>
      <c r="B1733" s="217" t="str">
        <f t="shared" si="27"/>
        <v>245100000[円]</v>
      </c>
      <c r="C1733" s="216">
        <v>245100000</v>
      </c>
      <c r="D1733" s="175" t="s">
        <v>235</v>
      </c>
      <c r="E1733" s="175">
        <v>1207.64758553718</v>
      </c>
      <c r="F1733" s="175" t="s">
        <v>265</v>
      </c>
      <c r="G1733" s="175" t="s">
        <v>4473</v>
      </c>
    </row>
    <row r="1734" spans="1:7">
      <c r="A1734" s="175" t="s">
        <v>4474</v>
      </c>
      <c r="B1734" s="217" t="str">
        <f t="shared" si="27"/>
        <v>245111000[円]</v>
      </c>
      <c r="C1734" s="216">
        <v>245111000</v>
      </c>
      <c r="D1734" s="175" t="s">
        <v>235</v>
      </c>
      <c r="E1734" s="175">
        <v>1207.64758553718</v>
      </c>
      <c r="F1734" s="175" t="s">
        <v>265</v>
      </c>
      <c r="G1734" s="175" t="s">
        <v>4475</v>
      </c>
    </row>
    <row r="1735" spans="1:7">
      <c r="A1735" s="175" t="s">
        <v>4476</v>
      </c>
      <c r="B1735" s="217" t="str">
        <f t="shared" si="27"/>
        <v>245200000[円]</v>
      </c>
      <c r="C1735" s="216">
        <v>245200000</v>
      </c>
      <c r="D1735" s="175" t="s">
        <v>235</v>
      </c>
      <c r="E1735" s="175">
        <v>708.52384728472998</v>
      </c>
      <c r="F1735" s="175" t="s">
        <v>265</v>
      </c>
      <c r="G1735" s="175" t="s">
        <v>4477</v>
      </c>
    </row>
    <row r="1736" spans="1:7">
      <c r="A1736" s="175" t="s">
        <v>4478</v>
      </c>
      <c r="B1736" s="217" t="str">
        <f t="shared" si="27"/>
        <v>245211000[円]</v>
      </c>
      <c r="C1736" s="216">
        <v>245211000</v>
      </c>
      <c r="D1736" s="175" t="s">
        <v>235</v>
      </c>
      <c r="E1736" s="175">
        <v>680.19606423792402</v>
      </c>
      <c r="F1736" s="175" t="s">
        <v>265</v>
      </c>
      <c r="G1736" s="175" t="s">
        <v>4479</v>
      </c>
    </row>
    <row r="1737" spans="1:7">
      <c r="A1737" s="175" t="s">
        <v>4480</v>
      </c>
      <c r="B1737" s="217" t="str">
        <f t="shared" si="27"/>
        <v>245219000[円]</v>
      </c>
      <c r="C1737" s="216">
        <v>245219000</v>
      </c>
      <c r="D1737" s="175" t="s">
        <v>235</v>
      </c>
      <c r="E1737" s="175">
        <v>8704.8652309999998</v>
      </c>
      <c r="F1737" s="175" t="s">
        <v>265</v>
      </c>
      <c r="G1737" s="175" t="s">
        <v>1437</v>
      </c>
    </row>
    <row r="1738" spans="1:7">
      <c r="A1738" s="175" t="s">
        <v>4481</v>
      </c>
      <c r="B1738" s="217" t="str">
        <f t="shared" si="27"/>
        <v>245300000[円]</v>
      </c>
      <c r="C1738" s="216">
        <v>245300000</v>
      </c>
      <c r="D1738" s="175" t="s">
        <v>235</v>
      </c>
      <c r="E1738" s="175">
        <v>556.728457367788</v>
      </c>
      <c r="F1738" s="175" t="s">
        <v>265</v>
      </c>
      <c r="G1738" s="175" t="s">
        <v>4482</v>
      </c>
    </row>
    <row r="1739" spans="1:7">
      <c r="A1739" s="175" t="s">
        <v>4483</v>
      </c>
      <c r="B1739" s="217" t="str">
        <f t="shared" si="27"/>
        <v>245311000[円]</v>
      </c>
      <c r="C1739" s="216">
        <v>245311000</v>
      </c>
      <c r="D1739" s="175" t="s">
        <v>235</v>
      </c>
      <c r="E1739" s="175">
        <v>556.728457367788</v>
      </c>
      <c r="F1739" s="175" t="s">
        <v>265</v>
      </c>
      <c r="G1739" s="175" t="s">
        <v>4484</v>
      </c>
    </row>
    <row r="1740" spans="1:7">
      <c r="A1740" s="175" t="s">
        <v>4485</v>
      </c>
      <c r="B1740" s="217" t="str">
        <f t="shared" si="27"/>
        <v>245400000[円]</v>
      </c>
      <c r="C1740" s="216">
        <v>245400000</v>
      </c>
      <c r="D1740" s="175" t="s">
        <v>235</v>
      </c>
      <c r="E1740" s="175">
        <v>1063.1606054659601</v>
      </c>
      <c r="F1740" s="175" t="s">
        <v>265</v>
      </c>
      <c r="G1740" s="175" t="s">
        <v>4486</v>
      </c>
    </row>
    <row r="1741" spans="1:7">
      <c r="A1741" s="175" t="s">
        <v>4487</v>
      </c>
      <c r="B1741" s="217" t="str">
        <f t="shared" si="27"/>
        <v>245411000[円]</v>
      </c>
      <c r="C1741" s="216">
        <v>245411000</v>
      </c>
      <c r="D1741" s="175" t="s">
        <v>235</v>
      </c>
      <c r="E1741" s="175">
        <v>1609.8827220437699</v>
      </c>
      <c r="F1741" s="175" t="s">
        <v>265</v>
      </c>
      <c r="G1741" s="175" t="s">
        <v>1439</v>
      </c>
    </row>
    <row r="1742" spans="1:7">
      <c r="A1742" s="175" t="s">
        <v>4488</v>
      </c>
      <c r="B1742" s="217" t="str">
        <f t="shared" si="27"/>
        <v>245419000[円]</v>
      </c>
      <c r="C1742" s="216">
        <v>245419000</v>
      </c>
      <c r="D1742" s="175" t="s">
        <v>235</v>
      </c>
      <c r="E1742" s="175">
        <v>1001.20967741935</v>
      </c>
      <c r="F1742" s="175" t="s">
        <v>265</v>
      </c>
      <c r="G1742" s="175" t="s">
        <v>1440</v>
      </c>
    </row>
    <row r="1743" spans="1:7">
      <c r="A1743" s="175" t="s">
        <v>4489</v>
      </c>
      <c r="B1743" s="217" t="str">
        <f t="shared" si="27"/>
        <v>245500000[円]</v>
      </c>
      <c r="C1743" s="216">
        <v>245500000</v>
      </c>
      <c r="D1743" s="175" t="s">
        <v>235</v>
      </c>
      <c r="E1743" s="175">
        <v>975.64347765974605</v>
      </c>
      <c r="F1743" s="175" t="s">
        <v>265</v>
      </c>
      <c r="G1743" s="175" t="s">
        <v>4490</v>
      </c>
    </row>
    <row r="1744" spans="1:7">
      <c r="A1744" s="175" t="s">
        <v>4491</v>
      </c>
      <c r="B1744" s="217" t="str">
        <f t="shared" si="27"/>
        <v>245511000[円]</v>
      </c>
      <c r="C1744" s="216">
        <v>245511000</v>
      </c>
      <c r="D1744" s="175" t="s">
        <v>235</v>
      </c>
      <c r="E1744" s="175">
        <v>975.64347765974605</v>
      </c>
      <c r="F1744" s="175" t="s">
        <v>265</v>
      </c>
      <c r="G1744" s="175" t="s">
        <v>1441</v>
      </c>
    </row>
    <row r="1745" spans="1:7">
      <c r="A1745" s="175" t="s">
        <v>4492</v>
      </c>
      <c r="B1745" s="217" t="str">
        <f t="shared" si="27"/>
        <v>249111200[円]</v>
      </c>
      <c r="C1745" s="216">
        <v>249111200</v>
      </c>
      <c r="D1745" s="175" t="s">
        <v>235</v>
      </c>
      <c r="E1745" s="175">
        <v>200000</v>
      </c>
      <c r="F1745" s="175" t="s">
        <v>265</v>
      </c>
      <c r="G1745" s="175" t="s">
        <v>4493</v>
      </c>
    </row>
    <row r="1746" spans="1:7">
      <c r="A1746" s="175" t="s">
        <v>4494</v>
      </c>
      <c r="B1746" s="217" t="str">
        <f t="shared" si="27"/>
        <v>249111201[円]</v>
      </c>
      <c r="C1746" s="216">
        <v>249111201</v>
      </c>
      <c r="D1746" s="175" t="s">
        <v>235</v>
      </c>
      <c r="E1746" s="175">
        <v>200000</v>
      </c>
      <c r="F1746" s="175" t="s">
        <v>265</v>
      </c>
      <c r="G1746" s="175" t="s">
        <v>4495</v>
      </c>
    </row>
    <row r="1747" spans="1:7">
      <c r="A1747" s="175" t="s">
        <v>4496</v>
      </c>
      <c r="B1747" s="217" t="str">
        <f t="shared" si="27"/>
        <v>249911000[kg]</v>
      </c>
      <c r="C1747" s="216">
        <v>249911000</v>
      </c>
      <c r="D1747" s="175" t="s">
        <v>265</v>
      </c>
      <c r="E1747" s="175">
        <v>5.0000000000000001E-4</v>
      </c>
      <c r="F1747" s="175" t="s">
        <v>235</v>
      </c>
      <c r="G1747" s="175" t="s">
        <v>1443</v>
      </c>
    </row>
    <row r="1748" spans="1:7">
      <c r="A1748" s="175" t="s">
        <v>4497</v>
      </c>
      <c r="B1748" s="217" t="str">
        <f t="shared" si="27"/>
        <v>249912000[円]</v>
      </c>
      <c r="C1748" s="216">
        <v>249912000</v>
      </c>
      <c r="D1748" s="175" t="s">
        <v>235</v>
      </c>
      <c r="E1748" s="175">
        <v>1207.33268087029</v>
      </c>
      <c r="F1748" s="175" t="s">
        <v>265</v>
      </c>
      <c r="G1748" s="175" t="s">
        <v>4498</v>
      </c>
    </row>
    <row r="1749" spans="1:7">
      <c r="A1749" s="175" t="s">
        <v>4499</v>
      </c>
      <c r="B1749" s="217" t="str">
        <f t="shared" si="27"/>
        <v>251100000[kg]</v>
      </c>
      <c r="C1749" s="216">
        <v>251100000</v>
      </c>
      <c r="D1749" s="175" t="s">
        <v>265</v>
      </c>
      <c r="E1749" s="175">
        <v>2.5413524217484601E-3</v>
      </c>
      <c r="F1749" s="175" t="s">
        <v>235</v>
      </c>
      <c r="G1749" s="175" t="s">
        <v>4500</v>
      </c>
    </row>
    <row r="1750" spans="1:7">
      <c r="A1750" s="175" t="s">
        <v>4501</v>
      </c>
      <c r="B1750" s="217" t="str">
        <f t="shared" si="27"/>
        <v>251111000[円]</v>
      </c>
      <c r="C1750" s="216">
        <v>251111000</v>
      </c>
      <c r="D1750" s="175" t="s">
        <v>235</v>
      </c>
      <c r="E1750" s="175">
        <v>255.72207329800099</v>
      </c>
      <c r="F1750" s="175" t="s">
        <v>265</v>
      </c>
      <c r="G1750" s="175" t="s">
        <v>1446</v>
      </c>
    </row>
    <row r="1751" spans="1:7">
      <c r="A1751" s="175" t="s">
        <v>4501</v>
      </c>
      <c r="B1751" s="217" t="str">
        <f t="shared" si="27"/>
        <v>251111000[缶]</v>
      </c>
      <c r="C1751" s="216">
        <v>251111000</v>
      </c>
      <c r="D1751" s="175" t="s">
        <v>235</v>
      </c>
      <c r="E1751" s="175">
        <v>0.87719298245613997</v>
      </c>
      <c r="F1751" s="175" t="s">
        <v>4502</v>
      </c>
      <c r="G1751" s="175" t="s">
        <v>1446</v>
      </c>
    </row>
    <row r="1752" spans="1:7">
      <c r="A1752" s="175" t="s">
        <v>4503</v>
      </c>
      <c r="B1752" s="217" t="str">
        <f t="shared" si="27"/>
        <v>251112000[円]</v>
      </c>
      <c r="C1752" s="216">
        <v>251112000</v>
      </c>
      <c r="D1752" s="175" t="s">
        <v>235</v>
      </c>
      <c r="E1752" s="175">
        <v>429.34868708141198</v>
      </c>
      <c r="F1752" s="175" t="s">
        <v>265</v>
      </c>
      <c r="G1752" s="175" t="s">
        <v>4504</v>
      </c>
    </row>
    <row r="1753" spans="1:7">
      <c r="A1753" s="175" t="s">
        <v>4505</v>
      </c>
      <c r="B1753" s="217" t="str">
        <f t="shared" si="27"/>
        <v>251119000[kg]</v>
      </c>
      <c r="C1753" s="216">
        <v>251119000</v>
      </c>
      <c r="D1753" s="175" t="s">
        <v>265</v>
      </c>
      <c r="E1753" s="175">
        <v>1.7681215900233801E-3</v>
      </c>
      <c r="F1753" s="175" t="s">
        <v>235</v>
      </c>
      <c r="G1753" s="175" t="s">
        <v>1447</v>
      </c>
    </row>
    <row r="1754" spans="1:7">
      <c r="A1754" s="175" t="s">
        <v>4506</v>
      </c>
      <c r="B1754" s="217" t="str">
        <f t="shared" si="27"/>
        <v>252200000[円]</v>
      </c>
      <c r="C1754" s="216">
        <v>252200000</v>
      </c>
      <c r="D1754" s="175" t="s">
        <v>235</v>
      </c>
      <c r="E1754" s="175">
        <v>2150.09423587225</v>
      </c>
      <c r="F1754" s="175" t="s">
        <v>265</v>
      </c>
      <c r="G1754" s="175" t="s">
        <v>4507</v>
      </c>
    </row>
    <row r="1755" spans="1:7">
      <c r="A1755" s="175" t="s">
        <v>4508</v>
      </c>
      <c r="B1755" s="217" t="str">
        <f t="shared" si="27"/>
        <v>252211000[円]</v>
      </c>
      <c r="C1755" s="216">
        <v>252211000</v>
      </c>
      <c r="D1755" s="175" t="s">
        <v>235</v>
      </c>
      <c r="E1755" s="175">
        <v>2347.5546305931298</v>
      </c>
      <c r="F1755" s="175" t="s">
        <v>265</v>
      </c>
      <c r="G1755" s="175" t="s">
        <v>4509</v>
      </c>
    </row>
    <row r="1756" spans="1:7">
      <c r="A1756" s="175" t="s">
        <v>4510</v>
      </c>
      <c r="B1756" s="217" t="str">
        <f t="shared" si="27"/>
        <v>252212000[円]</v>
      </c>
      <c r="C1756" s="216">
        <v>252212000</v>
      </c>
      <c r="D1756" s="175" t="s">
        <v>235</v>
      </c>
      <c r="E1756" s="175">
        <v>1734.7710093374801</v>
      </c>
      <c r="F1756" s="175" t="s">
        <v>265</v>
      </c>
      <c r="G1756" s="175" t="s">
        <v>1450</v>
      </c>
    </row>
    <row r="1757" spans="1:7">
      <c r="A1757" s="175" t="s">
        <v>4511</v>
      </c>
      <c r="B1757" s="217" t="str">
        <f t="shared" si="27"/>
        <v>252219000[円]</v>
      </c>
      <c r="C1757" s="216">
        <v>252219000</v>
      </c>
      <c r="D1757" s="175" t="s">
        <v>235</v>
      </c>
      <c r="E1757" s="175">
        <v>2357.5511709386001</v>
      </c>
      <c r="F1757" s="175" t="s">
        <v>265</v>
      </c>
      <c r="G1757" s="175" t="s">
        <v>1451</v>
      </c>
    </row>
    <row r="1758" spans="1:7">
      <c r="A1758" s="175" t="s">
        <v>4512</v>
      </c>
      <c r="B1758" s="217" t="str">
        <f t="shared" si="27"/>
        <v>252400000[円]</v>
      </c>
      <c r="C1758" s="216">
        <v>252400000</v>
      </c>
      <c r="D1758" s="175" t="s">
        <v>629</v>
      </c>
      <c r="E1758" s="175">
        <v>369.817319977762</v>
      </c>
      <c r="F1758" s="175" t="s">
        <v>265</v>
      </c>
      <c r="G1758" s="175" t="s">
        <v>4513</v>
      </c>
    </row>
    <row r="1759" spans="1:7">
      <c r="A1759" s="175" t="s">
        <v>4514</v>
      </c>
      <c r="B1759" s="217" t="str">
        <f t="shared" si="27"/>
        <v>252411000[円]</v>
      </c>
      <c r="C1759" s="216">
        <v>252411000</v>
      </c>
      <c r="D1759" s="175" t="s">
        <v>629</v>
      </c>
      <c r="E1759" s="175">
        <v>369.817319977762</v>
      </c>
      <c r="F1759" s="175" t="s">
        <v>265</v>
      </c>
      <c r="G1759" s="175" t="s">
        <v>4515</v>
      </c>
    </row>
    <row r="1760" spans="1:7">
      <c r="A1760" s="175" t="s">
        <v>4516</v>
      </c>
      <c r="B1760" s="217" t="str">
        <f t="shared" si="27"/>
        <v>252500000[本]</v>
      </c>
      <c r="C1760" s="216">
        <v>252500000</v>
      </c>
      <c r="D1760" s="175" t="s">
        <v>265</v>
      </c>
      <c r="E1760" s="175">
        <v>3.9244372990353696E-3</v>
      </c>
      <c r="F1760" s="175" t="s">
        <v>266</v>
      </c>
      <c r="G1760" s="175" t="s">
        <v>4517</v>
      </c>
    </row>
    <row r="1761" spans="1:7">
      <c r="A1761" s="175" t="s">
        <v>4518</v>
      </c>
      <c r="B1761" s="217" t="str">
        <f t="shared" si="27"/>
        <v>252511000[本]</v>
      </c>
      <c r="C1761" s="216">
        <v>252511000</v>
      </c>
      <c r="D1761" s="175" t="s">
        <v>265</v>
      </c>
      <c r="E1761" s="175">
        <v>3.9244372990353696E-3</v>
      </c>
      <c r="F1761" s="175" t="s">
        <v>266</v>
      </c>
      <c r="G1761" s="175" t="s">
        <v>1457</v>
      </c>
    </row>
    <row r="1762" spans="1:7">
      <c r="A1762" s="175" t="s">
        <v>4519</v>
      </c>
      <c r="B1762" s="217" t="str">
        <f t="shared" si="27"/>
        <v>252612000[kg]</v>
      </c>
      <c r="C1762" s="216">
        <v>252612000</v>
      </c>
      <c r="D1762" s="175" t="s">
        <v>265</v>
      </c>
      <c r="E1762" s="175">
        <v>5.9614774050164004E-4</v>
      </c>
      <c r="F1762" s="175" t="s">
        <v>235</v>
      </c>
      <c r="G1762" s="175" t="s">
        <v>1459</v>
      </c>
    </row>
    <row r="1763" spans="1:7">
      <c r="A1763" s="175" t="s">
        <v>4520</v>
      </c>
      <c r="B1763" s="217" t="str">
        <f t="shared" si="27"/>
        <v>252913000[円]</v>
      </c>
      <c r="C1763" s="216">
        <v>252913000</v>
      </c>
      <c r="D1763" s="175" t="s">
        <v>629</v>
      </c>
      <c r="E1763" s="175">
        <v>254.954132083714</v>
      </c>
      <c r="F1763" s="175" t="s">
        <v>265</v>
      </c>
      <c r="G1763" s="175" t="s">
        <v>1465</v>
      </c>
    </row>
    <row r="1764" spans="1:7">
      <c r="A1764" s="175" t="s">
        <v>4521</v>
      </c>
      <c r="B1764" s="217" t="str">
        <f t="shared" si="27"/>
        <v>253111000[円]</v>
      </c>
      <c r="C1764" s="216">
        <v>253111000</v>
      </c>
      <c r="D1764" s="175" t="s">
        <v>629</v>
      </c>
      <c r="E1764" s="175">
        <v>338.13898994881902</v>
      </c>
      <c r="F1764" s="175" t="s">
        <v>265</v>
      </c>
      <c r="G1764" s="175" t="s">
        <v>1467</v>
      </c>
    </row>
    <row r="1765" spans="1:7">
      <c r="A1765" s="175" t="s">
        <v>4522</v>
      </c>
      <c r="B1765" s="217" t="str">
        <f t="shared" si="27"/>
        <v>253200000[台]</v>
      </c>
      <c r="C1765" s="216">
        <v>253200000</v>
      </c>
      <c r="D1765" s="175" t="s">
        <v>265</v>
      </c>
      <c r="E1765" s="175">
        <v>3.3713641660459501E-5</v>
      </c>
      <c r="F1765" s="175" t="s">
        <v>630</v>
      </c>
      <c r="G1765" s="175" t="s">
        <v>4523</v>
      </c>
    </row>
    <row r="1766" spans="1:7">
      <c r="A1766" s="175" t="s">
        <v>4524</v>
      </c>
      <c r="B1766" s="217" t="str">
        <f t="shared" si="27"/>
        <v>253211000[円]</v>
      </c>
      <c r="C1766" s="216">
        <v>253211000</v>
      </c>
      <c r="D1766" s="175" t="s">
        <v>630</v>
      </c>
      <c r="E1766" s="175">
        <v>25821.237816099001</v>
      </c>
      <c r="F1766" s="175" t="s">
        <v>265</v>
      </c>
      <c r="G1766" s="175" t="s">
        <v>1470</v>
      </c>
    </row>
    <row r="1767" spans="1:7">
      <c r="A1767" s="175" t="s">
        <v>4525</v>
      </c>
      <c r="B1767" s="217" t="str">
        <f t="shared" si="27"/>
        <v>253212000[円]</v>
      </c>
      <c r="C1767" s="216">
        <v>253212000</v>
      </c>
      <c r="D1767" s="175" t="s">
        <v>630</v>
      </c>
      <c r="E1767" s="175">
        <v>75483.825747861003</v>
      </c>
      <c r="F1767" s="175" t="s">
        <v>265</v>
      </c>
      <c r="G1767" s="175" t="s">
        <v>4526</v>
      </c>
    </row>
    <row r="1768" spans="1:7">
      <c r="A1768" s="175" t="s">
        <v>4527</v>
      </c>
      <c r="B1768" s="217" t="str">
        <f t="shared" si="27"/>
        <v>253213000[円]</v>
      </c>
      <c r="C1768" s="216">
        <v>253213000</v>
      </c>
      <c r="D1768" s="175" t="s">
        <v>630</v>
      </c>
      <c r="E1768" s="175">
        <v>40711.174164916003</v>
      </c>
      <c r="F1768" s="175" t="s">
        <v>265</v>
      </c>
      <c r="G1768" s="175" t="s">
        <v>1471</v>
      </c>
    </row>
    <row r="1769" spans="1:7">
      <c r="A1769" s="175" t="s">
        <v>4528</v>
      </c>
      <c r="B1769" s="217" t="str">
        <f t="shared" si="27"/>
        <v>253214000[円]</v>
      </c>
      <c r="C1769" s="216">
        <v>253214000</v>
      </c>
      <c r="D1769" s="175" t="s">
        <v>630</v>
      </c>
      <c r="E1769" s="175">
        <v>13827.898356609099</v>
      </c>
      <c r="F1769" s="175" t="s">
        <v>265</v>
      </c>
      <c r="G1769" s="175" t="s">
        <v>1472</v>
      </c>
    </row>
    <row r="1770" spans="1:7">
      <c r="A1770" s="175" t="s">
        <v>4529</v>
      </c>
      <c r="B1770" s="217" t="str">
        <f t="shared" si="27"/>
        <v>253219000[台]</v>
      </c>
      <c r="C1770" s="216">
        <v>253219000</v>
      </c>
      <c r="D1770" s="175" t="s">
        <v>265</v>
      </c>
      <c r="E1770" s="175">
        <v>3.1431954418659899E-5</v>
      </c>
      <c r="F1770" s="175" t="s">
        <v>630</v>
      </c>
      <c r="G1770" s="175" t="s">
        <v>4530</v>
      </c>
    </row>
    <row r="1771" spans="1:7">
      <c r="A1771" s="175" t="s">
        <v>4531</v>
      </c>
      <c r="B1771" s="217" t="str">
        <f t="shared" si="27"/>
        <v>253221000[円]</v>
      </c>
      <c r="C1771" s="216">
        <v>253221000</v>
      </c>
      <c r="D1771" s="175" t="s">
        <v>630</v>
      </c>
      <c r="E1771" s="175">
        <v>11823.525703659299</v>
      </c>
      <c r="F1771" s="175" t="s">
        <v>265</v>
      </c>
      <c r="G1771" s="175" t="s">
        <v>1473</v>
      </c>
    </row>
    <row r="1772" spans="1:7">
      <c r="A1772" s="175" t="s">
        <v>4532</v>
      </c>
      <c r="B1772" s="217" t="str">
        <f t="shared" si="27"/>
        <v>253229000[台]</v>
      </c>
      <c r="C1772" s="216">
        <v>253229000</v>
      </c>
      <c r="D1772" s="175" t="s">
        <v>265</v>
      </c>
      <c r="E1772" s="175">
        <v>1.17362728785358E-4</v>
      </c>
      <c r="F1772" s="175" t="s">
        <v>630</v>
      </c>
      <c r="G1772" s="175" t="s">
        <v>4533</v>
      </c>
    </row>
    <row r="1773" spans="1:7">
      <c r="A1773" s="175" t="s">
        <v>4534</v>
      </c>
      <c r="B1773" s="217" t="str">
        <f t="shared" si="27"/>
        <v>253300000[台]</v>
      </c>
      <c r="C1773" s="216">
        <v>253300000</v>
      </c>
      <c r="D1773" s="175" t="s">
        <v>265</v>
      </c>
      <c r="E1773" s="175">
        <v>1.6794504023870199E-5</v>
      </c>
      <c r="F1773" s="175" t="s">
        <v>630</v>
      </c>
      <c r="G1773" s="175" t="s">
        <v>4535</v>
      </c>
    </row>
    <row r="1774" spans="1:7">
      <c r="A1774" s="175" t="s">
        <v>4536</v>
      </c>
      <c r="B1774" s="217" t="str">
        <f t="shared" si="27"/>
        <v>253311000[円]</v>
      </c>
      <c r="C1774" s="216">
        <v>253311000</v>
      </c>
      <c r="D1774" s="175" t="s">
        <v>630</v>
      </c>
      <c r="E1774" s="175">
        <v>108573.071578039</v>
      </c>
      <c r="F1774" s="175" t="s">
        <v>265</v>
      </c>
      <c r="G1774" s="175" t="s">
        <v>4537</v>
      </c>
    </row>
    <row r="1775" spans="1:7">
      <c r="A1775" s="175" t="s">
        <v>4538</v>
      </c>
      <c r="B1775" s="217" t="str">
        <f t="shared" si="27"/>
        <v>253312000[円]</v>
      </c>
      <c r="C1775" s="216">
        <v>253312000</v>
      </c>
      <c r="D1775" s="175" t="s">
        <v>630</v>
      </c>
      <c r="E1775" s="175">
        <v>362187.244002341</v>
      </c>
      <c r="F1775" s="175" t="s">
        <v>265</v>
      </c>
      <c r="G1775" s="175" t="s">
        <v>1474</v>
      </c>
    </row>
    <row r="1776" spans="1:7">
      <c r="A1776" s="175" t="s">
        <v>4539</v>
      </c>
      <c r="B1776" s="217" t="str">
        <f t="shared" si="27"/>
        <v>253313000[台]</v>
      </c>
      <c r="C1776" s="216">
        <v>253313000</v>
      </c>
      <c r="D1776" s="175" t="s">
        <v>265</v>
      </c>
      <c r="E1776" s="175">
        <v>3.5266570605187297E-5</v>
      </c>
      <c r="F1776" s="175" t="s">
        <v>630</v>
      </c>
      <c r="G1776" s="175" t="s">
        <v>4540</v>
      </c>
    </row>
    <row r="1777" spans="1:7">
      <c r="A1777" s="175" t="s">
        <v>4541</v>
      </c>
      <c r="B1777" s="217" t="str">
        <f t="shared" si="27"/>
        <v>253912000[円]</v>
      </c>
      <c r="C1777" s="216">
        <v>253912000</v>
      </c>
      <c r="D1777" s="175" t="s">
        <v>630</v>
      </c>
      <c r="E1777" s="175">
        <v>77923.451046732895</v>
      </c>
      <c r="F1777" s="175" t="s">
        <v>265</v>
      </c>
      <c r="G1777" s="175" t="s">
        <v>1476</v>
      </c>
    </row>
    <row r="1778" spans="1:7">
      <c r="A1778" s="175" t="s">
        <v>4542</v>
      </c>
      <c r="B1778" s="217" t="str">
        <f t="shared" si="27"/>
        <v>254100000[kg]</v>
      </c>
      <c r="C1778" s="216">
        <v>254100000</v>
      </c>
      <c r="D1778" s="175" t="s">
        <v>265</v>
      </c>
      <c r="E1778" s="175">
        <v>1.3042322392844601E-3</v>
      </c>
      <c r="F1778" s="175" t="s">
        <v>235</v>
      </c>
      <c r="G1778" s="175" t="s">
        <v>4543</v>
      </c>
    </row>
    <row r="1779" spans="1:7">
      <c r="A1779" s="175" t="s">
        <v>4544</v>
      </c>
      <c r="B1779" s="217" t="str">
        <f t="shared" si="27"/>
        <v>254111000[円]</v>
      </c>
      <c r="C1779" s="216">
        <v>254111000</v>
      </c>
      <c r="D1779" s="175" t="s">
        <v>235</v>
      </c>
      <c r="E1779" s="175">
        <v>196.113433552674</v>
      </c>
      <c r="F1779" s="175" t="s">
        <v>265</v>
      </c>
      <c r="G1779" s="175" t="s">
        <v>1477</v>
      </c>
    </row>
    <row r="1780" spans="1:7">
      <c r="A1780" s="175" t="s">
        <v>4545</v>
      </c>
      <c r="B1780" s="217" t="str">
        <f t="shared" si="27"/>
        <v>254112000[円]</v>
      </c>
      <c r="C1780" s="216">
        <v>254112000</v>
      </c>
      <c r="D1780" s="175" t="s">
        <v>235</v>
      </c>
      <c r="E1780" s="175">
        <v>173.864089966992</v>
      </c>
      <c r="F1780" s="175" t="s">
        <v>265</v>
      </c>
      <c r="G1780" s="175" t="s">
        <v>1478</v>
      </c>
    </row>
    <row r="1781" spans="1:7">
      <c r="A1781" s="175" t="s">
        <v>4546</v>
      </c>
      <c r="B1781" s="217" t="str">
        <f t="shared" si="27"/>
        <v>254113000[円]</v>
      </c>
      <c r="C1781" s="216">
        <v>254113000</v>
      </c>
      <c r="D1781" s="175" t="s">
        <v>235</v>
      </c>
      <c r="E1781" s="175">
        <v>666.90854460015896</v>
      </c>
      <c r="F1781" s="175" t="s">
        <v>265</v>
      </c>
      <c r="G1781" s="175" t="s">
        <v>1479</v>
      </c>
    </row>
    <row r="1782" spans="1:7">
      <c r="A1782" s="175" t="s">
        <v>4547</v>
      </c>
      <c r="B1782" s="217" t="str">
        <f t="shared" si="27"/>
        <v>254114000[円]</v>
      </c>
      <c r="C1782" s="216">
        <v>254114000</v>
      </c>
      <c r="D1782" s="175" t="s">
        <v>235</v>
      </c>
      <c r="E1782" s="175">
        <v>494.194095754155</v>
      </c>
      <c r="F1782" s="175" t="s">
        <v>265</v>
      </c>
      <c r="G1782" s="175" t="s">
        <v>1480</v>
      </c>
    </row>
    <row r="1783" spans="1:7">
      <c r="A1783" s="175" t="s">
        <v>4548</v>
      </c>
      <c r="B1783" s="217" t="str">
        <f t="shared" si="27"/>
        <v>254115000[円]</v>
      </c>
      <c r="C1783" s="216">
        <v>254115000</v>
      </c>
      <c r="D1783" s="175" t="s">
        <v>235</v>
      </c>
      <c r="E1783" s="175">
        <v>1088.9560509825701</v>
      </c>
      <c r="F1783" s="175" t="s">
        <v>265</v>
      </c>
      <c r="G1783" s="175" t="s">
        <v>1481</v>
      </c>
    </row>
    <row r="1784" spans="1:7">
      <c r="A1784" s="175" t="s">
        <v>4549</v>
      </c>
      <c r="B1784" s="217" t="str">
        <f t="shared" si="27"/>
        <v>254119000[kg]</v>
      </c>
      <c r="C1784" s="216">
        <v>254119000</v>
      </c>
      <c r="D1784" s="175" t="s">
        <v>265</v>
      </c>
      <c r="E1784" s="175">
        <v>6.43655229974678E-4</v>
      </c>
      <c r="F1784" s="175" t="s">
        <v>235</v>
      </c>
      <c r="G1784" s="175" t="s">
        <v>1482</v>
      </c>
    </row>
    <row r="1785" spans="1:7">
      <c r="A1785" s="175" t="s">
        <v>4550</v>
      </c>
      <c r="B1785" s="217" t="str">
        <f t="shared" si="27"/>
        <v>254200000[kg]</v>
      </c>
      <c r="C1785" s="216">
        <v>254200000</v>
      </c>
      <c r="D1785" s="175" t="s">
        <v>265</v>
      </c>
      <c r="E1785" s="175">
        <v>7.27322152514255E-4</v>
      </c>
      <c r="F1785" s="175" t="s">
        <v>235</v>
      </c>
      <c r="G1785" s="175" t="s">
        <v>4551</v>
      </c>
    </row>
    <row r="1786" spans="1:7">
      <c r="A1786" s="175" t="s">
        <v>4552</v>
      </c>
      <c r="B1786" s="217" t="str">
        <f t="shared" si="27"/>
        <v>254211000[円]</v>
      </c>
      <c r="C1786" s="216">
        <v>254211000</v>
      </c>
      <c r="D1786" s="175" t="s">
        <v>235</v>
      </c>
      <c r="E1786" s="175">
        <v>1416.4697327758599</v>
      </c>
      <c r="F1786" s="175" t="s">
        <v>265</v>
      </c>
      <c r="G1786" s="175" t="s">
        <v>1483</v>
      </c>
    </row>
    <row r="1787" spans="1:7">
      <c r="A1787" s="175" t="s">
        <v>4553</v>
      </c>
      <c r="B1787" s="217" t="str">
        <f t="shared" si="27"/>
        <v>254212000[円]</v>
      </c>
      <c r="C1787" s="216">
        <v>254212000</v>
      </c>
      <c r="D1787" s="175" t="s">
        <v>235</v>
      </c>
      <c r="E1787" s="175">
        <v>1618.4310214202101</v>
      </c>
      <c r="F1787" s="175" t="s">
        <v>265</v>
      </c>
      <c r="G1787" s="175" t="s">
        <v>1484</v>
      </c>
    </row>
    <row r="1788" spans="1:7">
      <c r="A1788" s="175" t="s">
        <v>4554</v>
      </c>
      <c r="B1788" s="217" t="str">
        <f t="shared" si="27"/>
        <v>254219000[kg]</v>
      </c>
      <c r="C1788" s="216">
        <v>254219000</v>
      </c>
      <c r="D1788" s="175" t="s">
        <v>265</v>
      </c>
      <c r="E1788" s="175">
        <v>6.5976868974068495E-4</v>
      </c>
      <c r="F1788" s="175" t="s">
        <v>235</v>
      </c>
      <c r="G1788" s="175" t="s">
        <v>1485</v>
      </c>
    </row>
    <row r="1789" spans="1:7">
      <c r="A1789" s="175" t="s">
        <v>4555</v>
      </c>
      <c r="B1789" s="217" t="str">
        <f t="shared" si="27"/>
        <v>254221000[円]</v>
      </c>
      <c r="C1789" s="216">
        <v>254221000</v>
      </c>
      <c r="D1789" s="175" t="s">
        <v>235</v>
      </c>
      <c r="E1789" s="175">
        <v>2325.8154992892</v>
      </c>
      <c r="F1789" s="175" t="s">
        <v>265</v>
      </c>
      <c r="G1789" s="175" t="s">
        <v>1486</v>
      </c>
    </row>
    <row r="1790" spans="1:7">
      <c r="A1790" s="175" t="s">
        <v>4556</v>
      </c>
      <c r="B1790" s="217" t="str">
        <f t="shared" si="27"/>
        <v>254222000[円]</v>
      </c>
      <c r="C1790" s="216">
        <v>254222000</v>
      </c>
      <c r="D1790" s="175" t="s">
        <v>235</v>
      </c>
      <c r="E1790" s="175">
        <v>741.23374458152705</v>
      </c>
      <c r="F1790" s="175" t="s">
        <v>265</v>
      </c>
      <c r="G1790" s="175" t="s">
        <v>1487</v>
      </c>
    </row>
    <row r="1791" spans="1:7">
      <c r="A1791" s="175" t="s">
        <v>4557</v>
      </c>
      <c r="B1791" s="217" t="str">
        <f t="shared" si="27"/>
        <v>254223000[円]</v>
      </c>
      <c r="C1791" s="216">
        <v>254223000</v>
      </c>
      <c r="D1791" s="175" t="s">
        <v>235</v>
      </c>
      <c r="E1791" s="175">
        <v>458.00059520857099</v>
      </c>
      <c r="F1791" s="175" t="s">
        <v>265</v>
      </c>
      <c r="G1791" s="175" t="s">
        <v>1488</v>
      </c>
    </row>
    <row r="1792" spans="1:7">
      <c r="A1792" s="175" t="s">
        <v>4558</v>
      </c>
      <c r="B1792" s="217" t="str">
        <f t="shared" si="27"/>
        <v>254226000[戸]</v>
      </c>
      <c r="C1792" s="216">
        <v>254226000</v>
      </c>
      <c r="D1792" s="175" t="s">
        <v>265</v>
      </c>
      <c r="E1792" s="175">
        <v>4.59085291281925E-7</v>
      </c>
      <c r="F1792" s="175" t="s">
        <v>1492</v>
      </c>
      <c r="G1792" s="175" t="s">
        <v>1491</v>
      </c>
    </row>
    <row r="1793" spans="1:7">
      <c r="A1793" s="175" t="s">
        <v>4559</v>
      </c>
      <c r="B1793" s="217" t="str">
        <f t="shared" si="27"/>
        <v>254229000[kg]</v>
      </c>
      <c r="C1793" s="216">
        <v>254229000</v>
      </c>
      <c r="D1793" s="175" t="s">
        <v>265</v>
      </c>
      <c r="E1793" s="175">
        <v>1.97557046621657E-3</v>
      </c>
      <c r="F1793" s="175" t="s">
        <v>235</v>
      </c>
      <c r="G1793" s="175" t="s">
        <v>1494</v>
      </c>
    </row>
    <row r="1794" spans="1:7">
      <c r="A1794" s="175" t="s">
        <v>4560</v>
      </c>
      <c r="B1794" s="217" t="str">
        <f t="shared" ref="B1794:B1857" si="28">C1794&amp;"["&amp;F1794&amp;"]"</f>
        <v>254300000[kg]</v>
      </c>
      <c r="C1794" s="216">
        <v>254300000</v>
      </c>
      <c r="D1794" s="175" t="s">
        <v>265</v>
      </c>
      <c r="E1794" s="175">
        <v>3.9467966724909299E-3</v>
      </c>
      <c r="F1794" s="175" t="s">
        <v>235</v>
      </c>
      <c r="G1794" s="175" t="s">
        <v>4561</v>
      </c>
    </row>
    <row r="1795" spans="1:7">
      <c r="A1795" s="175" t="s">
        <v>4562</v>
      </c>
      <c r="B1795" s="217" t="str">
        <f t="shared" si="28"/>
        <v>254311000[円]</v>
      </c>
      <c r="C1795" s="216">
        <v>254311000</v>
      </c>
      <c r="D1795" s="175" t="s">
        <v>235</v>
      </c>
      <c r="E1795" s="175">
        <v>356.06870058071502</v>
      </c>
      <c r="F1795" s="175" t="s">
        <v>265</v>
      </c>
      <c r="G1795" s="175" t="s">
        <v>1495</v>
      </c>
    </row>
    <row r="1796" spans="1:7">
      <c r="A1796" s="175" t="s">
        <v>4563</v>
      </c>
      <c r="B1796" s="217" t="str">
        <f t="shared" si="28"/>
        <v>254312000[円]</v>
      </c>
      <c r="C1796" s="216">
        <v>254312000</v>
      </c>
      <c r="D1796" s="175" t="s">
        <v>235</v>
      </c>
      <c r="E1796" s="175">
        <v>397.84048025140697</v>
      </c>
      <c r="F1796" s="175" t="s">
        <v>265</v>
      </c>
      <c r="G1796" s="175" t="s">
        <v>4564</v>
      </c>
    </row>
    <row r="1797" spans="1:7">
      <c r="A1797" s="175" t="s">
        <v>4565</v>
      </c>
      <c r="B1797" s="217" t="str">
        <f t="shared" si="28"/>
        <v>254313000[円]</v>
      </c>
      <c r="C1797" s="216">
        <v>254313000</v>
      </c>
      <c r="D1797" s="175" t="s">
        <v>235</v>
      </c>
      <c r="E1797" s="175">
        <v>171.988998874755</v>
      </c>
      <c r="F1797" s="175" t="s">
        <v>265</v>
      </c>
      <c r="G1797" s="175" t="s">
        <v>1496</v>
      </c>
    </row>
    <row r="1798" spans="1:7">
      <c r="A1798" s="175" t="s">
        <v>4566</v>
      </c>
      <c r="B1798" s="217" t="str">
        <f t="shared" si="28"/>
        <v>254314000[kg]</v>
      </c>
      <c r="C1798" s="216">
        <v>254314000</v>
      </c>
      <c r="D1798" s="175" t="s">
        <v>265</v>
      </c>
      <c r="E1798" s="175">
        <v>2.3947217441193298E-3</v>
      </c>
      <c r="F1798" s="175" t="s">
        <v>235</v>
      </c>
      <c r="G1798" s="175" t="s">
        <v>1497</v>
      </c>
    </row>
    <row r="1799" spans="1:7">
      <c r="A1799" s="175" t="s">
        <v>4567</v>
      </c>
      <c r="B1799" s="217" t="str">
        <f t="shared" si="28"/>
        <v>255113000[円]</v>
      </c>
      <c r="C1799" s="216">
        <v>255113000</v>
      </c>
      <c r="D1799" s="175" t="s">
        <v>235</v>
      </c>
      <c r="E1799" s="175">
        <v>979.18505442777303</v>
      </c>
      <c r="F1799" s="175" t="s">
        <v>265</v>
      </c>
      <c r="G1799" s="175" t="s">
        <v>1501</v>
      </c>
    </row>
    <row r="1800" spans="1:7">
      <c r="A1800" s="175" t="s">
        <v>4568</v>
      </c>
      <c r="B1800" s="217" t="str">
        <f t="shared" si="28"/>
        <v>255300000[円]</v>
      </c>
      <c r="C1800" s="216">
        <v>255300000</v>
      </c>
      <c r="D1800" s="175" t="s">
        <v>235</v>
      </c>
      <c r="E1800" s="175">
        <v>1892.3362520959199</v>
      </c>
      <c r="F1800" s="175" t="s">
        <v>265</v>
      </c>
      <c r="G1800" s="175" t="s">
        <v>4569</v>
      </c>
    </row>
    <row r="1801" spans="1:7">
      <c r="A1801" s="175" t="s">
        <v>4570</v>
      </c>
      <c r="B1801" s="217" t="str">
        <f t="shared" si="28"/>
        <v>255311000[円]</v>
      </c>
      <c r="C1801" s="216">
        <v>255311000</v>
      </c>
      <c r="D1801" s="175" t="s">
        <v>235</v>
      </c>
      <c r="E1801" s="175">
        <v>1892.3362520959199</v>
      </c>
      <c r="F1801" s="175" t="s">
        <v>265</v>
      </c>
      <c r="G1801" s="175" t="s">
        <v>1505</v>
      </c>
    </row>
    <row r="1802" spans="1:7">
      <c r="A1802" s="175" t="s">
        <v>4571</v>
      </c>
      <c r="B1802" s="217" t="str">
        <f t="shared" si="28"/>
        <v>257100000[kg]</v>
      </c>
      <c r="C1802" s="216">
        <v>257100000</v>
      </c>
      <c r="D1802" s="175" t="s">
        <v>265</v>
      </c>
      <c r="E1802" s="175">
        <v>5.9579737069315204E-3</v>
      </c>
      <c r="F1802" s="175" t="s">
        <v>235</v>
      </c>
      <c r="G1802" s="175" t="s">
        <v>4572</v>
      </c>
    </row>
    <row r="1803" spans="1:7">
      <c r="A1803" s="175" t="s">
        <v>4573</v>
      </c>
      <c r="B1803" s="217" t="str">
        <f t="shared" si="28"/>
        <v>257111000[円]</v>
      </c>
      <c r="C1803" s="216">
        <v>257111000</v>
      </c>
      <c r="D1803" s="175" t="s">
        <v>235</v>
      </c>
      <c r="E1803" s="175">
        <v>162.38871620432801</v>
      </c>
      <c r="F1803" s="175" t="s">
        <v>265</v>
      </c>
      <c r="G1803" s="175" t="s">
        <v>1507</v>
      </c>
    </row>
    <row r="1804" spans="1:7">
      <c r="A1804" s="175" t="s">
        <v>4574</v>
      </c>
      <c r="B1804" s="217" t="str">
        <f t="shared" si="28"/>
        <v>257112000[円]</v>
      </c>
      <c r="C1804" s="216">
        <v>257112000</v>
      </c>
      <c r="D1804" s="175" t="s">
        <v>235</v>
      </c>
      <c r="E1804" s="175">
        <v>216.96807278231699</v>
      </c>
      <c r="F1804" s="175" t="s">
        <v>265</v>
      </c>
      <c r="G1804" s="175" t="s">
        <v>1508</v>
      </c>
    </row>
    <row r="1805" spans="1:7">
      <c r="A1805" s="175" t="s">
        <v>4575</v>
      </c>
      <c r="B1805" s="217" t="str">
        <f t="shared" si="28"/>
        <v>257900000[kg]</v>
      </c>
      <c r="C1805" s="216">
        <v>257900000</v>
      </c>
      <c r="D1805" s="175" t="s">
        <v>265</v>
      </c>
      <c r="E1805" s="175">
        <v>5.1123743231805E-3</v>
      </c>
      <c r="F1805" s="175" t="s">
        <v>235</v>
      </c>
      <c r="G1805" s="175" t="s">
        <v>4576</v>
      </c>
    </row>
    <row r="1806" spans="1:7">
      <c r="A1806" s="175" t="s">
        <v>4577</v>
      </c>
      <c r="B1806" s="217" t="str">
        <f t="shared" si="28"/>
        <v>257911000[円]</v>
      </c>
      <c r="C1806" s="216">
        <v>257911000</v>
      </c>
      <c r="D1806" s="175" t="s">
        <v>235</v>
      </c>
      <c r="E1806" s="175">
        <v>162.92350937096199</v>
      </c>
      <c r="F1806" s="175" t="s">
        <v>265</v>
      </c>
      <c r="G1806" s="175" t="s">
        <v>4578</v>
      </c>
    </row>
    <row r="1807" spans="1:7">
      <c r="A1807" s="175" t="s">
        <v>4579</v>
      </c>
      <c r="B1807" s="217" t="str">
        <f t="shared" si="28"/>
        <v>257912000[円]</v>
      </c>
      <c r="C1807" s="216">
        <v>257912000</v>
      </c>
      <c r="D1807" s="175" t="s">
        <v>235</v>
      </c>
      <c r="E1807" s="175">
        <v>434.69457013574703</v>
      </c>
      <c r="F1807" s="175" t="s">
        <v>265</v>
      </c>
      <c r="G1807" s="175" t="s">
        <v>1510</v>
      </c>
    </row>
    <row r="1808" spans="1:7">
      <c r="A1808" s="175" t="s">
        <v>4580</v>
      </c>
      <c r="B1808" s="217" t="str">
        <f t="shared" si="28"/>
        <v>257913000[円]</v>
      </c>
      <c r="C1808" s="216">
        <v>257913000</v>
      </c>
      <c r="D1808" s="175" t="s">
        <v>235</v>
      </c>
      <c r="E1808" s="175">
        <v>275.83546822286303</v>
      </c>
      <c r="F1808" s="175" t="s">
        <v>265</v>
      </c>
      <c r="G1808" s="175" t="s">
        <v>4581</v>
      </c>
    </row>
    <row r="1809" spans="1:7">
      <c r="A1809" s="175" t="s">
        <v>4582</v>
      </c>
      <c r="B1809" s="217" t="str">
        <f t="shared" si="28"/>
        <v>257914000[円]</v>
      </c>
      <c r="C1809" s="216">
        <v>257914000</v>
      </c>
      <c r="D1809" s="175" t="s">
        <v>235</v>
      </c>
      <c r="E1809" s="175">
        <v>239.36472888469399</v>
      </c>
      <c r="F1809" s="175" t="s">
        <v>265</v>
      </c>
      <c r="G1809" s="175" t="s">
        <v>1511</v>
      </c>
    </row>
    <row r="1810" spans="1:7">
      <c r="A1810" s="175" t="s">
        <v>4583</v>
      </c>
      <c r="B1810" s="217" t="str">
        <f t="shared" si="28"/>
        <v>257915000[円]</v>
      </c>
      <c r="C1810" s="216">
        <v>257915000</v>
      </c>
      <c r="D1810" s="175" t="s">
        <v>235</v>
      </c>
      <c r="E1810" s="175">
        <v>282.29238316201798</v>
      </c>
      <c r="F1810" s="175" t="s">
        <v>265</v>
      </c>
      <c r="G1810" s="175" t="s">
        <v>1512</v>
      </c>
    </row>
    <row r="1811" spans="1:7">
      <c r="A1811" s="175" t="s">
        <v>4584</v>
      </c>
      <c r="B1811" s="217" t="str">
        <f t="shared" si="28"/>
        <v>258100000[kg]</v>
      </c>
      <c r="C1811" s="216">
        <v>258100000</v>
      </c>
      <c r="D1811" s="175" t="s">
        <v>265</v>
      </c>
      <c r="E1811" s="175">
        <v>3.6926000735408001E-3</v>
      </c>
      <c r="F1811" s="175" t="s">
        <v>235</v>
      </c>
      <c r="G1811" s="175" t="s">
        <v>4585</v>
      </c>
    </row>
    <row r="1812" spans="1:7">
      <c r="A1812" s="175" t="s">
        <v>4586</v>
      </c>
      <c r="B1812" s="217" t="str">
        <f t="shared" si="28"/>
        <v>258111000[円]</v>
      </c>
      <c r="C1812" s="216">
        <v>258111000</v>
      </c>
      <c r="D1812" s="175" t="s">
        <v>235</v>
      </c>
      <c r="E1812" s="175">
        <v>328.38157004617801</v>
      </c>
      <c r="F1812" s="175" t="s">
        <v>265</v>
      </c>
      <c r="G1812" s="175" t="s">
        <v>4587</v>
      </c>
    </row>
    <row r="1813" spans="1:7">
      <c r="A1813" s="175" t="s">
        <v>4588</v>
      </c>
      <c r="B1813" s="217" t="str">
        <f t="shared" si="28"/>
        <v>258112000[円]</v>
      </c>
      <c r="C1813" s="216">
        <v>258112000</v>
      </c>
      <c r="D1813" s="175" t="s">
        <v>235</v>
      </c>
      <c r="E1813" s="175">
        <v>452.61325906209697</v>
      </c>
      <c r="F1813" s="175" t="s">
        <v>265</v>
      </c>
      <c r="G1813" s="175" t="s">
        <v>1514</v>
      </c>
    </row>
    <row r="1814" spans="1:7">
      <c r="A1814" s="175" t="s">
        <v>4589</v>
      </c>
      <c r="B1814" s="217" t="str">
        <f t="shared" si="28"/>
        <v>258114000[円]</v>
      </c>
      <c r="C1814" s="216">
        <v>258114000</v>
      </c>
      <c r="D1814" s="175" t="s">
        <v>235</v>
      </c>
      <c r="E1814" s="175">
        <v>609.63739716014197</v>
      </c>
      <c r="F1814" s="175" t="s">
        <v>265</v>
      </c>
      <c r="G1814" s="175" t="s">
        <v>4590</v>
      </c>
    </row>
    <row r="1815" spans="1:7">
      <c r="A1815" s="175" t="s">
        <v>4591</v>
      </c>
      <c r="B1815" s="217" t="str">
        <f t="shared" si="28"/>
        <v>259100000[個]</v>
      </c>
      <c r="C1815" s="216">
        <v>259100000</v>
      </c>
      <c r="D1815" s="175" t="s">
        <v>265</v>
      </c>
      <c r="E1815" s="175">
        <v>2.6609758249514699E-5</v>
      </c>
      <c r="F1815" s="175" t="s">
        <v>629</v>
      </c>
      <c r="G1815" s="175" t="s">
        <v>4592</v>
      </c>
    </row>
    <row r="1816" spans="1:7">
      <c r="A1816" s="175" t="s">
        <v>4593</v>
      </c>
      <c r="B1816" s="217" t="str">
        <f t="shared" si="28"/>
        <v>259111000[個]</v>
      </c>
      <c r="C1816" s="216">
        <v>259111000</v>
      </c>
      <c r="D1816" s="175" t="s">
        <v>265</v>
      </c>
      <c r="E1816" s="175">
        <v>2.6609758249514699E-5</v>
      </c>
      <c r="F1816" s="175" t="s">
        <v>629</v>
      </c>
      <c r="G1816" s="175" t="s">
        <v>1516</v>
      </c>
    </row>
    <row r="1817" spans="1:7">
      <c r="A1817" s="175" t="s">
        <v>4594</v>
      </c>
      <c r="B1817" s="217" t="str">
        <f t="shared" si="28"/>
        <v>259200000[kg]</v>
      </c>
      <c r="C1817" s="216">
        <v>259200000</v>
      </c>
      <c r="D1817" s="175" t="s">
        <v>265</v>
      </c>
      <c r="E1817" s="175">
        <v>1.94859847515302E-3</v>
      </c>
      <c r="F1817" s="175" t="s">
        <v>235</v>
      </c>
      <c r="G1817" s="175" t="s">
        <v>4595</v>
      </c>
    </row>
    <row r="1818" spans="1:7">
      <c r="A1818" s="175" t="s">
        <v>4596</v>
      </c>
      <c r="B1818" s="217" t="str">
        <f t="shared" si="28"/>
        <v>259211000[円]</v>
      </c>
      <c r="C1818" s="216">
        <v>259211000</v>
      </c>
      <c r="D1818" s="175" t="s">
        <v>235</v>
      </c>
      <c r="E1818" s="175">
        <v>269.671914953591</v>
      </c>
      <c r="F1818" s="175" t="s">
        <v>265</v>
      </c>
      <c r="G1818" s="175" t="s">
        <v>1517</v>
      </c>
    </row>
    <row r="1819" spans="1:7">
      <c r="A1819" s="175" t="s">
        <v>4597</v>
      </c>
      <c r="B1819" s="217" t="str">
        <f t="shared" si="28"/>
        <v>259212000[円]</v>
      </c>
      <c r="C1819" s="216">
        <v>259212000</v>
      </c>
      <c r="D1819" s="175" t="s">
        <v>235</v>
      </c>
      <c r="E1819" s="175">
        <v>366.038777931195</v>
      </c>
      <c r="F1819" s="175" t="s">
        <v>265</v>
      </c>
      <c r="G1819" s="175" t="s">
        <v>1518</v>
      </c>
    </row>
    <row r="1820" spans="1:7">
      <c r="A1820" s="175" t="s">
        <v>4598</v>
      </c>
      <c r="B1820" s="217" t="str">
        <f t="shared" si="28"/>
        <v>259213000[円]</v>
      </c>
      <c r="C1820" s="216">
        <v>259213000</v>
      </c>
      <c r="D1820" s="175" t="s">
        <v>235</v>
      </c>
      <c r="E1820" s="175">
        <v>930.25203397141297</v>
      </c>
      <c r="F1820" s="175" t="s">
        <v>265</v>
      </c>
      <c r="G1820" s="175" t="s">
        <v>1519</v>
      </c>
    </row>
    <row r="1821" spans="1:7">
      <c r="A1821" s="175" t="s">
        <v>4599</v>
      </c>
      <c r="B1821" s="217" t="str">
        <f t="shared" si="28"/>
        <v>259214000[円]</v>
      </c>
      <c r="C1821" s="216">
        <v>259214000</v>
      </c>
      <c r="D1821" s="175" t="s">
        <v>235</v>
      </c>
      <c r="E1821" s="175">
        <v>1091.80672384032</v>
      </c>
      <c r="F1821" s="175" t="s">
        <v>265</v>
      </c>
      <c r="G1821" s="175" t="s">
        <v>1520</v>
      </c>
    </row>
    <row r="1822" spans="1:7">
      <c r="A1822" s="175" t="s">
        <v>4600</v>
      </c>
      <c r="B1822" s="217" t="str">
        <f t="shared" si="28"/>
        <v>259219000[kg]</v>
      </c>
      <c r="C1822" s="216">
        <v>259219000</v>
      </c>
      <c r="D1822" s="175" t="s">
        <v>265</v>
      </c>
      <c r="E1822" s="175">
        <v>2.0367471189389002E-3</v>
      </c>
      <c r="F1822" s="175" t="s">
        <v>235</v>
      </c>
      <c r="G1822" s="175" t="s">
        <v>1521</v>
      </c>
    </row>
    <row r="1823" spans="1:7">
      <c r="A1823" s="175" t="s">
        <v>4601</v>
      </c>
      <c r="B1823" s="217" t="str">
        <f t="shared" si="28"/>
        <v>261100000[台]</v>
      </c>
      <c r="C1823" s="216">
        <v>261100000</v>
      </c>
      <c r="D1823" s="175" t="s">
        <v>265</v>
      </c>
      <c r="E1823" s="175">
        <v>6.9783783611865001E-8</v>
      </c>
      <c r="F1823" s="175" t="s">
        <v>630</v>
      </c>
      <c r="G1823" s="175" t="s">
        <v>4602</v>
      </c>
    </row>
    <row r="1824" spans="1:7">
      <c r="A1824" s="175" t="s">
        <v>4603</v>
      </c>
      <c r="B1824" s="217" t="str">
        <f t="shared" si="28"/>
        <v>261111000[円]</v>
      </c>
      <c r="C1824" s="216">
        <v>261111000</v>
      </c>
      <c r="D1824" s="175" t="s">
        <v>630</v>
      </c>
      <c r="E1824" s="175">
        <v>10455573.0337079</v>
      </c>
      <c r="F1824" s="175" t="s">
        <v>265</v>
      </c>
      <c r="G1824" s="175" t="s">
        <v>1525</v>
      </c>
    </row>
    <row r="1825" spans="1:7">
      <c r="A1825" s="175" t="s">
        <v>4604</v>
      </c>
      <c r="B1825" s="217" t="str">
        <f t="shared" si="28"/>
        <v>261112000[円]</v>
      </c>
      <c r="C1825" s="216">
        <v>261112000</v>
      </c>
      <c r="D1825" s="175" t="s">
        <v>630</v>
      </c>
      <c r="E1825" s="175">
        <v>43576954.662104398</v>
      </c>
      <c r="F1825" s="175" t="s">
        <v>265</v>
      </c>
      <c r="G1825" s="175" t="s">
        <v>1526</v>
      </c>
    </row>
    <row r="1826" spans="1:7">
      <c r="A1826" s="175" t="s">
        <v>4605</v>
      </c>
      <c r="B1826" s="217" t="str">
        <f t="shared" si="28"/>
        <v>261119000[台]</v>
      </c>
      <c r="C1826" s="216">
        <v>261119000</v>
      </c>
      <c r="D1826" s="175" t="s">
        <v>265</v>
      </c>
      <c r="E1826" s="175">
        <v>4.18832104338532E-8</v>
      </c>
      <c r="F1826" s="175" t="s">
        <v>630</v>
      </c>
      <c r="G1826" s="175" t="s">
        <v>4606</v>
      </c>
    </row>
    <row r="1827" spans="1:7">
      <c r="A1827" s="175" t="s">
        <v>4607</v>
      </c>
      <c r="B1827" s="217" t="str">
        <f t="shared" si="28"/>
        <v>261200000[台]</v>
      </c>
      <c r="C1827" s="216">
        <v>261200000</v>
      </c>
      <c r="D1827" s="175" t="s">
        <v>265</v>
      </c>
      <c r="E1827" s="175">
        <v>1.4762255091768E-9</v>
      </c>
      <c r="F1827" s="175" t="s">
        <v>630</v>
      </c>
      <c r="G1827" s="175" t="s">
        <v>4608</v>
      </c>
    </row>
    <row r="1828" spans="1:7">
      <c r="A1828" s="175" t="s">
        <v>4609</v>
      </c>
      <c r="B1828" s="217" t="str">
        <f t="shared" si="28"/>
        <v>261211000[円]</v>
      </c>
      <c r="C1828" s="216">
        <v>261211000</v>
      </c>
      <c r="D1828" s="175" t="s">
        <v>630</v>
      </c>
      <c r="E1828" s="175">
        <v>594238983.05084705</v>
      </c>
      <c r="F1828" s="175" t="s">
        <v>265</v>
      </c>
      <c r="G1828" s="175" t="s">
        <v>1527</v>
      </c>
    </row>
    <row r="1829" spans="1:7">
      <c r="A1829" s="175" t="s">
        <v>4609</v>
      </c>
      <c r="B1829" s="217" t="str">
        <f t="shared" si="28"/>
        <v>261211000[kW]</v>
      </c>
      <c r="C1829" s="216">
        <v>261211000</v>
      </c>
      <c r="D1829" s="175" t="s">
        <v>630</v>
      </c>
      <c r="E1829" s="175">
        <v>29324.374757281599</v>
      </c>
      <c r="F1829" s="175" t="s">
        <v>2014</v>
      </c>
      <c r="G1829" s="175" t="s">
        <v>1527</v>
      </c>
    </row>
    <row r="1830" spans="1:7">
      <c r="A1830" s="175" t="s">
        <v>4610</v>
      </c>
      <c r="B1830" s="217" t="str">
        <f t="shared" si="28"/>
        <v>261219000[台]</v>
      </c>
      <c r="C1830" s="216">
        <v>261219000</v>
      </c>
      <c r="D1830" s="175" t="s">
        <v>265</v>
      </c>
      <c r="E1830" s="175">
        <v>9.1037152741176398E-10</v>
      </c>
      <c r="F1830" s="175" t="s">
        <v>630</v>
      </c>
      <c r="G1830" s="175" t="s">
        <v>1528</v>
      </c>
    </row>
    <row r="1831" spans="1:7">
      <c r="A1831" s="175" t="s">
        <v>4611</v>
      </c>
      <c r="B1831" s="217" t="str">
        <f t="shared" si="28"/>
        <v>261300000[円]</v>
      </c>
      <c r="C1831" s="216">
        <v>261300000</v>
      </c>
      <c r="D1831" s="175" t="s">
        <v>630</v>
      </c>
      <c r="E1831" s="175">
        <v>111609.360916691</v>
      </c>
      <c r="F1831" s="175" t="s">
        <v>265</v>
      </c>
      <c r="G1831" s="175" t="s">
        <v>4612</v>
      </c>
    </row>
    <row r="1832" spans="1:7">
      <c r="A1832" s="175" t="s">
        <v>4613</v>
      </c>
      <c r="B1832" s="217" t="str">
        <f t="shared" si="28"/>
        <v>261311000[円]</v>
      </c>
      <c r="C1832" s="216">
        <v>261311000</v>
      </c>
      <c r="D1832" s="175" t="s">
        <v>630</v>
      </c>
      <c r="E1832" s="175">
        <v>27095.151916975101</v>
      </c>
      <c r="F1832" s="175" t="s">
        <v>265</v>
      </c>
      <c r="G1832" s="175" t="s">
        <v>1529</v>
      </c>
    </row>
    <row r="1833" spans="1:7">
      <c r="A1833" s="175" t="s">
        <v>4613</v>
      </c>
      <c r="B1833" s="217" t="str">
        <f t="shared" si="28"/>
        <v>261311000[PS]</v>
      </c>
      <c r="C1833" s="216">
        <v>261311000</v>
      </c>
      <c r="D1833" s="175" t="s">
        <v>630</v>
      </c>
      <c r="E1833" s="175">
        <v>6.4958262199914598</v>
      </c>
      <c r="F1833" s="175" t="s">
        <v>2017</v>
      </c>
      <c r="G1833" s="175" t="s">
        <v>1529</v>
      </c>
    </row>
    <row r="1834" spans="1:7">
      <c r="A1834" s="175" t="s">
        <v>4614</v>
      </c>
      <c r="B1834" s="217" t="str">
        <f t="shared" si="28"/>
        <v>261312000[PS]</v>
      </c>
      <c r="C1834" s="216">
        <v>261312000</v>
      </c>
      <c r="D1834" s="175" t="s">
        <v>630</v>
      </c>
      <c r="E1834" s="175">
        <v>38.049979696082403</v>
      </c>
      <c r="F1834" s="175" t="s">
        <v>2017</v>
      </c>
      <c r="G1834" s="175" t="s">
        <v>1531</v>
      </c>
    </row>
    <row r="1835" spans="1:7">
      <c r="A1835" s="175" t="s">
        <v>4614</v>
      </c>
      <c r="B1835" s="217" t="str">
        <f t="shared" si="28"/>
        <v>261312000[円]</v>
      </c>
      <c r="C1835" s="216">
        <v>261312000</v>
      </c>
      <c r="D1835" s="175" t="s">
        <v>630</v>
      </c>
      <c r="E1835" s="175">
        <v>353369.43311219302</v>
      </c>
      <c r="F1835" s="175" t="s">
        <v>265</v>
      </c>
      <c r="G1835" s="175" t="s">
        <v>1531</v>
      </c>
    </row>
    <row r="1836" spans="1:7">
      <c r="A1836" s="175" t="s">
        <v>4615</v>
      </c>
      <c r="B1836" s="217" t="str">
        <f t="shared" si="28"/>
        <v>262100000[台]</v>
      </c>
      <c r="C1836" s="216">
        <v>262100000</v>
      </c>
      <c r="D1836" s="175" t="s">
        <v>265</v>
      </c>
      <c r="E1836" s="175">
        <v>4.0379562043795598E-6</v>
      </c>
      <c r="F1836" s="175" t="s">
        <v>630</v>
      </c>
      <c r="G1836" s="175" t="s">
        <v>4616</v>
      </c>
    </row>
    <row r="1837" spans="1:7">
      <c r="A1837" s="175" t="s">
        <v>4617</v>
      </c>
      <c r="B1837" s="217" t="str">
        <f t="shared" si="28"/>
        <v>262111000[円]</v>
      </c>
      <c r="C1837" s="216">
        <v>262111000</v>
      </c>
      <c r="D1837" s="175" t="s">
        <v>630</v>
      </c>
      <c r="E1837" s="175">
        <v>112587.627776751</v>
      </c>
      <c r="F1837" s="175" t="s">
        <v>265</v>
      </c>
      <c r="G1837" s="175" t="s">
        <v>4618</v>
      </c>
    </row>
    <row r="1838" spans="1:7">
      <c r="A1838" s="175" t="s">
        <v>4619</v>
      </c>
      <c r="B1838" s="217" t="str">
        <f t="shared" si="28"/>
        <v>262112000[円]</v>
      </c>
      <c r="C1838" s="216">
        <v>262112000</v>
      </c>
      <c r="D1838" s="175" t="s">
        <v>630</v>
      </c>
      <c r="E1838" s="175">
        <v>1268252.9172789401</v>
      </c>
      <c r="F1838" s="175" t="s">
        <v>265</v>
      </c>
      <c r="G1838" s="175" t="s">
        <v>1534</v>
      </c>
    </row>
    <row r="1839" spans="1:7">
      <c r="A1839" s="175" t="s">
        <v>4620</v>
      </c>
      <c r="B1839" s="217" t="str">
        <f t="shared" si="28"/>
        <v>262121000[円]</v>
      </c>
      <c r="C1839" s="216">
        <v>262121000</v>
      </c>
      <c r="D1839" s="175" t="s">
        <v>630</v>
      </c>
      <c r="E1839" s="175">
        <v>42648.992930122498</v>
      </c>
      <c r="F1839" s="175" t="s">
        <v>265</v>
      </c>
      <c r="G1839" s="175" t="s">
        <v>1536</v>
      </c>
    </row>
    <row r="1840" spans="1:7">
      <c r="A1840" s="175" t="s">
        <v>4621</v>
      </c>
      <c r="B1840" s="217" t="str">
        <f t="shared" si="28"/>
        <v>262122000[円]</v>
      </c>
      <c r="C1840" s="216">
        <v>262122000</v>
      </c>
      <c r="D1840" s="175" t="s">
        <v>630</v>
      </c>
      <c r="E1840" s="175">
        <v>586183.16940491204</v>
      </c>
      <c r="F1840" s="175" t="s">
        <v>265</v>
      </c>
      <c r="G1840" s="175" t="s">
        <v>1537</v>
      </c>
    </row>
    <row r="1841" spans="1:7">
      <c r="A1841" s="175" t="s">
        <v>4622</v>
      </c>
      <c r="B1841" s="217" t="str">
        <f t="shared" si="28"/>
        <v>262129000[台]</v>
      </c>
      <c r="C1841" s="216">
        <v>262129000</v>
      </c>
      <c r="D1841" s="175" t="s">
        <v>265</v>
      </c>
      <c r="E1841" s="175">
        <v>6.2533609100310196E-7</v>
      </c>
      <c r="F1841" s="175" t="s">
        <v>630</v>
      </c>
      <c r="G1841" s="175" t="s">
        <v>1538</v>
      </c>
    </row>
    <row r="1842" spans="1:7">
      <c r="A1842" s="175" t="s">
        <v>4623</v>
      </c>
      <c r="B1842" s="217" t="str">
        <f t="shared" si="28"/>
        <v>262131000[円]</v>
      </c>
      <c r="C1842" s="216">
        <v>262131000</v>
      </c>
      <c r="D1842" s="175" t="s">
        <v>630</v>
      </c>
      <c r="E1842" s="175">
        <v>581614.91677336697</v>
      </c>
      <c r="F1842" s="175" t="s">
        <v>265</v>
      </c>
      <c r="G1842" s="175" t="s">
        <v>1539</v>
      </c>
    </row>
    <row r="1843" spans="1:7">
      <c r="A1843" s="175" t="s">
        <v>4624</v>
      </c>
      <c r="B1843" s="217" t="str">
        <f t="shared" si="28"/>
        <v>262132000[円]</v>
      </c>
      <c r="C1843" s="216">
        <v>262132000</v>
      </c>
      <c r="D1843" s="175" t="s">
        <v>630</v>
      </c>
      <c r="E1843" s="175">
        <v>1133036.60045114</v>
      </c>
      <c r="F1843" s="175" t="s">
        <v>265</v>
      </c>
      <c r="G1843" s="175" t="s">
        <v>1540</v>
      </c>
    </row>
    <row r="1844" spans="1:7">
      <c r="A1844" s="175" t="s">
        <v>4625</v>
      </c>
      <c r="B1844" s="217" t="str">
        <f t="shared" si="28"/>
        <v>262139000[台]</v>
      </c>
      <c r="C1844" s="216">
        <v>262139000</v>
      </c>
      <c r="D1844" s="175" t="s">
        <v>265</v>
      </c>
      <c r="E1844" s="175">
        <v>2.7415330687148801E-5</v>
      </c>
      <c r="F1844" s="175" t="s">
        <v>630</v>
      </c>
      <c r="G1844" s="175" t="s">
        <v>1541</v>
      </c>
    </row>
    <row r="1845" spans="1:7">
      <c r="A1845" s="175" t="s">
        <v>4626</v>
      </c>
      <c r="B1845" s="217" t="str">
        <f t="shared" si="28"/>
        <v>262141000[台]</v>
      </c>
      <c r="C1845" s="216">
        <v>262141000</v>
      </c>
      <c r="D1845" s="175" t="s">
        <v>265</v>
      </c>
      <c r="E1845" s="175">
        <v>1.35256018989488E-5</v>
      </c>
      <c r="F1845" s="175" t="s">
        <v>630</v>
      </c>
      <c r="G1845" s="175" t="s">
        <v>1542</v>
      </c>
    </row>
    <row r="1846" spans="1:7">
      <c r="A1846" s="175" t="s">
        <v>4627</v>
      </c>
      <c r="B1846" s="217" t="str">
        <f t="shared" si="28"/>
        <v>263100000[台]</v>
      </c>
      <c r="C1846" s="216">
        <v>263100000</v>
      </c>
      <c r="D1846" s="175" t="s">
        <v>265</v>
      </c>
      <c r="E1846" s="175">
        <v>3.0938679614995E-7</v>
      </c>
      <c r="F1846" s="175" t="s">
        <v>630</v>
      </c>
      <c r="G1846" s="175" t="s">
        <v>4628</v>
      </c>
    </row>
    <row r="1847" spans="1:7">
      <c r="A1847" s="175" t="s">
        <v>4629</v>
      </c>
      <c r="B1847" s="217" t="str">
        <f t="shared" si="28"/>
        <v>263111000[円]</v>
      </c>
      <c r="C1847" s="216">
        <v>263111000</v>
      </c>
      <c r="D1847" s="175" t="s">
        <v>630</v>
      </c>
      <c r="E1847" s="175">
        <v>7725499.5982223405</v>
      </c>
      <c r="F1847" s="175" t="s">
        <v>265</v>
      </c>
      <c r="G1847" s="175" t="s">
        <v>1544</v>
      </c>
    </row>
    <row r="1848" spans="1:7">
      <c r="A1848" s="175" t="s">
        <v>4630</v>
      </c>
      <c r="B1848" s="217" t="str">
        <f t="shared" si="28"/>
        <v>263112000[円]</v>
      </c>
      <c r="C1848" s="216">
        <v>263112000</v>
      </c>
      <c r="D1848" s="175" t="s">
        <v>630</v>
      </c>
      <c r="E1848" s="175">
        <v>12994246.6666667</v>
      </c>
      <c r="F1848" s="175" t="s">
        <v>265</v>
      </c>
      <c r="G1848" s="175" t="s">
        <v>4631</v>
      </c>
    </row>
    <row r="1849" spans="1:7">
      <c r="A1849" s="175" t="s">
        <v>4632</v>
      </c>
      <c r="B1849" s="217" t="str">
        <f t="shared" si="28"/>
        <v>263113000[円]</v>
      </c>
      <c r="C1849" s="216">
        <v>263113000</v>
      </c>
      <c r="D1849" s="175" t="s">
        <v>630</v>
      </c>
      <c r="E1849" s="175">
        <v>65706316.274781004</v>
      </c>
      <c r="F1849" s="175" t="s">
        <v>265</v>
      </c>
      <c r="G1849" s="175" t="s">
        <v>1545</v>
      </c>
    </row>
    <row r="1850" spans="1:7">
      <c r="A1850" s="175" t="s">
        <v>4633</v>
      </c>
      <c r="B1850" s="217" t="str">
        <f t="shared" si="28"/>
        <v>263114000[円]</v>
      </c>
      <c r="C1850" s="216">
        <v>263114000</v>
      </c>
      <c r="D1850" s="175" t="s">
        <v>630</v>
      </c>
      <c r="E1850" s="175">
        <v>858934.48108744295</v>
      </c>
      <c r="F1850" s="175" t="s">
        <v>265</v>
      </c>
      <c r="G1850" s="175" t="s">
        <v>1546</v>
      </c>
    </row>
    <row r="1851" spans="1:7">
      <c r="A1851" s="175" t="s">
        <v>4634</v>
      </c>
      <c r="B1851" s="217" t="str">
        <f t="shared" si="28"/>
        <v>263115000[円]</v>
      </c>
      <c r="C1851" s="216">
        <v>263115000</v>
      </c>
      <c r="D1851" s="175" t="s">
        <v>630</v>
      </c>
      <c r="E1851" s="175">
        <v>6187192.50425894</v>
      </c>
      <c r="F1851" s="175" t="s">
        <v>265</v>
      </c>
      <c r="G1851" s="175" t="s">
        <v>1547</v>
      </c>
    </row>
    <row r="1852" spans="1:7">
      <c r="A1852" s="175" t="s">
        <v>4635</v>
      </c>
      <c r="B1852" s="217" t="str">
        <f t="shared" si="28"/>
        <v>263116000[円]</v>
      </c>
      <c r="C1852" s="216">
        <v>263116000</v>
      </c>
      <c r="D1852" s="175" t="s">
        <v>630</v>
      </c>
      <c r="E1852" s="175">
        <v>409783.584799762</v>
      </c>
      <c r="F1852" s="175" t="s">
        <v>265</v>
      </c>
      <c r="G1852" s="175" t="s">
        <v>1548</v>
      </c>
    </row>
    <row r="1853" spans="1:7">
      <c r="A1853" s="175" t="s">
        <v>4636</v>
      </c>
      <c r="B1853" s="217" t="str">
        <f t="shared" si="28"/>
        <v>263117000[円]</v>
      </c>
      <c r="C1853" s="216">
        <v>263117000</v>
      </c>
      <c r="D1853" s="175" t="s">
        <v>630</v>
      </c>
      <c r="E1853" s="175">
        <v>12469500.8605852</v>
      </c>
      <c r="F1853" s="175" t="s">
        <v>265</v>
      </c>
      <c r="G1853" s="175" t="s">
        <v>1549</v>
      </c>
    </row>
    <row r="1854" spans="1:7">
      <c r="A1854" s="175" t="s">
        <v>4637</v>
      </c>
      <c r="B1854" s="217" t="str">
        <f t="shared" si="28"/>
        <v>263118000[円]</v>
      </c>
      <c r="C1854" s="216">
        <v>263118000</v>
      </c>
      <c r="D1854" s="175" t="s">
        <v>630</v>
      </c>
      <c r="E1854" s="175">
        <v>10098145.743145701</v>
      </c>
      <c r="F1854" s="175" t="s">
        <v>265</v>
      </c>
      <c r="G1854" s="175" t="s">
        <v>1550</v>
      </c>
    </row>
    <row r="1855" spans="1:7">
      <c r="A1855" s="175" t="s">
        <v>4638</v>
      </c>
      <c r="B1855" s="217" t="str">
        <f t="shared" si="28"/>
        <v>263121000[円]</v>
      </c>
      <c r="C1855" s="216">
        <v>263121000</v>
      </c>
      <c r="D1855" s="175" t="s">
        <v>630</v>
      </c>
      <c r="E1855" s="175">
        <v>9938513.9888089504</v>
      </c>
      <c r="F1855" s="175" t="s">
        <v>265</v>
      </c>
      <c r="G1855" s="175" t="s">
        <v>1551</v>
      </c>
    </row>
    <row r="1856" spans="1:7">
      <c r="A1856" s="175" t="s">
        <v>4639</v>
      </c>
      <c r="B1856" s="217" t="str">
        <f t="shared" si="28"/>
        <v>263122000[円]</v>
      </c>
      <c r="C1856" s="216">
        <v>263122000</v>
      </c>
      <c r="D1856" s="175" t="s">
        <v>630</v>
      </c>
      <c r="E1856" s="175">
        <v>3094673.3668341702</v>
      </c>
      <c r="F1856" s="175" t="s">
        <v>265</v>
      </c>
      <c r="G1856" s="175" t="s">
        <v>4640</v>
      </c>
    </row>
    <row r="1857" spans="1:7">
      <c r="A1857" s="175" t="s">
        <v>4641</v>
      </c>
      <c r="B1857" s="217" t="str">
        <f t="shared" si="28"/>
        <v>263131000[円]</v>
      </c>
      <c r="C1857" s="216">
        <v>263131000</v>
      </c>
      <c r="D1857" s="175" t="s">
        <v>630</v>
      </c>
      <c r="E1857" s="175">
        <v>977694.15488729998</v>
      </c>
      <c r="F1857" s="175" t="s">
        <v>265</v>
      </c>
      <c r="G1857" s="175" t="s">
        <v>1552</v>
      </c>
    </row>
    <row r="1858" spans="1:7">
      <c r="A1858" s="175" t="s">
        <v>4642</v>
      </c>
      <c r="B1858" s="217" t="str">
        <f t="shared" ref="B1858:B1921" si="29">C1858&amp;"["&amp;F1858&amp;"]"</f>
        <v>263132000[円]</v>
      </c>
      <c r="C1858" s="216">
        <v>263132000</v>
      </c>
      <c r="D1858" s="175" t="s">
        <v>630</v>
      </c>
      <c r="E1858" s="175">
        <v>19548780.487804901</v>
      </c>
      <c r="F1858" s="175" t="s">
        <v>265</v>
      </c>
      <c r="G1858" s="175" t="s">
        <v>1553</v>
      </c>
    </row>
    <row r="1859" spans="1:7">
      <c r="A1859" s="175" t="s">
        <v>4643</v>
      </c>
      <c r="B1859" s="217" t="str">
        <f t="shared" si="29"/>
        <v>264100000[台]</v>
      </c>
      <c r="C1859" s="216">
        <v>264100000</v>
      </c>
      <c r="D1859" s="175" t="s">
        <v>265</v>
      </c>
      <c r="E1859" s="175">
        <v>8.0050968479428797E-8</v>
      </c>
      <c r="F1859" s="175" t="s">
        <v>630</v>
      </c>
      <c r="G1859" s="175" t="s">
        <v>4644</v>
      </c>
    </row>
    <row r="1860" spans="1:7">
      <c r="A1860" s="175" t="s">
        <v>4645</v>
      </c>
      <c r="B1860" s="217" t="str">
        <f t="shared" si="29"/>
        <v>264111000[円]</v>
      </c>
      <c r="C1860" s="216">
        <v>264111000</v>
      </c>
      <c r="D1860" s="175" t="s">
        <v>630</v>
      </c>
      <c r="E1860" s="175">
        <v>11418166.333272699</v>
      </c>
      <c r="F1860" s="175" t="s">
        <v>265</v>
      </c>
      <c r="G1860" s="175" t="s">
        <v>1557</v>
      </c>
    </row>
    <row r="1861" spans="1:7">
      <c r="A1861" s="175" t="s">
        <v>4645</v>
      </c>
      <c r="B1861" s="217" t="str">
        <f t="shared" si="29"/>
        <v>264111000[kg]</v>
      </c>
      <c r="C1861" s="216">
        <v>264111000</v>
      </c>
      <c r="D1861" s="175" t="s">
        <v>630</v>
      </c>
      <c r="E1861" s="175">
        <v>3630.96662996122</v>
      </c>
      <c r="F1861" s="175" t="s">
        <v>235</v>
      </c>
      <c r="G1861" s="175" t="s">
        <v>1557</v>
      </c>
    </row>
    <row r="1862" spans="1:7">
      <c r="A1862" s="175" t="s">
        <v>4646</v>
      </c>
      <c r="B1862" s="217" t="str">
        <f t="shared" si="29"/>
        <v>264119000[kg]</v>
      </c>
      <c r="C1862" s="216">
        <v>264119000</v>
      </c>
      <c r="D1862" s="175" t="s">
        <v>630</v>
      </c>
      <c r="E1862" s="175">
        <v>2111.0116383169202</v>
      </c>
      <c r="F1862" s="175" t="s">
        <v>235</v>
      </c>
      <c r="G1862" s="175" t="s">
        <v>1558</v>
      </c>
    </row>
    <row r="1863" spans="1:7">
      <c r="A1863" s="175" t="s">
        <v>4646</v>
      </c>
      <c r="B1863" s="217" t="str">
        <f t="shared" si="29"/>
        <v>264119000[円]</v>
      </c>
      <c r="C1863" s="216">
        <v>264119000</v>
      </c>
      <c r="D1863" s="175" t="s">
        <v>630</v>
      </c>
      <c r="E1863" s="175">
        <v>9485166.87268232</v>
      </c>
      <c r="F1863" s="175" t="s">
        <v>265</v>
      </c>
      <c r="G1863" s="175" t="s">
        <v>1558</v>
      </c>
    </row>
    <row r="1864" spans="1:7">
      <c r="A1864" s="175" t="s">
        <v>4647</v>
      </c>
      <c r="B1864" s="217" t="str">
        <f t="shared" si="29"/>
        <v>264121000[円]</v>
      </c>
      <c r="C1864" s="216">
        <v>264121000</v>
      </c>
      <c r="D1864" s="175" t="s">
        <v>630</v>
      </c>
      <c r="E1864" s="175">
        <v>540088.13808299694</v>
      </c>
      <c r="F1864" s="175" t="s">
        <v>265</v>
      </c>
      <c r="G1864" s="175" t="s">
        <v>1559</v>
      </c>
    </row>
    <row r="1865" spans="1:7">
      <c r="A1865" s="175" t="s">
        <v>4647</v>
      </c>
      <c r="B1865" s="217" t="str">
        <f t="shared" si="29"/>
        <v>264121000[kg]</v>
      </c>
      <c r="C1865" s="216">
        <v>264121000</v>
      </c>
      <c r="D1865" s="175" t="s">
        <v>630</v>
      </c>
      <c r="E1865" s="175">
        <v>701.06391488680902</v>
      </c>
      <c r="F1865" s="175" t="s">
        <v>235</v>
      </c>
      <c r="G1865" s="175" t="s">
        <v>1559</v>
      </c>
    </row>
    <row r="1866" spans="1:7">
      <c r="A1866" s="175" t="s">
        <v>4648</v>
      </c>
      <c r="B1866" s="217" t="str">
        <f t="shared" si="29"/>
        <v>264122000[kg]</v>
      </c>
      <c r="C1866" s="216">
        <v>264122000</v>
      </c>
      <c r="D1866" s="175" t="s">
        <v>630</v>
      </c>
      <c r="E1866" s="175">
        <v>22387.681159420299</v>
      </c>
      <c r="F1866" s="175" t="s">
        <v>235</v>
      </c>
      <c r="G1866" s="175" t="s">
        <v>1560</v>
      </c>
    </row>
    <row r="1867" spans="1:7">
      <c r="A1867" s="175" t="s">
        <v>4648</v>
      </c>
      <c r="B1867" s="217" t="str">
        <f t="shared" si="29"/>
        <v>264122000[円]</v>
      </c>
      <c r="C1867" s="216">
        <v>264122000</v>
      </c>
      <c r="D1867" s="175" t="s">
        <v>630</v>
      </c>
      <c r="E1867" s="175">
        <v>67206063.829787195</v>
      </c>
      <c r="F1867" s="175" t="s">
        <v>265</v>
      </c>
      <c r="G1867" s="175" t="s">
        <v>1560</v>
      </c>
    </row>
    <row r="1868" spans="1:7">
      <c r="A1868" s="175" t="s">
        <v>4649</v>
      </c>
      <c r="B1868" s="217" t="str">
        <f t="shared" si="29"/>
        <v>264123000[円]</v>
      </c>
      <c r="C1868" s="216">
        <v>264123000</v>
      </c>
      <c r="D1868" s="175" t="s">
        <v>630</v>
      </c>
      <c r="E1868" s="175">
        <v>26205114.503816798</v>
      </c>
      <c r="F1868" s="175" t="s">
        <v>265</v>
      </c>
      <c r="G1868" s="175" t="s">
        <v>1561</v>
      </c>
    </row>
    <row r="1869" spans="1:7">
      <c r="A1869" s="175" t="s">
        <v>4649</v>
      </c>
      <c r="B1869" s="217" t="str">
        <f t="shared" si="29"/>
        <v>264123000[kg]</v>
      </c>
      <c r="C1869" s="216">
        <v>264123000</v>
      </c>
      <c r="D1869" s="175" t="s">
        <v>630</v>
      </c>
      <c r="E1869" s="175">
        <v>4004.40528634361</v>
      </c>
      <c r="F1869" s="175" t="s">
        <v>235</v>
      </c>
      <c r="G1869" s="175" t="s">
        <v>1561</v>
      </c>
    </row>
    <row r="1870" spans="1:7">
      <c r="A1870" s="175" t="s">
        <v>4650</v>
      </c>
      <c r="B1870" s="217" t="str">
        <f t="shared" si="29"/>
        <v>264124000[円]</v>
      </c>
      <c r="C1870" s="216">
        <v>264124000</v>
      </c>
      <c r="D1870" s="175" t="s">
        <v>630</v>
      </c>
      <c r="E1870" s="175">
        <v>12224392.398934901</v>
      </c>
      <c r="F1870" s="175" t="s">
        <v>265</v>
      </c>
      <c r="G1870" s="175" t="s">
        <v>1562</v>
      </c>
    </row>
    <row r="1871" spans="1:7">
      <c r="A1871" s="175" t="s">
        <v>4650</v>
      </c>
      <c r="B1871" s="217" t="str">
        <f t="shared" si="29"/>
        <v>264124000[kg]</v>
      </c>
      <c r="C1871" s="216">
        <v>264124000</v>
      </c>
      <c r="D1871" s="175" t="s">
        <v>630</v>
      </c>
      <c r="E1871" s="175">
        <v>3840.5143620574499</v>
      </c>
      <c r="F1871" s="175" t="s">
        <v>235</v>
      </c>
      <c r="G1871" s="175" t="s">
        <v>1562</v>
      </c>
    </row>
    <row r="1872" spans="1:7">
      <c r="A1872" s="175" t="s">
        <v>4651</v>
      </c>
      <c r="B1872" s="217" t="str">
        <f t="shared" si="29"/>
        <v>264125000[円]</v>
      </c>
      <c r="C1872" s="216">
        <v>264125000</v>
      </c>
      <c r="D1872" s="175" t="s">
        <v>630</v>
      </c>
      <c r="E1872" s="175">
        <v>28049213.0518234</v>
      </c>
      <c r="F1872" s="175" t="s">
        <v>265</v>
      </c>
      <c r="G1872" s="175" t="s">
        <v>1563</v>
      </c>
    </row>
    <row r="1873" spans="1:7">
      <c r="A1873" s="175" t="s">
        <v>4651</v>
      </c>
      <c r="B1873" s="217" t="str">
        <f t="shared" si="29"/>
        <v>264125000[kg]</v>
      </c>
      <c r="C1873" s="216">
        <v>264125000</v>
      </c>
      <c r="D1873" s="175" t="s">
        <v>630</v>
      </c>
      <c r="E1873" s="175">
        <v>6243.1818181818198</v>
      </c>
      <c r="F1873" s="175" t="s">
        <v>235</v>
      </c>
      <c r="G1873" s="175" t="s">
        <v>1563</v>
      </c>
    </row>
    <row r="1874" spans="1:7">
      <c r="A1874" s="175" t="s">
        <v>4652</v>
      </c>
      <c r="B1874" s="217" t="str">
        <f t="shared" si="29"/>
        <v>264126000[kg]</v>
      </c>
      <c r="C1874" s="216">
        <v>264126000</v>
      </c>
      <c r="D1874" s="175" t="s">
        <v>630</v>
      </c>
      <c r="E1874" s="175">
        <v>7988.3840109327002</v>
      </c>
      <c r="F1874" s="175" t="s">
        <v>235</v>
      </c>
      <c r="G1874" s="175" t="s">
        <v>1564</v>
      </c>
    </row>
    <row r="1875" spans="1:7">
      <c r="A1875" s="175" t="s">
        <v>4652</v>
      </c>
      <c r="B1875" s="217" t="str">
        <f t="shared" si="29"/>
        <v>264126000[円]</v>
      </c>
      <c r="C1875" s="216">
        <v>264126000</v>
      </c>
      <c r="D1875" s="175" t="s">
        <v>630</v>
      </c>
      <c r="E1875" s="175">
        <v>10953323.4653896</v>
      </c>
      <c r="F1875" s="175" t="s">
        <v>265</v>
      </c>
      <c r="G1875" s="175" t="s">
        <v>1564</v>
      </c>
    </row>
    <row r="1876" spans="1:7">
      <c r="A1876" s="175" t="s">
        <v>4653</v>
      </c>
      <c r="B1876" s="217" t="str">
        <f t="shared" si="29"/>
        <v>264127000[kg]</v>
      </c>
      <c r="C1876" s="216">
        <v>264127000</v>
      </c>
      <c r="D1876" s="175" t="s">
        <v>630</v>
      </c>
      <c r="E1876" s="175">
        <v>8657.2094830936694</v>
      </c>
      <c r="F1876" s="175" t="s">
        <v>235</v>
      </c>
      <c r="G1876" s="175" t="s">
        <v>1565</v>
      </c>
    </row>
    <row r="1877" spans="1:7">
      <c r="A1877" s="175" t="s">
        <v>4653</v>
      </c>
      <c r="B1877" s="217" t="str">
        <f t="shared" si="29"/>
        <v>264127000[円]</v>
      </c>
      <c r="C1877" s="216">
        <v>264127000</v>
      </c>
      <c r="D1877" s="175" t="s">
        <v>630</v>
      </c>
      <c r="E1877" s="175">
        <v>9114644.9550794791</v>
      </c>
      <c r="F1877" s="175" t="s">
        <v>265</v>
      </c>
      <c r="G1877" s="175" t="s">
        <v>1565</v>
      </c>
    </row>
    <row r="1878" spans="1:7">
      <c r="A1878" s="175" t="s">
        <v>4654</v>
      </c>
      <c r="B1878" s="217" t="str">
        <f t="shared" si="29"/>
        <v>264129000[台]</v>
      </c>
      <c r="C1878" s="216">
        <v>264129000</v>
      </c>
      <c r="D1878" s="175" t="s">
        <v>265</v>
      </c>
      <c r="E1878" s="175">
        <v>4411166.1968179801</v>
      </c>
      <c r="F1878" s="175" t="s">
        <v>630</v>
      </c>
      <c r="G1878" s="175" t="s">
        <v>1566</v>
      </c>
    </row>
    <row r="1879" spans="1:7">
      <c r="A1879" s="175" t="s">
        <v>4655</v>
      </c>
      <c r="B1879" s="217" t="str">
        <f t="shared" si="29"/>
        <v>264200000[台]</v>
      </c>
      <c r="C1879" s="216">
        <v>264200000</v>
      </c>
      <c r="D1879" s="175" t="s">
        <v>265</v>
      </c>
      <c r="E1879" s="175">
        <v>2.5405130142668198E-7</v>
      </c>
      <c r="F1879" s="175" t="s">
        <v>630</v>
      </c>
      <c r="G1879" s="175" t="s">
        <v>4656</v>
      </c>
    </row>
    <row r="1880" spans="1:7">
      <c r="A1880" s="175" t="s">
        <v>4657</v>
      </c>
      <c r="B1880" s="217" t="str">
        <f t="shared" si="29"/>
        <v>264211000[台]</v>
      </c>
      <c r="C1880" s="216">
        <v>264211000</v>
      </c>
      <c r="D1880" s="175" t="s">
        <v>265</v>
      </c>
      <c r="E1880" s="175">
        <v>244072916.66666701</v>
      </c>
      <c r="F1880" s="175" t="s">
        <v>630</v>
      </c>
      <c r="G1880" s="175" t="s">
        <v>1567</v>
      </c>
    </row>
    <row r="1881" spans="1:7">
      <c r="A1881" s="175" t="s">
        <v>4658</v>
      </c>
      <c r="B1881" s="217" t="str">
        <f t="shared" si="29"/>
        <v>264212000[台]</v>
      </c>
      <c r="C1881" s="216">
        <v>264212000</v>
      </c>
      <c r="D1881" s="175" t="s">
        <v>265</v>
      </c>
      <c r="E1881" s="175">
        <v>44120588.235294104</v>
      </c>
      <c r="F1881" s="175" t="s">
        <v>630</v>
      </c>
      <c r="G1881" s="175" t="s">
        <v>1568</v>
      </c>
    </row>
    <row r="1882" spans="1:7">
      <c r="A1882" s="175" t="s">
        <v>4659</v>
      </c>
      <c r="B1882" s="217" t="str">
        <f t="shared" si="29"/>
        <v>264213000[円]</v>
      </c>
      <c r="C1882" s="216">
        <v>264213000</v>
      </c>
      <c r="D1882" s="175" t="s">
        <v>630</v>
      </c>
      <c r="E1882" s="175">
        <v>6477216.6064981902</v>
      </c>
      <c r="F1882" s="175" t="s">
        <v>265</v>
      </c>
      <c r="G1882" s="175" t="s">
        <v>1569</v>
      </c>
    </row>
    <row r="1883" spans="1:7">
      <c r="A1883" s="175" t="s">
        <v>4659</v>
      </c>
      <c r="B1883" s="217" t="str">
        <f t="shared" si="29"/>
        <v>264213000[kg]</v>
      </c>
      <c r="C1883" s="216">
        <v>264213000</v>
      </c>
      <c r="D1883" s="175" t="s">
        <v>630</v>
      </c>
      <c r="E1883" s="175">
        <v>7461.8937644341804</v>
      </c>
      <c r="F1883" s="175" t="s">
        <v>235</v>
      </c>
      <c r="G1883" s="175" t="s">
        <v>1569</v>
      </c>
    </row>
    <row r="1884" spans="1:7">
      <c r="A1884" s="175" t="s">
        <v>4660</v>
      </c>
      <c r="B1884" s="217" t="str">
        <f t="shared" si="29"/>
        <v>264214000[円]</v>
      </c>
      <c r="C1884" s="216">
        <v>264214000</v>
      </c>
      <c r="D1884" s="175" t="s">
        <v>630</v>
      </c>
      <c r="E1884" s="175">
        <v>13852963.8273046</v>
      </c>
      <c r="F1884" s="175" t="s">
        <v>265</v>
      </c>
      <c r="G1884" s="175" t="s">
        <v>1570</v>
      </c>
    </row>
    <row r="1885" spans="1:7">
      <c r="A1885" s="175" t="s">
        <v>4660</v>
      </c>
      <c r="B1885" s="217" t="str">
        <f t="shared" si="29"/>
        <v>264214000[kg]</v>
      </c>
      <c r="C1885" s="216">
        <v>264214000</v>
      </c>
      <c r="D1885" s="175" t="s">
        <v>630</v>
      </c>
      <c r="E1885" s="175">
        <v>5805.7334553217397</v>
      </c>
      <c r="F1885" s="175" t="s">
        <v>235</v>
      </c>
      <c r="G1885" s="175" t="s">
        <v>1570</v>
      </c>
    </row>
    <row r="1886" spans="1:7">
      <c r="A1886" s="175" t="s">
        <v>4661</v>
      </c>
      <c r="B1886" s="217" t="str">
        <f t="shared" si="29"/>
        <v>264215000[円]</v>
      </c>
      <c r="C1886" s="216">
        <v>264215000</v>
      </c>
      <c r="D1886" s="175" t="s">
        <v>630</v>
      </c>
      <c r="E1886" s="175">
        <v>19168714.900594398</v>
      </c>
      <c r="F1886" s="175" t="s">
        <v>265</v>
      </c>
      <c r="G1886" s="175" t="s">
        <v>1571</v>
      </c>
    </row>
    <row r="1887" spans="1:7">
      <c r="A1887" s="175" t="s">
        <v>4661</v>
      </c>
      <c r="B1887" s="217" t="str">
        <f t="shared" si="29"/>
        <v>264215000[kg]</v>
      </c>
      <c r="C1887" s="216">
        <v>264215000</v>
      </c>
      <c r="D1887" s="175" t="s">
        <v>630</v>
      </c>
      <c r="E1887" s="175">
        <v>15923.502871205899</v>
      </c>
      <c r="F1887" s="175" t="s">
        <v>235</v>
      </c>
      <c r="G1887" s="175" t="s">
        <v>1571</v>
      </c>
    </row>
    <row r="1888" spans="1:7">
      <c r="A1888" s="175" t="s">
        <v>4662</v>
      </c>
      <c r="B1888" s="217" t="str">
        <f t="shared" si="29"/>
        <v>264216000[円]</v>
      </c>
      <c r="C1888" s="216">
        <v>264216000</v>
      </c>
      <c r="D1888" s="175" t="s">
        <v>630</v>
      </c>
      <c r="E1888" s="175">
        <v>5884159.77961432</v>
      </c>
      <c r="F1888" s="175" t="s">
        <v>265</v>
      </c>
      <c r="G1888" s="175" t="s">
        <v>4663</v>
      </c>
    </row>
    <row r="1889" spans="1:7">
      <c r="A1889" s="175" t="s">
        <v>4662</v>
      </c>
      <c r="B1889" s="217" t="str">
        <f t="shared" si="29"/>
        <v>264216000[kg]</v>
      </c>
      <c r="C1889" s="216">
        <v>264216000</v>
      </c>
      <c r="D1889" s="175" t="s">
        <v>630</v>
      </c>
      <c r="E1889" s="175">
        <v>5515.0084649853898</v>
      </c>
      <c r="F1889" s="175" t="s">
        <v>235</v>
      </c>
      <c r="G1889" s="175" t="s">
        <v>4663</v>
      </c>
    </row>
    <row r="1890" spans="1:7">
      <c r="A1890" s="175" t="s">
        <v>4664</v>
      </c>
      <c r="B1890" s="217" t="str">
        <f t="shared" si="29"/>
        <v>264217000[kg]</v>
      </c>
      <c r="C1890" s="216">
        <v>264217000</v>
      </c>
      <c r="D1890" s="175" t="s">
        <v>630</v>
      </c>
      <c r="E1890" s="175">
        <v>14526.216449537</v>
      </c>
      <c r="F1890" s="175" t="s">
        <v>235</v>
      </c>
      <c r="G1890" s="175" t="s">
        <v>1572</v>
      </c>
    </row>
    <row r="1891" spans="1:7">
      <c r="A1891" s="175" t="s">
        <v>4664</v>
      </c>
      <c r="B1891" s="217" t="str">
        <f t="shared" si="29"/>
        <v>264217000[円]</v>
      </c>
      <c r="C1891" s="216">
        <v>264217000</v>
      </c>
      <c r="D1891" s="175" t="s">
        <v>630</v>
      </c>
      <c r="E1891" s="175">
        <v>36077142.857142903</v>
      </c>
      <c r="F1891" s="175" t="s">
        <v>265</v>
      </c>
      <c r="G1891" s="175" t="s">
        <v>1572</v>
      </c>
    </row>
    <row r="1892" spans="1:7">
      <c r="A1892" s="175" t="s">
        <v>4665</v>
      </c>
      <c r="B1892" s="217" t="str">
        <f t="shared" si="29"/>
        <v>264218000[kg]</v>
      </c>
      <c r="C1892" s="216">
        <v>264218000</v>
      </c>
      <c r="D1892" s="175" t="s">
        <v>630</v>
      </c>
      <c r="E1892" s="175">
        <v>2354.4279389056901</v>
      </c>
      <c r="F1892" s="175" t="s">
        <v>235</v>
      </c>
      <c r="G1892" s="175" t="s">
        <v>1573</v>
      </c>
    </row>
    <row r="1893" spans="1:7">
      <c r="A1893" s="175" t="s">
        <v>4665</v>
      </c>
      <c r="B1893" s="217" t="str">
        <f t="shared" si="29"/>
        <v>264218000[円]</v>
      </c>
      <c r="C1893" s="216">
        <v>264218000</v>
      </c>
      <c r="D1893" s="175" t="s">
        <v>630</v>
      </c>
      <c r="E1893" s="175">
        <v>8270249.1961414795</v>
      </c>
      <c r="F1893" s="175" t="s">
        <v>265</v>
      </c>
      <c r="G1893" s="175" t="s">
        <v>1573</v>
      </c>
    </row>
    <row r="1894" spans="1:7">
      <c r="A1894" s="175" t="s">
        <v>4666</v>
      </c>
      <c r="B1894" s="217" t="str">
        <f t="shared" si="29"/>
        <v>264221000[台]</v>
      </c>
      <c r="C1894" s="216">
        <v>264221000</v>
      </c>
      <c r="D1894" s="175" t="s">
        <v>265</v>
      </c>
      <c r="E1894" s="175">
        <v>381085.56038947601</v>
      </c>
      <c r="F1894" s="175" t="s">
        <v>630</v>
      </c>
      <c r="G1894" s="175" t="s">
        <v>1574</v>
      </c>
    </row>
    <row r="1895" spans="1:7">
      <c r="A1895" s="175" t="s">
        <v>4667</v>
      </c>
      <c r="B1895" s="217" t="str">
        <f t="shared" si="29"/>
        <v>264312000[円]</v>
      </c>
      <c r="C1895" s="216">
        <v>264312000</v>
      </c>
      <c r="D1895" s="175" t="s">
        <v>266</v>
      </c>
      <c r="E1895" s="175">
        <v>1802045.63335956</v>
      </c>
      <c r="F1895" s="175" t="s">
        <v>265</v>
      </c>
      <c r="G1895" s="175" t="s">
        <v>1577</v>
      </c>
    </row>
    <row r="1896" spans="1:7">
      <c r="A1896" s="175" t="s">
        <v>4667</v>
      </c>
      <c r="B1896" s="217" t="str">
        <f t="shared" si="29"/>
        <v>264312000[kg]</v>
      </c>
      <c r="C1896" s="216">
        <v>264312000</v>
      </c>
      <c r="D1896" s="175" t="s">
        <v>266</v>
      </c>
      <c r="E1896" s="175">
        <v>2242.97403059409</v>
      </c>
      <c r="F1896" s="175" t="s">
        <v>235</v>
      </c>
      <c r="G1896" s="175" t="s">
        <v>1577</v>
      </c>
    </row>
    <row r="1897" spans="1:7">
      <c r="A1897" s="175" t="s">
        <v>4668</v>
      </c>
      <c r="B1897" s="217" t="str">
        <f t="shared" si="29"/>
        <v>264400000[個]</v>
      </c>
      <c r="C1897" s="216">
        <v>264400000</v>
      </c>
      <c r="D1897" s="175" t="s">
        <v>265</v>
      </c>
      <c r="E1897" s="175">
        <v>2.8922426667401802E-3</v>
      </c>
      <c r="F1897" s="175" t="s">
        <v>629</v>
      </c>
      <c r="G1897" s="175" t="s">
        <v>4669</v>
      </c>
    </row>
    <row r="1898" spans="1:7">
      <c r="A1898" s="175" t="s">
        <v>4670</v>
      </c>
      <c r="B1898" s="217" t="str">
        <f t="shared" si="29"/>
        <v>264411000[円]</v>
      </c>
      <c r="C1898" s="216">
        <v>264411000</v>
      </c>
      <c r="D1898" s="175" t="s">
        <v>629</v>
      </c>
      <c r="E1898" s="175">
        <v>1133.4249914070599</v>
      </c>
      <c r="F1898" s="175" t="s">
        <v>265</v>
      </c>
      <c r="G1898" s="175" t="s">
        <v>1579</v>
      </c>
    </row>
    <row r="1899" spans="1:7">
      <c r="A1899" s="175" t="s">
        <v>4671</v>
      </c>
      <c r="B1899" s="217" t="str">
        <f t="shared" si="29"/>
        <v>264412000[kg-チップ]</v>
      </c>
      <c r="C1899" s="216">
        <v>264412000</v>
      </c>
      <c r="D1899" s="175" t="s">
        <v>629</v>
      </c>
      <c r="E1899" s="175">
        <v>5.5216877952779901E-3</v>
      </c>
      <c r="F1899" s="175" t="s">
        <v>2022</v>
      </c>
      <c r="G1899" s="175" t="s">
        <v>4672</v>
      </c>
    </row>
    <row r="1900" spans="1:7">
      <c r="A1900" s="175" t="s">
        <v>4671</v>
      </c>
      <c r="B1900" s="217" t="str">
        <f t="shared" si="29"/>
        <v>264412000[円]</v>
      </c>
      <c r="C1900" s="216">
        <v>264412000</v>
      </c>
      <c r="D1900" s="175" t="s">
        <v>629</v>
      </c>
      <c r="E1900" s="175">
        <v>223.263909141662</v>
      </c>
      <c r="F1900" s="175" t="s">
        <v>265</v>
      </c>
      <c r="G1900" s="175" t="s">
        <v>4672</v>
      </c>
    </row>
    <row r="1901" spans="1:7">
      <c r="A1901" s="175" t="s">
        <v>4673</v>
      </c>
      <c r="B1901" s="217" t="str">
        <f t="shared" si="29"/>
        <v>264413000[円]</v>
      </c>
      <c r="C1901" s="216">
        <v>264413000</v>
      </c>
      <c r="D1901" s="175" t="s">
        <v>629</v>
      </c>
      <c r="E1901" s="175">
        <v>6541.06933549725</v>
      </c>
      <c r="F1901" s="175" t="s">
        <v>265</v>
      </c>
      <c r="G1901" s="175" t="s">
        <v>1580</v>
      </c>
    </row>
    <row r="1902" spans="1:7">
      <c r="A1902" s="175" t="s">
        <v>4674</v>
      </c>
      <c r="B1902" s="217" t="str">
        <f t="shared" si="29"/>
        <v>264414000[円]</v>
      </c>
      <c r="C1902" s="216">
        <v>264414000</v>
      </c>
      <c r="D1902" s="175" t="s">
        <v>630</v>
      </c>
      <c r="E1902" s="175">
        <v>20674.132392526601</v>
      </c>
      <c r="F1902" s="175" t="s">
        <v>265</v>
      </c>
      <c r="G1902" s="175" t="s">
        <v>1581</v>
      </c>
    </row>
    <row r="1903" spans="1:7">
      <c r="A1903" s="175" t="s">
        <v>4675</v>
      </c>
      <c r="B1903" s="217" t="str">
        <f t="shared" si="29"/>
        <v>264415000[円]</v>
      </c>
      <c r="C1903" s="216">
        <v>264415000</v>
      </c>
      <c r="D1903" s="175" t="s">
        <v>630</v>
      </c>
      <c r="E1903" s="175">
        <v>17923.647769872201</v>
      </c>
      <c r="F1903" s="175" t="s">
        <v>265</v>
      </c>
      <c r="G1903" s="175" t="s">
        <v>1582</v>
      </c>
    </row>
    <row r="1904" spans="1:7">
      <c r="A1904" s="175" t="s">
        <v>4676</v>
      </c>
      <c r="B1904" s="217" t="str">
        <f t="shared" si="29"/>
        <v>265100000[台]</v>
      </c>
      <c r="C1904" s="216">
        <v>265100000</v>
      </c>
      <c r="D1904" s="175" t="s">
        <v>265</v>
      </c>
      <c r="E1904" s="175">
        <v>1.15184184199131E-7</v>
      </c>
      <c r="F1904" s="175" t="s">
        <v>630</v>
      </c>
      <c r="G1904" s="175" t="s">
        <v>4677</v>
      </c>
    </row>
    <row r="1905" spans="1:7">
      <c r="A1905" s="175" t="s">
        <v>4678</v>
      </c>
      <c r="B1905" s="217" t="str">
        <f t="shared" si="29"/>
        <v>265111000[円]</v>
      </c>
      <c r="C1905" s="216">
        <v>265111000</v>
      </c>
      <c r="D1905" s="175" t="s">
        <v>630</v>
      </c>
      <c r="E1905" s="175">
        <v>4209051.9736080598</v>
      </c>
      <c r="F1905" s="175" t="s">
        <v>265</v>
      </c>
      <c r="G1905" s="175" t="s">
        <v>1584</v>
      </c>
    </row>
    <row r="1906" spans="1:7">
      <c r="A1906" s="175" t="s">
        <v>4679</v>
      </c>
      <c r="B1906" s="217" t="str">
        <f t="shared" si="29"/>
        <v>265112000[円]</v>
      </c>
      <c r="C1906" s="216">
        <v>265112000</v>
      </c>
      <c r="D1906" s="175" t="s">
        <v>630</v>
      </c>
      <c r="E1906" s="175">
        <v>23571167.512690399</v>
      </c>
      <c r="F1906" s="175" t="s">
        <v>265</v>
      </c>
      <c r="G1906" s="175" t="s">
        <v>1585</v>
      </c>
    </row>
    <row r="1907" spans="1:7">
      <c r="A1907" s="175" t="s">
        <v>4680</v>
      </c>
      <c r="B1907" s="217" t="str">
        <f t="shared" si="29"/>
        <v>265119000[台]</v>
      </c>
      <c r="C1907" s="216">
        <v>265119000</v>
      </c>
      <c r="D1907" s="175" t="s">
        <v>265</v>
      </c>
      <c r="E1907" s="175">
        <v>1.3928269004889501E-7</v>
      </c>
      <c r="F1907" s="175" t="s">
        <v>630</v>
      </c>
      <c r="G1907" s="175" t="s">
        <v>1586</v>
      </c>
    </row>
    <row r="1908" spans="1:7">
      <c r="A1908" s="175" t="s">
        <v>4681</v>
      </c>
      <c r="B1908" s="217" t="str">
        <f t="shared" si="29"/>
        <v>265200000[台]</v>
      </c>
      <c r="C1908" s="216">
        <v>265200000</v>
      </c>
      <c r="D1908" s="175" t="s">
        <v>265</v>
      </c>
      <c r="E1908" s="175">
        <v>2.8754814327078901E-7</v>
      </c>
      <c r="F1908" s="175" t="s">
        <v>630</v>
      </c>
      <c r="G1908" s="175" t="s">
        <v>4682</v>
      </c>
    </row>
    <row r="1909" spans="1:7">
      <c r="A1909" s="175" t="s">
        <v>4683</v>
      </c>
      <c r="B1909" s="217" t="str">
        <f t="shared" si="29"/>
        <v>265211000[円]</v>
      </c>
      <c r="C1909" s="216">
        <v>265211000</v>
      </c>
      <c r="D1909" s="175" t="s">
        <v>630</v>
      </c>
      <c r="E1909" s="175">
        <v>5471651.8262765799</v>
      </c>
      <c r="F1909" s="175" t="s">
        <v>265</v>
      </c>
      <c r="G1909" s="175" t="s">
        <v>4684</v>
      </c>
    </row>
    <row r="1910" spans="1:7">
      <c r="A1910" s="175" t="s">
        <v>4685</v>
      </c>
      <c r="B1910" s="217" t="str">
        <f t="shared" si="29"/>
        <v>265219000[台]</v>
      </c>
      <c r="C1910" s="216">
        <v>265219000</v>
      </c>
      <c r="D1910" s="175" t="s">
        <v>265</v>
      </c>
      <c r="E1910" s="175">
        <v>1.5727002967359099E-7</v>
      </c>
      <c r="F1910" s="175" t="s">
        <v>630</v>
      </c>
      <c r="G1910" s="175" t="s">
        <v>1587</v>
      </c>
    </row>
    <row r="1911" spans="1:7">
      <c r="A1911" s="175" t="s">
        <v>4686</v>
      </c>
      <c r="B1911" s="217" t="str">
        <f t="shared" si="29"/>
        <v>265221000[台]</v>
      </c>
      <c r="C1911" s="216">
        <v>265221000</v>
      </c>
      <c r="D1911" s="175" t="s">
        <v>265</v>
      </c>
      <c r="E1911" s="175">
        <v>2.7276787929922101E-7</v>
      </c>
      <c r="F1911" s="175" t="s">
        <v>630</v>
      </c>
      <c r="G1911" s="175" t="s">
        <v>1588</v>
      </c>
    </row>
    <row r="1912" spans="1:7">
      <c r="A1912" s="175" t="s">
        <v>4687</v>
      </c>
      <c r="B1912" s="217" t="str">
        <f t="shared" si="29"/>
        <v>265229000[台]</v>
      </c>
      <c r="C1912" s="216">
        <v>265229000</v>
      </c>
      <c r="D1912" s="175" t="s">
        <v>265</v>
      </c>
      <c r="E1912" s="175">
        <v>3.1219386439804098E-7</v>
      </c>
      <c r="F1912" s="175" t="s">
        <v>630</v>
      </c>
      <c r="G1912" s="175" t="s">
        <v>1589</v>
      </c>
    </row>
    <row r="1913" spans="1:7">
      <c r="A1913" s="175" t="s">
        <v>4688</v>
      </c>
      <c r="B1913" s="217" t="str">
        <f t="shared" si="29"/>
        <v>265231000[台]</v>
      </c>
      <c r="C1913" s="216">
        <v>265231000</v>
      </c>
      <c r="D1913" s="175" t="s">
        <v>265</v>
      </c>
      <c r="E1913" s="175">
        <v>1.3928269004889501E-7</v>
      </c>
      <c r="F1913" s="175" t="s">
        <v>630</v>
      </c>
      <c r="G1913" s="175" t="s">
        <v>1590</v>
      </c>
    </row>
    <row r="1914" spans="1:7">
      <c r="A1914" s="175" t="s">
        <v>4689</v>
      </c>
      <c r="B1914" s="217" t="str">
        <f t="shared" si="29"/>
        <v>265300000[台]</v>
      </c>
      <c r="C1914" s="216">
        <v>265300000</v>
      </c>
      <c r="D1914" s="175" t="s">
        <v>265</v>
      </c>
      <c r="E1914" s="175">
        <v>9.0982254617182294E-8</v>
      </c>
      <c r="F1914" s="175" t="s">
        <v>630</v>
      </c>
      <c r="G1914" s="175" t="s">
        <v>4690</v>
      </c>
    </row>
    <row r="1915" spans="1:7">
      <c r="A1915" s="175" t="s">
        <v>4691</v>
      </c>
      <c r="B1915" s="217" t="str">
        <f t="shared" si="29"/>
        <v>265311000[台]</v>
      </c>
      <c r="C1915" s="216">
        <v>265311000</v>
      </c>
      <c r="D1915" s="175" t="s">
        <v>265</v>
      </c>
      <c r="E1915" s="175">
        <v>7.4060886594267398E-8</v>
      </c>
      <c r="F1915" s="175" t="s">
        <v>630</v>
      </c>
      <c r="G1915" s="175" t="s">
        <v>4692</v>
      </c>
    </row>
    <row r="1916" spans="1:7">
      <c r="A1916" s="175" t="s">
        <v>4693</v>
      </c>
      <c r="B1916" s="217" t="str">
        <f t="shared" si="29"/>
        <v>265312000[円]</v>
      </c>
      <c r="C1916" s="216">
        <v>265312000</v>
      </c>
      <c r="D1916" s="175" t="s">
        <v>630</v>
      </c>
      <c r="E1916" s="175">
        <v>17732600.7326007</v>
      </c>
      <c r="F1916" s="175" t="s">
        <v>265</v>
      </c>
      <c r="G1916" s="175" t="s">
        <v>1591</v>
      </c>
    </row>
    <row r="1917" spans="1:7">
      <c r="A1917" s="175" t="s">
        <v>4694</v>
      </c>
      <c r="B1917" s="217" t="str">
        <f t="shared" si="29"/>
        <v>265319000[円]</v>
      </c>
      <c r="C1917" s="216">
        <v>265319000</v>
      </c>
      <c r="D1917" s="175" t="s">
        <v>630</v>
      </c>
      <c r="E1917" s="175">
        <v>3149925.03748126</v>
      </c>
      <c r="F1917" s="175" t="s">
        <v>265</v>
      </c>
      <c r="G1917" s="175" t="s">
        <v>1592</v>
      </c>
    </row>
    <row r="1918" spans="1:7">
      <c r="A1918" s="175" t="s">
        <v>4695</v>
      </c>
      <c r="B1918" s="217" t="str">
        <f t="shared" si="29"/>
        <v>265500000[台]</v>
      </c>
      <c r="C1918" s="216">
        <v>265500000</v>
      </c>
      <c r="D1918" s="175" t="s">
        <v>265</v>
      </c>
      <c r="E1918" s="175">
        <v>9.7292362321437297E-6</v>
      </c>
      <c r="F1918" s="175" t="s">
        <v>630</v>
      </c>
      <c r="G1918" s="175" t="s">
        <v>4696</v>
      </c>
    </row>
    <row r="1919" spans="1:7">
      <c r="A1919" s="175" t="s">
        <v>4697</v>
      </c>
      <c r="B1919" s="217" t="str">
        <f t="shared" si="29"/>
        <v>265511000[円]</v>
      </c>
      <c r="C1919" s="216">
        <v>265511000</v>
      </c>
      <c r="D1919" s="175" t="s">
        <v>630</v>
      </c>
      <c r="E1919" s="175">
        <v>26096.407645219901</v>
      </c>
      <c r="F1919" s="175" t="s">
        <v>265</v>
      </c>
      <c r="G1919" s="175" t="s">
        <v>1596</v>
      </c>
    </row>
    <row r="1920" spans="1:7">
      <c r="A1920" s="175" t="s">
        <v>4698</v>
      </c>
      <c r="B1920" s="217" t="str">
        <f t="shared" si="29"/>
        <v>265512000[円]</v>
      </c>
      <c r="C1920" s="216">
        <v>265512000</v>
      </c>
      <c r="D1920" s="175" t="s">
        <v>630</v>
      </c>
      <c r="E1920" s="175">
        <v>61497.4162866806</v>
      </c>
      <c r="F1920" s="175" t="s">
        <v>265</v>
      </c>
      <c r="G1920" s="175" t="s">
        <v>1597</v>
      </c>
    </row>
    <row r="1921" spans="1:7">
      <c r="A1921" s="175" t="s">
        <v>4699</v>
      </c>
      <c r="B1921" s="217" t="str">
        <f t="shared" si="29"/>
        <v>266100000[台]</v>
      </c>
      <c r="C1921" s="216">
        <v>266100000</v>
      </c>
      <c r="D1921" s="175" t="s">
        <v>265</v>
      </c>
      <c r="E1921" s="175">
        <v>9.6894379938563791E-7</v>
      </c>
      <c r="F1921" s="175" t="s">
        <v>630</v>
      </c>
      <c r="G1921" s="175" t="s">
        <v>4700</v>
      </c>
    </row>
    <row r="1922" spans="1:7">
      <c r="A1922" s="175" t="s">
        <v>4701</v>
      </c>
      <c r="B1922" s="217" t="str">
        <f t="shared" ref="B1922:B1985" si="30">C1922&amp;"["&amp;F1922&amp;"]"</f>
        <v>266111000[台]</v>
      </c>
      <c r="C1922" s="216">
        <v>266111000</v>
      </c>
      <c r="D1922" s="175" t="s">
        <v>265</v>
      </c>
      <c r="E1922" s="175">
        <v>3.7870354213924299E-6</v>
      </c>
      <c r="F1922" s="175" t="s">
        <v>630</v>
      </c>
      <c r="G1922" s="175" t="s">
        <v>4702</v>
      </c>
    </row>
    <row r="1923" spans="1:7">
      <c r="A1923" s="175" t="s">
        <v>4703</v>
      </c>
      <c r="B1923" s="217" t="str">
        <f t="shared" si="30"/>
        <v>266112000[円]</v>
      </c>
      <c r="C1923" s="216">
        <v>266112000</v>
      </c>
      <c r="D1923" s="175" t="s">
        <v>630</v>
      </c>
      <c r="E1923" s="175">
        <v>2588689.5298660002</v>
      </c>
      <c r="F1923" s="175" t="s">
        <v>265</v>
      </c>
      <c r="G1923" s="175" t="s">
        <v>1599</v>
      </c>
    </row>
    <row r="1924" spans="1:7">
      <c r="A1924" s="175" t="s">
        <v>4704</v>
      </c>
      <c r="B1924" s="217" t="str">
        <f t="shared" si="30"/>
        <v>266113000[円]</v>
      </c>
      <c r="C1924" s="216">
        <v>266113000</v>
      </c>
      <c r="D1924" s="175" t="s">
        <v>630</v>
      </c>
      <c r="E1924" s="175">
        <v>2395143.4878587201</v>
      </c>
      <c r="F1924" s="175" t="s">
        <v>265</v>
      </c>
      <c r="G1924" s="175" t="s">
        <v>1600</v>
      </c>
    </row>
    <row r="1925" spans="1:7">
      <c r="A1925" s="175" t="s">
        <v>4705</v>
      </c>
      <c r="B1925" s="217" t="str">
        <f t="shared" si="30"/>
        <v>266114000[円]</v>
      </c>
      <c r="C1925" s="216">
        <v>266114000</v>
      </c>
      <c r="D1925" s="175" t="s">
        <v>630</v>
      </c>
      <c r="E1925" s="175">
        <v>849819.00833403505</v>
      </c>
      <c r="F1925" s="175" t="s">
        <v>265</v>
      </c>
      <c r="G1925" s="175" t="s">
        <v>1601</v>
      </c>
    </row>
    <row r="1926" spans="1:7">
      <c r="A1926" s="175" t="s">
        <v>4706</v>
      </c>
      <c r="B1926" s="217" t="str">
        <f t="shared" si="30"/>
        <v>266115000[円]</v>
      </c>
      <c r="C1926" s="216">
        <v>266115000</v>
      </c>
      <c r="D1926" s="175" t="s">
        <v>630</v>
      </c>
      <c r="E1926" s="175">
        <v>1717640.09471192</v>
      </c>
      <c r="F1926" s="175" t="s">
        <v>265</v>
      </c>
      <c r="G1926" s="175" t="s">
        <v>1602</v>
      </c>
    </row>
    <row r="1927" spans="1:7">
      <c r="A1927" s="175" t="s">
        <v>4707</v>
      </c>
      <c r="B1927" s="217" t="str">
        <f t="shared" si="30"/>
        <v>266119000[台]</v>
      </c>
      <c r="C1927" s="216">
        <v>266119000</v>
      </c>
      <c r="D1927" s="175" t="s">
        <v>265</v>
      </c>
      <c r="E1927" s="175">
        <v>8.4156378600823003E-7</v>
      </c>
      <c r="F1927" s="175" t="s">
        <v>630</v>
      </c>
      <c r="G1927" s="175" t="s">
        <v>1603</v>
      </c>
    </row>
    <row r="1928" spans="1:7">
      <c r="A1928" s="175" t="s">
        <v>4708</v>
      </c>
      <c r="B1928" s="217" t="str">
        <f t="shared" si="30"/>
        <v>266200000[円]</v>
      </c>
      <c r="C1928" s="216">
        <v>266200000</v>
      </c>
      <c r="D1928" s="175" t="s">
        <v>630</v>
      </c>
      <c r="E1928" s="175">
        <v>5397773.5759867597</v>
      </c>
      <c r="F1928" s="175" t="s">
        <v>265</v>
      </c>
      <c r="G1928" s="175" t="s">
        <v>4709</v>
      </c>
    </row>
    <row r="1929" spans="1:7">
      <c r="A1929" s="175" t="s">
        <v>4710</v>
      </c>
      <c r="B1929" s="217" t="str">
        <f t="shared" si="30"/>
        <v>266211000[円]</v>
      </c>
      <c r="C1929" s="216">
        <v>266211000</v>
      </c>
      <c r="D1929" s="175" t="s">
        <v>630</v>
      </c>
      <c r="E1929" s="175">
        <v>3117170.9717097199</v>
      </c>
      <c r="F1929" s="175" t="s">
        <v>265</v>
      </c>
      <c r="G1929" s="175" t="s">
        <v>1604</v>
      </c>
    </row>
    <row r="1930" spans="1:7">
      <c r="A1930" s="175" t="s">
        <v>4711</v>
      </c>
      <c r="B1930" s="217" t="str">
        <f t="shared" si="30"/>
        <v>266212000[円]</v>
      </c>
      <c r="C1930" s="216">
        <v>266212000</v>
      </c>
      <c r="D1930" s="175" t="s">
        <v>630</v>
      </c>
      <c r="E1930" s="175">
        <v>4642563.39958876</v>
      </c>
      <c r="F1930" s="175" t="s">
        <v>265</v>
      </c>
      <c r="G1930" s="175" t="s">
        <v>4712</v>
      </c>
    </row>
    <row r="1931" spans="1:7">
      <c r="A1931" s="175" t="s">
        <v>4713</v>
      </c>
      <c r="B1931" s="217" t="str">
        <f t="shared" si="30"/>
        <v>266213000[円]</v>
      </c>
      <c r="C1931" s="216">
        <v>266213000</v>
      </c>
      <c r="D1931" s="175" t="s">
        <v>630</v>
      </c>
      <c r="E1931" s="175">
        <v>13513440</v>
      </c>
      <c r="F1931" s="175" t="s">
        <v>265</v>
      </c>
      <c r="G1931" s="175" t="s">
        <v>4714</v>
      </c>
    </row>
    <row r="1932" spans="1:7">
      <c r="A1932" s="175" t="s">
        <v>4715</v>
      </c>
      <c r="B1932" s="217" t="str">
        <f t="shared" si="30"/>
        <v>266300000[台]</v>
      </c>
      <c r="C1932" s="216">
        <v>266300000</v>
      </c>
      <c r="D1932" s="175" t="s">
        <v>265</v>
      </c>
      <c r="E1932" s="175">
        <v>2.0998764778542402E-8</v>
      </c>
      <c r="F1932" s="175" t="s">
        <v>630</v>
      </c>
      <c r="G1932" s="175" t="s">
        <v>4716</v>
      </c>
    </row>
    <row r="1933" spans="1:7">
      <c r="A1933" s="175" t="s">
        <v>4717</v>
      </c>
      <c r="B1933" s="217" t="str">
        <f t="shared" si="30"/>
        <v>266311000[円]</v>
      </c>
      <c r="C1933" s="216">
        <v>266311000</v>
      </c>
      <c r="D1933" s="175" t="s">
        <v>630</v>
      </c>
      <c r="E1933" s="175">
        <v>12685185.1851852</v>
      </c>
      <c r="F1933" s="175" t="s">
        <v>265</v>
      </c>
      <c r="G1933" s="175" t="s">
        <v>4718</v>
      </c>
    </row>
    <row r="1934" spans="1:7">
      <c r="A1934" s="175" t="s">
        <v>4717</v>
      </c>
      <c r="B1934" s="217" t="str">
        <f t="shared" si="30"/>
        <v>266311000[kg]</v>
      </c>
      <c r="C1934" s="216">
        <v>266311000</v>
      </c>
      <c r="D1934" s="175" t="s">
        <v>630</v>
      </c>
      <c r="E1934" s="175">
        <v>3419.6078431372498</v>
      </c>
      <c r="F1934" s="175" t="s">
        <v>235</v>
      </c>
      <c r="G1934" s="175" t="s">
        <v>4718</v>
      </c>
    </row>
    <row r="1935" spans="1:7">
      <c r="A1935" s="175" t="s">
        <v>4719</v>
      </c>
      <c r="B1935" s="217" t="str">
        <f t="shared" si="30"/>
        <v>266312000[円]</v>
      </c>
      <c r="C1935" s="216">
        <v>266312000</v>
      </c>
      <c r="D1935" s="175" t="s">
        <v>630</v>
      </c>
      <c r="E1935" s="175">
        <v>343752195.12195098</v>
      </c>
      <c r="F1935" s="175" t="s">
        <v>265</v>
      </c>
      <c r="G1935" s="175" t="s">
        <v>1605</v>
      </c>
    </row>
    <row r="1936" spans="1:7">
      <c r="A1936" s="175" t="s">
        <v>4719</v>
      </c>
      <c r="B1936" s="217" t="str">
        <f t="shared" si="30"/>
        <v>266312000[kg]</v>
      </c>
      <c r="C1936" s="216">
        <v>266312000</v>
      </c>
      <c r="D1936" s="175" t="s">
        <v>630</v>
      </c>
      <c r="E1936" s="175">
        <v>74212.765957446798</v>
      </c>
      <c r="F1936" s="175" t="s">
        <v>235</v>
      </c>
      <c r="G1936" s="175" t="s">
        <v>1605</v>
      </c>
    </row>
    <row r="1937" spans="1:7">
      <c r="A1937" s="175" t="s">
        <v>4720</v>
      </c>
      <c r="B1937" s="217" t="str">
        <f t="shared" si="30"/>
        <v>266319000[台]</v>
      </c>
      <c r="C1937" s="216">
        <v>266319000</v>
      </c>
      <c r="D1937" s="175" t="s">
        <v>265</v>
      </c>
      <c r="E1937" s="175">
        <v>83968503.937007904</v>
      </c>
      <c r="F1937" s="175" t="s">
        <v>630</v>
      </c>
      <c r="G1937" s="175" t="s">
        <v>1606</v>
      </c>
    </row>
    <row r="1938" spans="1:7">
      <c r="A1938" s="175" t="s">
        <v>4721</v>
      </c>
      <c r="B1938" s="217" t="str">
        <f t="shared" si="30"/>
        <v>266400000[台]</v>
      </c>
      <c r="C1938" s="216">
        <v>266400000</v>
      </c>
      <c r="D1938" s="175" t="s">
        <v>265</v>
      </c>
      <c r="E1938" s="175">
        <v>1.0569943873287499E-7</v>
      </c>
      <c r="F1938" s="175" t="s">
        <v>630</v>
      </c>
      <c r="G1938" s="175" t="s">
        <v>4722</v>
      </c>
    </row>
    <row r="1939" spans="1:7">
      <c r="A1939" s="175" t="s">
        <v>4723</v>
      </c>
      <c r="B1939" s="217" t="str">
        <f t="shared" si="30"/>
        <v>266411000[円]</v>
      </c>
      <c r="C1939" s="216">
        <v>266411000</v>
      </c>
      <c r="D1939" s="175" t="s">
        <v>630</v>
      </c>
      <c r="E1939" s="175">
        <v>28228940.217391301</v>
      </c>
      <c r="F1939" s="175" t="s">
        <v>265</v>
      </c>
      <c r="G1939" s="175" t="s">
        <v>1607</v>
      </c>
    </row>
    <row r="1940" spans="1:7">
      <c r="A1940" s="175" t="s">
        <v>4723</v>
      </c>
      <c r="B1940" s="217" t="str">
        <f t="shared" si="30"/>
        <v>266411000[kg]</v>
      </c>
      <c r="C1940" s="216">
        <v>266411000</v>
      </c>
      <c r="D1940" s="175" t="s">
        <v>630</v>
      </c>
      <c r="E1940" s="175">
        <v>12785.4313759256</v>
      </c>
      <c r="F1940" s="175" t="s">
        <v>235</v>
      </c>
      <c r="G1940" s="175" t="s">
        <v>1607</v>
      </c>
    </row>
    <row r="1941" spans="1:7">
      <c r="A1941" s="175" t="s">
        <v>4724</v>
      </c>
      <c r="B1941" s="217" t="str">
        <f t="shared" si="30"/>
        <v>266412000[台]</v>
      </c>
      <c r="C1941" s="216">
        <v>266412000</v>
      </c>
      <c r="D1941" s="175" t="s">
        <v>265</v>
      </c>
      <c r="E1941" s="175">
        <v>1.16042729284958E-6</v>
      </c>
      <c r="F1941" s="175" t="s">
        <v>630</v>
      </c>
      <c r="G1941" s="175" t="s">
        <v>1608</v>
      </c>
    </row>
    <row r="1942" spans="1:7">
      <c r="A1942" s="175" t="s">
        <v>4725</v>
      </c>
      <c r="B1942" s="217" t="str">
        <f t="shared" si="30"/>
        <v>266413000[台]</v>
      </c>
      <c r="C1942" s="216">
        <v>266413000</v>
      </c>
      <c r="D1942" s="175" t="s">
        <v>265</v>
      </c>
      <c r="E1942" s="175">
        <v>2.8363796520590201E-8</v>
      </c>
      <c r="F1942" s="175" t="s">
        <v>630</v>
      </c>
      <c r="G1942" s="175" t="s">
        <v>1609</v>
      </c>
    </row>
    <row r="1943" spans="1:7">
      <c r="A1943" s="175" t="s">
        <v>4726</v>
      </c>
      <c r="B1943" s="217" t="str">
        <f t="shared" si="30"/>
        <v>266414000[円]</v>
      </c>
      <c r="C1943" s="216">
        <v>266414000</v>
      </c>
      <c r="D1943" s="175" t="s">
        <v>630</v>
      </c>
      <c r="E1943" s="175">
        <v>4609716.8597168596</v>
      </c>
      <c r="F1943" s="175" t="s">
        <v>265</v>
      </c>
      <c r="G1943" s="175" t="s">
        <v>4727</v>
      </c>
    </row>
    <row r="1944" spans="1:7">
      <c r="A1944" s="175" t="s">
        <v>4728</v>
      </c>
      <c r="B1944" s="217" t="str">
        <f t="shared" si="30"/>
        <v>266500000[台]</v>
      </c>
      <c r="C1944" s="216">
        <v>266500000</v>
      </c>
      <c r="D1944" s="175" t="s">
        <v>265</v>
      </c>
      <c r="E1944" s="175">
        <v>1.9359923572963899E-7</v>
      </c>
      <c r="F1944" s="175" t="s">
        <v>630</v>
      </c>
      <c r="G1944" s="175" t="s">
        <v>4729</v>
      </c>
    </row>
    <row r="1945" spans="1:7">
      <c r="A1945" s="175" t="s">
        <v>4730</v>
      </c>
      <c r="B1945" s="217" t="str">
        <f t="shared" si="30"/>
        <v>266511000[円]</v>
      </c>
      <c r="C1945" s="216">
        <v>266511000</v>
      </c>
      <c r="D1945" s="175" t="s">
        <v>630</v>
      </c>
      <c r="E1945" s="175">
        <v>27629623.7337192</v>
      </c>
      <c r="F1945" s="175" t="s">
        <v>265</v>
      </c>
      <c r="G1945" s="175" t="s">
        <v>1610</v>
      </c>
    </row>
    <row r="1946" spans="1:7">
      <c r="A1946" s="175" t="s">
        <v>4730</v>
      </c>
      <c r="B1946" s="217" t="str">
        <f t="shared" si="30"/>
        <v>266511000[kg]</v>
      </c>
      <c r="C1946" s="216">
        <v>266511000</v>
      </c>
      <c r="D1946" s="175" t="s">
        <v>630</v>
      </c>
      <c r="E1946" s="175">
        <v>16493.273542600899</v>
      </c>
      <c r="F1946" s="175" t="s">
        <v>235</v>
      </c>
      <c r="G1946" s="175" t="s">
        <v>1610</v>
      </c>
    </row>
    <row r="1947" spans="1:7">
      <c r="A1947" s="175" t="s">
        <v>4731</v>
      </c>
      <c r="B1947" s="217" t="str">
        <f t="shared" si="30"/>
        <v>266519000[台]</v>
      </c>
      <c r="C1947" s="216">
        <v>266519000</v>
      </c>
      <c r="D1947" s="175" t="s">
        <v>265</v>
      </c>
      <c r="E1947" s="175">
        <v>7702099.3002332496</v>
      </c>
      <c r="F1947" s="175" t="s">
        <v>630</v>
      </c>
      <c r="G1947" s="175" t="s">
        <v>1611</v>
      </c>
    </row>
    <row r="1948" spans="1:7">
      <c r="A1948" s="175" t="s">
        <v>4732</v>
      </c>
      <c r="B1948" s="217" t="str">
        <f t="shared" si="30"/>
        <v>266521000[個]</v>
      </c>
      <c r="C1948" s="216">
        <v>266521000</v>
      </c>
      <c r="D1948" s="175" t="s">
        <v>265</v>
      </c>
      <c r="E1948" s="175">
        <v>466185.75293056801</v>
      </c>
      <c r="F1948" s="175" t="s">
        <v>629</v>
      </c>
      <c r="G1948" s="175" t="s">
        <v>4733</v>
      </c>
    </row>
    <row r="1949" spans="1:7">
      <c r="A1949" s="175" t="s">
        <v>4734</v>
      </c>
      <c r="B1949" s="217" t="str">
        <f t="shared" si="30"/>
        <v>266600000[台]</v>
      </c>
      <c r="C1949" s="216">
        <v>266600000</v>
      </c>
      <c r="D1949" s="175" t="s">
        <v>265</v>
      </c>
      <c r="E1949" s="175">
        <v>8.2820312664824199E-8</v>
      </c>
      <c r="F1949" s="175" t="s">
        <v>630</v>
      </c>
      <c r="G1949" s="175" t="s">
        <v>4735</v>
      </c>
    </row>
    <row r="1950" spans="1:7">
      <c r="A1950" s="175" t="s">
        <v>4736</v>
      </c>
      <c r="B1950" s="217" t="str">
        <f t="shared" si="30"/>
        <v>266611000[kg]</v>
      </c>
      <c r="C1950" s="216">
        <v>266611000</v>
      </c>
      <c r="D1950" s="175" t="s">
        <v>630</v>
      </c>
      <c r="E1950" s="175">
        <v>7161.5848305729496</v>
      </c>
      <c r="F1950" s="175" t="s">
        <v>235</v>
      </c>
      <c r="G1950" s="175" t="s">
        <v>1612</v>
      </c>
    </row>
    <row r="1951" spans="1:7">
      <c r="A1951" s="175" t="s">
        <v>4736</v>
      </c>
      <c r="B1951" s="217" t="str">
        <f t="shared" si="30"/>
        <v>266611000[円]</v>
      </c>
      <c r="C1951" s="216">
        <v>266611000</v>
      </c>
      <c r="D1951" s="175" t="s">
        <v>630</v>
      </c>
      <c r="E1951" s="175">
        <v>9211511.2920168098</v>
      </c>
      <c r="F1951" s="175" t="s">
        <v>265</v>
      </c>
      <c r="G1951" s="175" t="s">
        <v>1612</v>
      </c>
    </row>
    <row r="1952" spans="1:7">
      <c r="A1952" s="175" t="s">
        <v>4737</v>
      </c>
      <c r="B1952" s="217" t="str">
        <f t="shared" si="30"/>
        <v>266612000[円]</v>
      </c>
      <c r="C1952" s="216">
        <v>266612000</v>
      </c>
      <c r="D1952" s="175" t="s">
        <v>630</v>
      </c>
      <c r="E1952" s="175">
        <v>27151562.729273699</v>
      </c>
      <c r="F1952" s="175" t="s">
        <v>265</v>
      </c>
      <c r="G1952" s="175" t="s">
        <v>1613</v>
      </c>
    </row>
    <row r="1953" spans="1:7">
      <c r="A1953" s="175" t="s">
        <v>4737</v>
      </c>
      <c r="B1953" s="217" t="str">
        <f t="shared" si="30"/>
        <v>266612000[kg]</v>
      </c>
      <c r="C1953" s="216">
        <v>266612000</v>
      </c>
      <c r="D1953" s="175" t="s">
        <v>630</v>
      </c>
      <c r="E1953" s="175">
        <v>4773.4375</v>
      </c>
      <c r="F1953" s="175" t="s">
        <v>235</v>
      </c>
      <c r="G1953" s="175" t="s">
        <v>1613</v>
      </c>
    </row>
    <row r="1954" spans="1:7">
      <c r="A1954" s="175" t="s">
        <v>4738</v>
      </c>
      <c r="B1954" s="217" t="str">
        <f t="shared" si="30"/>
        <v>266619000[台]</v>
      </c>
      <c r="C1954" s="216">
        <v>266619000</v>
      </c>
      <c r="D1954" s="175" t="s">
        <v>265</v>
      </c>
      <c r="E1954" s="175">
        <v>16563451.7766497</v>
      </c>
      <c r="F1954" s="175" t="s">
        <v>630</v>
      </c>
      <c r="G1954" s="175" t="s">
        <v>4739</v>
      </c>
    </row>
    <row r="1955" spans="1:7">
      <c r="A1955" s="175" t="s">
        <v>4740</v>
      </c>
      <c r="B1955" s="217" t="str">
        <f t="shared" si="30"/>
        <v>266700000[円]</v>
      </c>
      <c r="C1955" s="216">
        <v>266700000</v>
      </c>
      <c r="D1955" s="175" t="s">
        <v>630</v>
      </c>
      <c r="E1955" s="175">
        <v>60292991.602141798</v>
      </c>
      <c r="F1955" s="175" t="s">
        <v>265</v>
      </c>
      <c r="G1955" s="175" t="s">
        <v>4741</v>
      </c>
    </row>
    <row r="1956" spans="1:7">
      <c r="A1956" s="175" t="s">
        <v>4742</v>
      </c>
      <c r="B1956" s="217" t="str">
        <f t="shared" si="30"/>
        <v>266711000[円]</v>
      </c>
      <c r="C1956" s="216">
        <v>266711000</v>
      </c>
      <c r="D1956" s="175" t="s">
        <v>630</v>
      </c>
      <c r="E1956" s="175">
        <v>208690079.893475</v>
      </c>
      <c r="F1956" s="175" t="s">
        <v>265</v>
      </c>
      <c r="G1956" s="175" t="s">
        <v>4743</v>
      </c>
    </row>
    <row r="1957" spans="1:7">
      <c r="A1957" s="175" t="s">
        <v>4744</v>
      </c>
      <c r="B1957" s="217" t="str">
        <f t="shared" si="30"/>
        <v>266712000[円]</v>
      </c>
      <c r="C1957" s="216">
        <v>266712000</v>
      </c>
      <c r="D1957" s="175" t="s">
        <v>630</v>
      </c>
      <c r="E1957" s="175">
        <v>9060087.1493005101</v>
      </c>
      <c r="F1957" s="175" t="s">
        <v>265</v>
      </c>
      <c r="G1957" s="175" t="s">
        <v>1614</v>
      </c>
    </row>
    <row r="1958" spans="1:7">
      <c r="A1958" s="175" t="s">
        <v>4745</v>
      </c>
      <c r="B1958" s="217" t="str">
        <f t="shared" si="30"/>
        <v>266719000[円]</v>
      </c>
      <c r="C1958" s="216">
        <v>266719000</v>
      </c>
      <c r="D1958" s="175" t="s">
        <v>630</v>
      </c>
      <c r="E1958" s="175">
        <v>19174179.133475799</v>
      </c>
      <c r="F1958" s="175" t="s">
        <v>265</v>
      </c>
      <c r="G1958" s="175" t="s">
        <v>1615</v>
      </c>
    </row>
    <row r="1959" spans="1:7">
      <c r="A1959" s="175" t="s">
        <v>4746</v>
      </c>
      <c r="B1959" s="217" t="str">
        <f t="shared" si="30"/>
        <v>266721000[円]</v>
      </c>
      <c r="C1959" s="216">
        <v>266721000</v>
      </c>
      <c r="D1959" s="175" t="s">
        <v>630</v>
      </c>
      <c r="E1959" s="175">
        <v>219995684.340321</v>
      </c>
      <c r="F1959" s="175" t="s">
        <v>265</v>
      </c>
      <c r="G1959" s="175" t="s">
        <v>1616</v>
      </c>
    </row>
    <row r="1960" spans="1:7">
      <c r="A1960" s="175" t="s">
        <v>4747</v>
      </c>
      <c r="B1960" s="217" t="str">
        <f t="shared" si="30"/>
        <v>266800000[円]</v>
      </c>
      <c r="C1960" s="216">
        <v>266800000</v>
      </c>
      <c r="D1960" s="175" t="s">
        <v>630</v>
      </c>
      <c r="E1960" s="175">
        <v>267811.93110521301</v>
      </c>
      <c r="F1960" s="175" t="s">
        <v>265</v>
      </c>
      <c r="G1960" s="175" t="s">
        <v>4748</v>
      </c>
    </row>
    <row r="1961" spans="1:7">
      <c r="A1961" s="175" t="s">
        <v>4749</v>
      </c>
      <c r="B1961" s="217" t="str">
        <f t="shared" si="30"/>
        <v>266811000[円]</v>
      </c>
      <c r="C1961" s="216">
        <v>266811000</v>
      </c>
      <c r="D1961" s="175" t="s">
        <v>630</v>
      </c>
      <c r="E1961" s="175">
        <v>177622.01863036101</v>
      </c>
      <c r="F1961" s="175" t="s">
        <v>265</v>
      </c>
      <c r="G1961" s="175" t="s">
        <v>1617</v>
      </c>
    </row>
    <row r="1962" spans="1:7">
      <c r="A1962" s="175" t="s">
        <v>4750</v>
      </c>
      <c r="B1962" s="217" t="str">
        <f t="shared" si="30"/>
        <v>266819000[円]</v>
      </c>
      <c r="C1962" s="216">
        <v>266819000</v>
      </c>
      <c r="D1962" s="175" t="s">
        <v>630</v>
      </c>
      <c r="E1962" s="175">
        <v>393209.49876711</v>
      </c>
      <c r="F1962" s="175" t="s">
        <v>265</v>
      </c>
      <c r="G1962" s="175" t="s">
        <v>1618</v>
      </c>
    </row>
    <row r="1963" spans="1:7">
      <c r="A1963" s="175" t="s">
        <v>4751</v>
      </c>
      <c r="B1963" s="217" t="str">
        <f t="shared" si="30"/>
        <v>267100000[台]</v>
      </c>
      <c r="C1963" s="216">
        <v>267100000</v>
      </c>
      <c r="D1963" s="175" t="s">
        <v>265</v>
      </c>
      <c r="E1963" s="175">
        <v>1.43058133997358E-5</v>
      </c>
      <c r="F1963" s="175" t="s">
        <v>630</v>
      </c>
      <c r="G1963" s="175" t="s">
        <v>4752</v>
      </c>
    </row>
    <row r="1964" spans="1:7">
      <c r="A1964" s="175" t="s">
        <v>4753</v>
      </c>
      <c r="B1964" s="217" t="str">
        <f t="shared" si="30"/>
        <v>267111000[円]</v>
      </c>
      <c r="C1964" s="216">
        <v>267111000</v>
      </c>
      <c r="D1964" s="175" t="s">
        <v>630</v>
      </c>
      <c r="E1964" s="175">
        <v>133758.953824397</v>
      </c>
      <c r="F1964" s="175" t="s">
        <v>265</v>
      </c>
      <c r="G1964" s="175" t="s">
        <v>4754</v>
      </c>
    </row>
    <row r="1965" spans="1:7">
      <c r="A1965" s="175" t="s">
        <v>4753</v>
      </c>
      <c r="B1965" s="217" t="str">
        <f t="shared" si="30"/>
        <v>267111000[kg]</v>
      </c>
      <c r="C1965" s="216">
        <v>267111000</v>
      </c>
      <c r="D1965" s="175" t="s">
        <v>630</v>
      </c>
      <c r="E1965" s="175">
        <v>39.381615537059098</v>
      </c>
      <c r="F1965" s="175" t="s">
        <v>235</v>
      </c>
      <c r="G1965" s="175" t="s">
        <v>4754</v>
      </c>
    </row>
    <row r="1966" spans="1:7">
      <c r="A1966" s="175" t="s">
        <v>4755</v>
      </c>
      <c r="B1966" s="217" t="str">
        <f t="shared" si="30"/>
        <v>267112000[円]</v>
      </c>
      <c r="C1966" s="216">
        <v>267112000</v>
      </c>
      <c r="D1966" s="175" t="s">
        <v>630</v>
      </c>
      <c r="E1966" s="175">
        <v>381794.25948405702</v>
      </c>
      <c r="F1966" s="175" t="s">
        <v>265</v>
      </c>
      <c r="G1966" s="175" t="s">
        <v>4756</v>
      </c>
    </row>
    <row r="1967" spans="1:7">
      <c r="A1967" s="175" t="s">
        <v>4755</v>
      </c>
      <c r="B1967" s="217" t="str">
        <f t="shared" si="30"/>
        <v>267112000[kg]</v>
      </c>
      <c r="C1967" s="216">
        <v>267112000</v>
      </c>
      <c r="D1967" s="175" t="s">
        <v>630</v>
      </c>
      <c r="E1967" s="175">
        <v>195.31584887669399</v>
      </c>
      <c r="F1967" s="175" t="s">
        <v>235</v>
      </c>
      <c r="G1967" s="175" t="s">
        <v>4756</v>
      </c>
    </row>
    <row r="1968" spans="1:7">
      <c r="A1968" s="175" t="s">
        <v>4757</v>
      </c>
      <c r="B1968" s="217" t="str">
        <f t="shared" si="30"/>
        <v>267113000[円]</v>
      </c>
      <c r="C1968" s="216">
        <v>267113000</v>
      </c>
      <c r="D1968" s="175" t="s">
        <v>630</v>
      </c>
      <c r="E1968" s="175">
        <v>198817.40960099801</v>
      </c>
      <c r="F1968" s="175" t="s">
        <v>265</v>
      </c>
      <c r="G1968" s="175" t="s">
        <v>4758</v>
      </c>
    </row>
    <row r="1969" spans="1:7">
      <c r="A1969" s="175" t="s">
        <v>4757</v>
      </c>
      <c r="B1969" s="217" t="str">
        <f t="shared" si="30"/>
        <v>267113000[kg]</v>
      </c>
      <c r="C1969" s="216">
        <v>267113000</v>
      </c>
      <c r="D1969" s="175" t="s">
        <v>630</v>
      </c>
      <c r="E1969" s="175">
        <v>7.2347075581549101</v>
      </c>
      <c r="F1969" s="175" t="s">
        <v>235</v>
      </c>
      <c r="G1969" s="175" t="s">
        <v>4758</v>
      </c>
    </row>
    <row r="1970" spans="1:7">
      <c r="A1970" s="175" t="s">
        <v>4759</v>
      </c>
      <c r="B1970" s="217" t="str">
        <f t="shared" si="30"/>
        <v>267114000[円]</v>
      </c>
      <c r="C1970" s="216">
        <v>267114000</v>
      </c>
      <c r="D1970" s="175" t="s">
        <v>630</v>
      </c>
      <c r="E1970" s="175">
        <v>25069.106965312902</v>
      </c>
      <c r="F1970" s="175" t="s">
        <v>265</v>
      </c>
      <c r="G1970" s="175" t="s">
        <v>1622</v>
      </c>
    </row>
    <row r="1971" spans="1:7">
      <c r="A1971" s="175" t="s">
        <v>4760</v>
      </c>
      <c r="B1971" s="217" t="str">
        <f t="shared" si="30"/>
        <v>267119000[台]</v>
      </c>
      <c r="C1971" s="216">
        <v>267119000</v>
      </c>
      <c r="D1971" s="175" t="s">
        <v>265</v>
      </c>
      <c r="E1971" s="175">
        <v>75974.227577389</v>
      </c>
      <c r="F1971" s="175" t="s">
        <v>630</v>
      </c>
      <c r="G1971" s="175" t="s">
        <v>1623</v>
      </c>
    </row>
    <row r="1972" spans="1:7">
      <c r="A1972" s="175" t="s">
        <v>4761</v>
      </c>
      <c r="B1972" s="217" t="str">
        <f t="shared" si="30"/>
        <v>267200000[円]</v>
      </c>
      <c r="C1972" s="216">
        <v>267200000</v>
      </c>
      <c r="D1972" s="175" t="s">
        <v>630</v>
      </c>
      <c r="E1972" s="175">
        <v>429295.00982781599</v>
      </c>
      <c r="F1972" s="175" t="s">
        <v>265</v>
      </c>
      <c r="G1972" s="175" t="s">
        <v>4762</v>
      </c>
    </row>
    <row r="1973" spans="1:7">
      <c r="A1973" s="175" t="s">
        <v>4763</v>
      </c>
      <c r="B1973" s="217" t="str">
        <f t="shared" si="30"/>
        <v>267211000[円]</v>
      </c>
      <c r="C1973" s="216">
        <v>267211000</v>
      </c>
      <c r="D1973" s="175" t="s">
        <v>630</v>
      </c>
      <c r="E1973" s="175">
        <v>783780.96077567199</v>
      </c>
      <c r="F1973" s="175" t="s">
        <v>265</v>
      </c>
      <c r="G1973" s="175" t="s">
        <v>1624</v>
      </c>
    </row>
    <row r="1974" spans="1:7">
      <c r="A1974" s="175" t="s">
        <v>4763</v>
      </c>
      <c r="B1974" s="217" t="str">
        <f t="shared" si="30"/>
        <v>267211000[kg]</v>
      </c>
      <c r="C1974" s="216">
        <v>267211000</v>
      </c>
      <c r="D1974" s="175" t="s">
        <v>630</v>
      </c>
      <c r="E1974" s="175">
        <v>88.5238028184271</v>
      </c>
      <c r="F1974" s="175" t="s">
        <v>235</v>
      </c>
      <c r="G1974" s="175" t="s">
        <v>1624</v>
      </c>
    </row>
    <row r="1975" spans="1:7">
      <c r="A1975" s="175" t="s">
        <v>4764</v>
      </c>
      <c r="B1975" s="217" t="str">
        <f t="shared" si="30"/>
        <v>267212000[kg]</v>
      </c>
      <c r="C1975" s="216">
        <v>267212000</v>
      </c>
      <c r="D1975" s="175" t="s">
        <v>630</v>
      </c>
      <c r="E1975" s="175">
        <v>558.72687932419603</v>
      </c>
      <c r="F1975" s="175" t="s">
        <v>235</v>
      </c>
      <c r="G1975" s="175" t="s">
        <v>1625</v>
      </c>
    </row>
    <row r="1976" spans="1:7">
      <c r="A1976" s="175" t="s">
        <v>4764</v>
      </c>
      <c r="B1976" s="217" t="str">
        <f t="shared" si="30"/>
        <v>267212000[円]</v>
      </c>
      <c r="C1976" s="216">
        <v>267212000</v>
      </c>
      <c r="D1976" s="175" t="s">
        <v>630</v>
      </c>
      <c r="E1976" s="175">
        <v>2723003.0518819899</v>
      </c>
      <c r="F1976" s="175" t="s">
        <v>265</v>
      </c>
      <c r="G1976" s="175" t="s">
        <v>1625</v>
      </c>
    </row>
    <row r="1977" spans="1:7">
      <c r="A1977" s="175" t="s">
        <v>4765</v>
      </c>
      <c r="B1977" s="217" t="str">
        <f t="shared" si="30"/>
        <v>267213000[kg]</v>
      </c>
      <c r="C1977" s="216">
        <v>267213000</v>
      </c>
      <c r="D1977" s="175" t="s">
        <v>630</v>
      </c>
      <c r="E1977" s="175">
        <v>10274.5836065574</v>
      </c>
      <c r="F1977" s="175" t="s">
        <v>235</v>
      </c>
      <c r="G1977" s="175" t="s">
        <v>1626</v>
      </c>
    </row>
    <row r="1978" spans="1:7">
      <c r="A1978" s="175" t="s">
        <v>4765</v>
      </c>
      <c r="B1978" s="217" t="str">
        <f t="shared" si="30"/>
        <v>267213000[円]</v>
      </c>
      <c r="C1978" s="216">
        <v>267213000</v>
      </c>
      <c r="D1978" s="175" t="s">
        <v>630</v>
      </c>
      <c r="E1978" s="175">
        <v>125236871.794872</v>
      </c>
      <c r="F1978" s="175" t="s">
        <v>265</v>
      </c>
      <c r="G1978" s="175" t="s">
        <v>1626</v>
      </c>
    </row>
    <row r="1979" spans="1:7">
      <c r="A1979" s="175" t="s">
        <v>4766</v>
      </c>
      <c r="B1979" s="217" t="str">
        <f t="shared" si="30"/>
        <v>267214000[kg]</v>
      </c>
      <c r="C1979" s="216">
        <v>267214000</v>
      </c>
      <c r="D1979" s="175" t="s">
        <v>630</v>
      </c>
      <c r="E1979" s="175">
        <v>107.854400774235</v>
      </c>
      <c r="F1979" s="175" t="s">
        <v>235</v>
      </c>
      <c r="G1979" s="175" t="s">
        <v>1627</v>
      </c>
    </row>
    <row r="1980" spans="1:7">
      <c r="A1980" s="175" t="s">
        <v>4766</v>
      </c>
      <c r="B1980" s="217" t="str">
        <f t="shared" si="30"/>
        <v>267214000[円]</v>
      </c>
      <c r="C1980" s="216">
        <v>267214000</v>
      </c>
      <c r="D1980" s="175" t="s">
        <v>630</v>
      </c>
      <c r="E1980" s="175">
        <v>129405.385579539</v>
      </c>
      <c r="F1980" s="175" t="s">
        <v>265</v>
      </c>
      <c r="G1980" s="175" t="s">
        <v>1627</v>
      </c>
    </row>
    <row r="1981" spans="1:7">
      <c r="A1981" s="175" t="s">
        <v>4767</v>
      </c>
      <c r="B1981" s="217" t="str">
        <f t="shared" si="30"/>
        <v>267215000[kg]</v>
      </c>
      <c r="C1981" s="216">
        <v>267215000</v>
      </c>
      <c r="D1981" s="175" t="s">
        <v>630</v>
      </c>
      <c r="E1981" s="175">
        <v>36.941743099272102</v>
      </c>
      <c r="F1981" s="175" t="s">
        <v>235</v>
      </c>
      <c r="G1981" s="175" t="s">
        <v>1628</v>
      </c>
    </row>
    <row r="1982" spans="1:7">
      <c r="A1982" s="175" t="s">
        <v>4767</v>
      </c>
      <c r="B1982" s="217" t="str">
        <f t="shared" si="30"/>
        <v>267215000[円]</v>
      </c>
      <c r="C1982" s="216">
        <v>267215000</v>
      </c>
      <c r="D1982" s="175" t="s">
        <v>630</v>
      </c>
      <c r="E1982" s="175">
        <v>138354.93013527399</v>
      </c>
      <c r="F1982" s="175" t="s">
        <v>265</v>
      </c>
      <c r="G1982" s="175" t="s">
        <v>1628</v>
      </c>
    </row>
    <row r="1983" spans="1:7">
      <c r="A1983" s="175" t="s">
        <v>4768</v>
      </c>
      <c r="B1983" s="217" t="str">
        <f t="shared" si="30"/>
        <v>267219000[円]</v>
      </c>
      <c r="C1983" s="216">
        <v>267219000</v>
      </c>
      <c r="D1983" s="175" t="s">
        <v>630</v>
      </c>
      <c r="E1983" s="175">
        <v>180029.030054645</v>
      </c>
      <c r="F1983" s="175" t="s">
        <v>265</v>
      </c>
      <c r="G1983" s="175" t="s">
        <v>1629</v>
      </c>
    </row>
    <row r="1984" spans="1:7">
      <c r="A1984" s="175" t="s">
        <v>4768</v>
      </c>
      <c r="B1984" s="217" t="str">
        <f t="shared" si="30"/>
        <v>267219000[kg]</v>
      </c>
      <c r="C1984" s="216">
        <v>267219000</v>
      </c>
      <c r="D1984" s="175" t="s">
        <v>630</v>
      </c>
      <c r="E1984" s="175">
        <v>201.646501655973</v>
      </c>
      <c r="F1984" s="175" t="s">
        <v>235</v>
      </c>
      <c r="G1984" s="175" t="s">
        <v>1629</v>
      </c>
    </row>
    <row r="1985" spans="1:7">
      <c r="A1985" s="175" t="s">
        <v>4769</v>
      </c>
      <c r="B1985" s="217" t="str">
        <f t="shared" si="30"/>
        <v>267300000[円]</v>
      </c>
      <c r="C1985" s="216">
        <v>267300000</v>
      </c>
      <c r="D1985" s="175" t="s">
        <v>1631</v>
      </c>
      <c r="E1985" s="175">
        <v>6739704.9515586598</v>
      </c>
      <c r="F1985" s="175" t="s">
        <v>265</v>
      </c>
      <c r="G1985" s="175" t="s">
        <v>4770</v>
      </c>
    </row>
    <row r="1986" spans="1:7">
      <c r="A1986" s="175" t="s">
        <v>4771</v>
      </c>
      <c r="B1986" s="217" t="str">
        <f t="shared" ref="B1986:B2049" si="31">C1986&amp;"["&amp;F1986&amp;"]"</f>
        <v>267311000[kg]</v>
      </c>
      <c r="C1986" s="216">
        <v>267311000</v>
      </c>
      <c r="D1986" s="175" t="s">
        <v>1631</v>
      </c>
      <c r="E1986" s="175">
        <v>6239.1786430124903</v>
      </c>
      <c r="F1986" s="175" t="s">
        <v>235</v>
      </c>
      <c r="G1986" s="175" t="s">
        <v>1630</v>
      </c>
    </row>
    <row r="1987" spans="1:7">
      <c r="A1987" s="175" t="s">
        <v>4771</v>
      </c>
      <c r="B1987" s="217" t="str">
        <f t="shared" si="31"/>
        <v>267311000[円]</v>
      </c>
      <c r="C1987" s="216">
        <v>267311000</v>
      </c>
      <c r="D1987" s="175" t="s">
        <v>1631</v>
      </c>
      <c r="E1987" s="175">
        <v>6451144.32020065</v>
      </c>
      <c r="F1987" s="175" t="s">
        <v>265</v>
      </c>
      <c r="G1987" s="175" t="s">
        <v>1630</v>
      </c>
    </row>
    <row r="1988" spans="1:7">
      <c r="A1988" s="175" t="s">
        <v>4772</v>
      </c>
      <c r="B1988" s="217" t="str">
        <f t="shared" si="31"/>
        <v>267312000[円]</v>
      </c>
      <c r="C1988" s="216">
        <v>267312000</v>
      </c>
      <c r="D1988" s="175" t="s">
        <v>1631</v>
      </c>
      <c r="E1988" s="175">
        <v>9462494.6420917306</v>
      </c>
      <c r="F1988" s="175" t="s">
        <v>265</v>
      </c>
      <c r="G1988" s="175" t="s">
        <v>1632</v>
      </c>
    </row>
    <row r="1989" spans="1:7">
      <c r="A1989" s="175" t="s">
        <v>4773</v>
      </c>
      <c r="B1989" s="217" t="str">
        <f t="shared" si="31"/>
        <v>267400000[台]</v>
      </c>
      <c r="C1989" s="216">
        <v>267400000</v>
      </c>
      <c r="D1989" s="175" t="s">
        <v>265</v>
      </c>
      <c r="E1989" s="175">
        <v>4.2075247985941304E-6</v>
      </c>
      <c r="F1989" s="175" t="s">
        <v>630</v>
      </c>
      <c r="G1989" s="175" t="s">
        <v>4774</v>
      </c>
    </row>
    <row r="1990" spans="1:7">
      <c r="A1990" s="175" t="s">
        <v>4775</v>
      </c>
      <c r="B1990" s="217" t="str">
        <f t="shared" si="31"/>
        <v>267411000[kg]</v>
      </c>
      <c r="C1990" s="216">
        <v>267411000</v>
      </c>
      <c r="D1990" s="175" t="s">
        <v>630</v>
      </c>
      <c r="E1990" s="175">
        <v>3279.6890506119798</v>
      </c>
      <c r="F1990" s="175" t="s">
        <v>235</v>
      </c>
      <c r="G1990" s="175" t="s">
        <v>1633</v>
      </c>
    </row>
    <row r="1991" spans="1:7">
      <c r="A1991" s="175" t="s">
        <v>4775</v>
      </c>
      <c r="B1991" s="217" t="str">
        <f t="shared" si="31"/>
        <v>267411000[円]</v>
      </c>
      <c r="C1991" s="216">
        <v>267411000</v>
      </c>
      <c r="D1991" s="175" t="s">
        <v>630</v>
      </c>
      <c r="E1991" s="175">
        <v>9340980.2631578892</v>
      </c>
      <c r="F1991" s="175" t="s">
        <v>265</v>
      </c>
      <c r="G1991" s="175" t="s">
        <v>1633</v>
      </c>
    </row>
    <row r="1992" spans="1:7">
      <c r="A1992" s="175" t="s">
        <v>4776</v>
      </c>
      <c r="B1992" s="217" t="str">
        <f t="shared" si="31"/>
        <v>267419000[円]</v>
      </c>
      <c r="C1992" s="216">
        <v>267419000</v>
      </c>
      <c r="D1992" s="175" t="s">
        <v>630</v>
      </c>
      <c r="E1992" s="175">
        <v>7055442.5228891103</v>
      </c>
      <c r="F1992" s="175" t="s">
        <v>265</v>
      </c>
      <c r="G1992" s="175" t="s">
        <v>1634</v>
      </c>
    </row>
    <row r="1993" spans="1:7">
      <c r="A1993" s="175" t="s">
        <v>4776</v>
      </c>
      <c r="B1993" s="217" t="str">
        <f t="shared" si="31"/>
        <v>267419000[kg]</v>
      </c>
      <c r="C1993" s="216">
        <v>267419000</v>
      </c>
      <c r="D1993" s="175" t="s">
        <v>630</v>
      </c>
      <c r="E1993" s="175">
        <v>6966.0211144515097</v>
      </c>
      <c r="F1993" s="175" t="s">
        <v>235</v>
      </c>
      <c r="G1993" s="175" t="s">
        <v>1634</v>
      </c>
    </row>
    <row r="1994" spans="1:7">
      <c r="A1994" s="175" t="s">
        <v>4777</v>
      </c>
      <c r="B1994" s="217" t="str">
        <f t="shared" si="31"/>
        <v>267421000[円]</v>
      </c>
      <c r="C1994" s="216">
        <v>267421000</v>
      </c>
      <c r="D1994" s="175" t="s">
        <v>630</v>
      </c>
      <c r="E1994" s="175">
        <v>97943.901423732794</v>
      </c>
      <c r="F1994" s="175" t="s">
        <v>265</v>
      </c>
      <c r="G1994" s="175" t="s">
        <v>1635</v>
      </c>
    </row>
    <row r="1995" spans="1:7">
      <c r="A1995" s="175" t="s">
        <v>4778</v>
      </c>
      <c r="B1995" s="217" t="str">
        <f t="shared" si="31"/>
        <v>267422000[円]</v>
      </c>
      <c r="C1995" s="216">
        <v>267422000</v>
      </c>
      <c r="D1995" s="175" t="s">
        <v>630</v>
      </c>
      <c r="E1995" s="175">
        <v>337966.48951657698</v>
      </c>
      <c r="F1995" s="175" t="s">
        <v>265</v>
      </c>
      <c r="G1995" s="175" t="s">
        <v>1636</v>
      </c>
    </row>
    <row r="1996" spans="1:7">
      <c r="A1996" s="175" t="s">
        <v>4778</v>
      </c>
      <c r="B1996" s="217" t="str">
        <f t="shared" si="31"/>
        <v>267422000[kg]</v>
      </c>
      <c r="C1996" s="216">
        <v>267422000</v>
      </c>
      <c r="D1996" s="175" t="s">
        <v>630</v>
      </c>
      <c r="E1996" s="175">
        <v>346.62639076165101</v>
      </c>
      <c r="F1996" s="175" t="s">
        <v>235</v>
      </c>
      <c r="G1996" s="175" t="s">
        <v>1636</v>
      </c>
    </row>
    <row r="1997" spans="1:7">
      <c r="A1997" s="175" t="s">
        <v>4779</v>
      </c>
      <c r="B1997" s="217" t="str">
        <f t="shared" si="31"/>
        <v>267511000[kg]</v>
      </c>
      <c r="C1997" s="216">
        <v>267511000</v>
      </c>
      <c r="D1997" s="175" t="s">
        <v>630</v>
      </c>
      <c r="E1997" s="175">
        <v>26.4146507652735</v>
      </c>
      <c r="F1997" s="175" t="s">
        <v>235</v>
      </c>
      <c r="G1997" s="175" t="s">
        <v>1638</v>
      </c>
    </row>
    <row r="1998" spans="1:7">
      <c r="A1998" s="175" t="s">
        <v>4779</v>
      </c>
      <c r="B1998" s="217" t="str">
        <f t="shared" si="31"/>
        <v>267511000[円]</v>
      </c>
      <c r="C1998" s="216">
        <v>267511000</v>
      </c>
      <c r="D1998" s="175" t="s">
        <v>630</v>
      </c>
      <c r="E1998" s="175">
        <v>41022.310382818701</v>
      </c>
      <c r="F1998" s="175" t="s">
        <v>265</v>
      </c>
      <c r="G1998" s="175" t="s">
        <v>1638</v>
      </c>
    </row>
    <row r="1999" spans="1:7">
      <c r="A1999" s="175" t="s">
        <v>4780</v>
      </c>
      <c r="B1999" s="217" t="str">
        <f t="shared" si="31"/>
        <v>267512000[kg]</v>
      </c>
      <c r="C1999" s="216">
        <v>267512000</v>
      </c>
      <c r="D1999" s="175" t="s">
        <v>629</v>
      </c>
      <c r="E1999" s="175">
        <v>0.73549817350575997</v>
      </c>
      <c r="F1999" s="175" t="s">
        <v>235</v>
      </c>
      <c r="G1999" s="175" t="s">
        <v>4781</v>
      </c>
    </row>
    <row r="2000" spans="1:7">
      <c r="A2000" s="175" t="s">
        <v>4780</v>
      </c>
      <c r="B2000" s="217" t="str">
        <f t="shared" si="31"/>
        <v>267512000[円]</v>
      </c>
      <c r="C2000" s="216">
        <v>267512000</v>
      </c>
      <c r="D2000" s="175" t="s">
        <v>629</v>
      </c>
      <c r="E2000" s="175">
        <v>911.00808700502</v>
      </c>
      <c r="F2000" s="175" t="s">
        <v>265</v>
      </c>
      <c r="G2000" s="175" t="s">
        <v>4781</v>
      </c>
    </row>
    <row r="2001" spans="1:7">
      <c r="A2001" s="175" t="s">
        <v>4782</v>
      </c>
      <c r="B2001" s="217" t="str">
        <f t="shared" si="31"/>
        <v>267513000[円]</v>
      </c>
      <c r="C2001" s="216">
        <v>267513000</v>
      </c>
      <c r="D2001" s="175" t="s">
        <v>1114</v>
      </c>
      <c r="E2001" s="175">
        <v>1223.2125722327701</v>
      </c>
      <c r="F2001" s="175" t="s">
        <v>265</v>
      </c>
      <c r="G2001" s="175" t="s">
        <v>1639</v>
      </c>
    </row>
    <row r="2002" spans="1:7">
      <c r="A2002" s="175" t="s">
        <v>4782</v>
      </c>
      <c r="B2002" s="217" t="str">
        <f t="shared" si="31"/>
        <v>267513000[kg]</v>
      </c>
      <c r="C2002" s="216">
        <v>267513000</v>
      </c>
      <c r="D2002" s="175" t="s">
        <v>1114</v>
      </c>
      <c r="E2002" s="175">
        <v>1.4079732601296999</v>
      </c>
      <c r="F2002" s="175" t="s">
        <v>235</v>
      </c>
      <c r="G2002" s="175" t="s">
        <v>1639</v>
      </c>
    </row>
    <row r="2003" spans="1:7">
      <c r="A2003" s="175" t="s">
        <v>4783</v>
      </c>
      <c r="B2003" s="217" t="str">
        <f t="shared" si="31"/>
        <v>267600000[台]</v>
      </c>
      <c r="C2003" s="216">
        <v>267600000</v>
      </c>
      <c r="D2003" s="175" t="s">
        <v>265</v>
      </c>
      <c r="E2003" s="175">
        <v>5.0915754561068004E-9</v>
      </c>
      <c r="F2003" s="175" t="s">
        <v>630</v>
      </c>
      <c r="G2003" s="175" t="s">
        <v>4784</v>
      </c>
    </row>
    <row r="2004" spans="1:7">
      <c r="A2004" s="175" t="s">
        <v>4785</v>
      </c>
      <c r="B2004" s="217" t="str">
        <f t="shared" si="31"/>
        <v>267611000[台]</v>
      </c>
      <c r="C2004" s="216">
        <v>267611000</v>
      </c>
      <c r="D2004" s="175" t="s">
        <v>265</v>
      </c>
      <c r="E2004" s="175">
        <v>5.0915754561068004E-9</v>
      </c>
      <c r="F2004" s="175" t="s">
        <v>630</v>
      </c>
      <c r="G2004" s="175" t="s">
        <v>1641</v>
      </c>
    </row>
    <row r="2005" spans="1:7">
      <c r="A2005" s="175" t="s">
        <v>4786</v>
      </c>
      <c r="B2005" s="217" t="str">
        <f t="shared" si="31"/>
        <v>267700000[台]</v>
      </c>
      <c r="C2005" s="216">
        <v>267700000</v>
      </c>
      <c r="D2005" s="175" t="s">
        <v>265</v>
      </c>
      <c r="E2005" s="175">
        <v>1.38887764641053E-4</v>
      </c>
      <c r="F2005" s="175" t="s">
        <v>630</v>
      </c>
      <c r="G2005" s="175" t="s">
        <v>4787</v>
      </c>
    </row>
    <row r="2006" spans="1:7">
      <c r="A2006" s="175" t="s">
        <v>4788</v>
      </c>
      <c r="B2006" s="217" t="str">
        <f t="shared" si="31"/>
        <v>267711000[円]</v>
      </c>
      <c r="C2006" s="216">
        <v>267711000</v>
      </c>
      <c r="D2006" s="175" t="s">
        <v>630</v>
      </c>
      <c r="E2006" s="175">
        <v>48136.020570088098</v>
      </c>
      <c r="F2006" s="175" t="s">
        <v>265</v>
      </c>
      <c r="G2006" s="175" t="s">
        <v>1642</v>
      </c>
    </row>
    <row r="2007" spans="1:7">
      <c r="A2007" s="175" t="s">
        <v>4789</v>
      </c>
      <c r="B2007" s="217" t="str">
        <f t="shared" si="31"/>
        <v>267712000[円]</v>
      </c>
      <c r="C2007" s="216">
        <v>267712000</v>
      </c>
      <c r="D2007" s="175" t="s">
        <v>630</v>
      </c>
      <c r="E2007" s="175">
        <v>75994.908476580997</v>
      </c>
      <c r="F2007" s="175" t="s">
        <v>265</v>
      </c>
      <c r="G2007" s="175" t="s">
        <v>1643</v>
      </c>
    </row>
    <row r="2008" spans="1:7">
      <c r="A2008" s="175" t="s">
        <v>4790</v>
      </c>
      <c r="B2008" s="217" t="str">
        <f t="shared" si="31"/>
        <v>267713000[円]</v>
      </c>
      <c r="C2008" s="216">
        <v>267713000</v>
      </c>
      <c r="D2008" s="175" t="s">
        <v>630</v>
      </c>
      <c r="E2008" s="175">
        <v>36411.217301261298</v>
      </c>
      <c r="F2008" s="175" t="s">
        <v>265</v>
      </c>
      <c r="G2008" s="175" t="s">
        <v>1644</v>
      </c>
    </row>
    <row r="2009" spans="1:7">
      <c r="A2009" s="175" t="s">
        <v>4791</v>
      </c>
      <c r="B2009" s="217" t="str">
        <f t="shared" si="31"/>
        <v>267714000[円]</v>
      </c>
      <c r="C2009" s="216">
        <v>267714000</v>
      </c>
      <c r="D2009" s="175" t="s">
        <v>630</v>
      </c>
      <c r="E2009" s="175">
        <v>19322.701868897901</v>
      </c>
      <c r="F2009" s="175" t="s">
        <v>265</v>
      </c>
      <c r="G2009" s="175" t="s">
        <v>1645</v>
      </c>
    </row>
    <row r="2010" spans="1:7">
      <c r="A2010" s="175" t="s">
        <v>4792</v>
      </c>
      <c r="B2010" s="217" t="str">
        <f t="shared" si="31"/>
        <v>267719000[台]</v>
      </c>
      <c r="C2010" s="216">
        <v>267719000</v>
      </c>
      <c r="D2010" s="175" t="s">
        <v>265</v>
      </c>
      <c r="E2010" s="175">
        <v>4.3271857298025301E-5</v>
      </c>
      <c r="F2010" s="175" t="s">
        <v>630</v>
      </c>
      <c r="G2010" s="175" t="s">
        <v>1646</v>
      </c>
    </row>
    <row r="2011" spans="1:7">
      <c r="A2011" s="175" t="s">
        <v>4793</v>
      </c>
      <c r="B2011" s="217" t="str">
        <f t="shared" si="31"/>
        <v>267722000[円]</v>
      </c>
      <c r="C2011" s="216">
        <v>267722000</v>
      </c>
      <c r="D2011" s="175" t="s">
        <v>630</v>
      </c>
      <c r="E2011" s="175">
        <v>3396.8493060710298</v>
      </c>
      <c r="F2011" s="175" t="s">
        <v>265</v>
      </c>
      <c r="G2011" s="175" t="s">
        <v>4794</v>
      </c>
    </row>
    <row r="2012" spans="1:7">
      <c r="A2012" s="175" t="s">
        <v>4795</v>
      </c>
      <c r="B2012" s="217" t="str">
        <f t="shared" si="31"/>
        <v>267811000[kg]</v>
      </c>
      <c r="C2012" s="216">
        <v>267811000</v>
      </c>
      <c r="D2012" s="175" t="s">
        <v>630</v>
      </c>
      <c r="E2012" s="175">
        <v>2737.1674360050401</v>
      </c>
      <c r="F2012" s="175" t="s">
        <v>235</v>
      </c>
      <c r="G2012" s="175" t="s">
        <v>1647</v>
      </c>
    </row>
    <row r="2013" spans="1:7">
      <c r="A2013" s="175" t="s">
        <v>4795</v>
      </c>
      <c r="B2013" s="217" t="str">
        <f t="shared" si="31"/>
        <v>267811000[円]</v>
      </c>
      <c r="C2013" s="216">
        <v>267811000</v>
      </c>
      <c r="D2013" s="175" t="s">
        <v>630</v>
      </c>
      <c r="E2013" s="175">
        <v>7647625.60220234</v>
      </c>
      <c r="F2013" s="175" t="s">
        <v>265</v>
      </c>
      <c r="G2013" s="175" t="s">
        <v>1647</v>
      </c>
    </row>
    <row r="2014" spans="1:7">
      <c r="A2014" s="175" t="s">
        <v>4796</v>
      </c>
      <c r="B2014" s="217" t="str">
        <f t="shared" si="31"/>
        <v>267812000[円]</v>
      </c>
      <c r="C2014" s="216">
        <v>267812000</v>
      </c>
      <c r="D2014" s="175" t="s">
        <v>630</v>
      </c>
      <c r="E2014" s="175">
        <v>2286768.4478371502</v>
      </c>
      <c r="F2014" s="175" t="s">
        <v>265</v>
      </c>
      <c r="G2014" s="175" t="s">
        <v>1648</v>
      </c>
    </row>
    <row r="2015" spans="1:7">
      <c r="A2015" s="175" t="s">
        <v>4796</v>
      </c>
      <c r="B2015" s="217" t="str">
        <f t="shared" si="31"/>
        <v>267812000[kg]</v>
      </c>
      <c r="C2015" s="216">
        <v>267812000</v>
      </c>
      <c r="D2015" s="175" t="s">
        <v>630</v>
      </c>
      <c r="E2015" s="175">
        <v>1504.6672118772001</v>
      </c>
      <c r="F2015" s="175" t="s">
        <v>235</v>
      </c>
      <c r="G2015" s="175" t="s">
        <v>1648</v>
      </c>
    </row>
    <row r="2016" spans="1:7">
      <c r="A2016" s="175" t="s">
        <v>4797</v>
      </c>
      <c r="B2016" s="217" t="str">
        <f t="shared" si="31"/>
        <v>267813000[円]</v>
      </c>
      <c r="C2016" s="216">
        <v>267813000</v>
      </c>
      <c r="D2016" s="175" t="s">
        <v>630</v>
      </c>
      <c r="E2016" s="175">
        <v>5135023.7322008498</v>
      </c>
      <c r="F2016" s="175" t="s">
        <v>265</v>
      </c>
      <c r="G2016" s="175" t="s">
        <v>4798</v>
      </c>
    </row>
    <row r="2017" spans="1:7">
      <c r="A2017" s="175" t="s">
        <v>4797</v>
      </c>
      <c r="B2017" s="217" t="str">
        <f t="shared" si="31"/>
        <v>267813000[kg]</v>
      </c>
      <c r="C2017" s="216">
        <v>267813000</v>
      </c>
      <c r="D2017" s="175" t="s">
        <v>630</v>
      </c>
      <c r="E2017" s="175">
        <v>2130.0905690096502</v>
      </c>
      <c r="F2017" s="175" t="s">
        <v>235</v>
      </c>
      <c r="G2017" s="175" t="s">
        <v>4798</v>
      </c>
    </row>
    <row r="2018" spans="1:7">
      <c r="A2018" s="175" t="s">
        <v>4799</v>
      </c>
      <c r="B2018" s="217" t="str">
        <f t="shared" si="31"/>
        <v>267814000[kg]</v>
      </c>
      <c r="C2018" s="216">
        <v>267814000</v>
      </c>
      <c r="D2018" s="175" t="s">
        <v>630</v>
      </c>
      <c r="E2018" s="175">
        <v>806.58862693735</v>
      </c>
      <c r="F2018" s="175" t="s">
        <v>235</v>
      </c>
      <c r="G2018" s="175" t="s">
        <v>1649</v>
      </c>
    </row>
    <row r="2019" spans="1:7">
      <c r="A2019" s="175" t="s">
        <v>4799</v>
      </c>
      <c r="B2019" s="217" t="str">
        <f t="shared" si="31"/>
        <v>267814000[円]</v>
      </c>
      <c r="C2019" s="216">
        <v>267814000</v>
      </c>
      <c r="D2019" s="175" t="s">
        <v>630</v>
      </c>
      <c r="E2019" s="175">
        <v>9024463.9081848394</v>
      </c>
      <c r="F2019" s="175" t="s">
        <v>265</v>
      </c>
      <c r="G2019" s="175" t="s">
        <v>1649</v>
      </c>
    </row>
    <row r="2020" spans="1:7">
      <c r="A2020" s="175" t="s">
        <v>4800</v>
      </c>
      <c r="B2020" s="217" t="str">
        <f t="shared" si="31"/>
        <v>267815000[円]</v>
      </c>
      <c r="C2020" s="216">
        <v>267815000</v>
      </c>
      <c r="D2020" s="175" t="s">
        <v>630</v>
      </c>
      <c r="E2020" s="175">
        <v>86535303.776683107</v>
      </c>
      <c r="F2020" s="175" t="s">
        <v>265</v>
      </c>
      <c r="G2020" s="175" t="s">
        <v>1650</v>
      </c>
    </row>
    <row r="2021" spans="1:7">
      <c r="A2021" s="175" t="s">
        <v>4800</v>
      </c>
      <c r="B2021" s="217" t="str">
        <f t="shared" si="31"/>
        <v>267815000[kg]</v>
      </c>
      <c r="C2021" s="216">
        <v>267815000</v>
      </c>
      <c r="D2021" s="175" t="s">
        <v>630</v>
      </c>
      <c r="E2021" s="175">
        <v>9650.9425911559392</v>
      </c>
      <c r="F2021" s="175" t="s">
        <v>235</v>
      </c>
      <c r="G2021" s="175" t="s">
        <v>1650</v>
      </c>
    </row>
    <row r="2022" spans="1:7">
      <c r="A2022" s="175" t="s">
        <v>4801</v>
      </c>
      <c r="B2022" s="217" t="str">
        <f t="shared" si="31"/>
        <v>267816000[円]</v>
      </c>
      <c r="C2022" s="216">
        <v>267816000</v>
      </c>
      <c r="D2022" s="175" t="s">
        <v>630</v>
      </c>
      <c r="E2022" s="175">
        <v>6505888.1256133504</v>
      </c>
      <c r="F2022" s="175" t="s">
        <v>265</v>
      </c>
      <c r="G2022" s="175" t="s">
        <v>1651</v>
      </c>
    </row>
    <row r="2023" spans="1:7">
      <c r="A2023" s="175" t="s">
        <v>4801</v>
      </c>
      <c r="B2023" s="217" t="str">
        <f t="shared" si="31"/>
        <v>267816000[kg]</v>
      </c>
      <c r="C2023" s="216">
        <v>267816000</v>
      </c>
      <c r="D2023" s="175" t="s">
        <v>630</v>
      </c>
      <c r="E2023" s="175">
        <v>9650.9425911559392</v>
      </c>
      <c r="F2023" s="175" t="s">
        <v>235</v>
      </c>
      <c r="G2023" s="175" t="s">
        <v>1651</v>
      </c>
    </row>
    <row r="2024" spans="1:7">
      <c r="A2024" s="175" t="s">
        <v>4802</v>
      </c>
      <c r="B2024" s="217" t="str">
        <f t="shared" si="31"/>
        <v>267817000[円]</v>
      </c>
      <c r="C2024" s="216">
        <v>267817000</v>
      </c>
      <c r="D2024" s="175" t="s">
        <v>630</v>
      </c>
      <c r="E2024" s="175">
        <v>3293225.4802831099</v>
      </c>
      <c r="F2024" s="175" t="s">
        <v>265</v>
      </c>
      <c r="G2024" s="175" t="s">
        <v>1652</v>
      </c>
    </row>
    <row r="2025" spans="1:7">
      <c r="A2025" s="175" t="s">
        <v>4802</v>
      </c>
      <c r="B2025" s="217" t="str">
        <f t="shared" si="31"/>
        <v>267817000[kg]</v>
      </c>
      <c r="C2025" s="216">
        <v>267817000</v>
      </c>
      <c r="D2025" s="175" t="s">
        <v>630</v>
      </c>
      <c r="E2025" s="175">
        <v>1268.0673976999201</v>
      </c>
      <c r="F2025" s="175" t="s">
        <v>235</v>
      </c>
      <c r="G2025" s="175" t="s">
        <v>1652</v>
      </c>
    </row>
    <row r="2026" spans="1:7">
      <c r="A2026" s="175" t="s">
        <v>4803</v>
      </c>
      <c r="B2026" s="217" t="str">
        <f t="shared" si="31"/>
        <v>267818000[円]</v>
      </c>
      <c r="C2026" s="216">
        <v>267818000</v>
      </c>
      <c r="D2026" s="175" t="s">
        <v>630</v>
      </c>
      <c r="E2026" s="175">
        <v>391770.64348801301</v>
      </c>
      <c r="F2026" s="175" t="s">
        <v>265</v>
      </c>
      <c r="G2026" s="175" t="s">
        <v>1653</v>
      </c>
    </row>
    <row r="2027" spans="1:7">
      <c r="A2027" s="175" t="s">
        <v>4803</v>
      </c>
      <c r="B2027" s="217" t="str">
        <f t="shared" si="31"/>
        <v>267818000[kg]</v>
      </c>
      <c r="C2027" s="216">
        <v>267818000</v>
      </c>
      <c r="D2027" s="175" t="s">
        <v>630</v>
      </c>
      <c r="E2027" s="175">
        <v>634.14976630187005</v>
      </c>
      <c r="F2027" s="175" t="s">
        <v>235</v>
      </c>
      <c r="G2027" s="175" t="s">
        <v>1653</v>
      </c>
    </row>
    <row r="2028" spans="1:7">
      <c r="A2028" s="175" t="s">
        <v>4804</v>
      </c>
      <c r="B2028" s="217" t="str">
        <f t="shared" si="31"/>
        <v>267821000[kg]</v>
      </c>
      <c r="C2028" s="216">
        <v>267821000</v>
      </c>
      <c r="D2028" s="175" t="s">
        <v>1655</v>
      </c>
      <c r="E2028" s="175">
        <v>10370.586276780499</v>
      </c>
      <c r="F2028" s="175" t="s">
        <v>235</v>
      </c>
      <c r="G2028" s="175" t="s">
        <v>1654</v>
      </c>
    </row>
    <row r="2029" spans="1:7">
      <c r="A2029" s="175" t="s">
        <v>4804</v>
      </c>
      <c r="B2029" s="217" t="str">
        <f t="shared" si="31"/>
        <v>267821000[円]</v>
      </c>
      <c r="C2029" s="216">
        <v>267821000</v>
      </c>
      <c r="D2029" s="175" t="s">
        <v>1655</v>
      </c>
      <c r="E2029" s="175">
        <v>26912337.662337702</v>
      </c>
      <c r="F2029" s="175" t="s">
        <v>265</v>
      </c>
      <c r="G2029" s="175" t="s">
        <v>1654</v>
      </c>
    </row>
    <row r="2030" spans="1:7">
      <c r="A2030" s="175" t="s">
        <v>4805</v>
      </c>
      <c r="B2030" s="217" t="str">
        <f t="shared" si="31"/>
        <v>267829000[台]</v>
      </c>
      <c r="C2030" s="216">
        <v>267829000</v>
      </c>
      <c r="D2030" s="175" t="s">
        <v>265</v>
      </c>
      <c r="E2030" s="175">
        <v>1054333923.80952</v>
      </c>
      <c r="F2030" s="175" t="s">
        <v>630</v>
      </c>
      <c r="G2030" s="175" t="s">
        <v>1656</v>
      </c>
    </row>
    <row r="2031" spans="1:7">
      <c r="A2031" s="175" t="s">
        <v>4806</v>
      </c>
      <c r="B2031" s="217" t="str">
        <f t="shared" si="31"/>
        <v>268100000[台]</v>
      </c>
      <c r="C2031" s="216">
        <v>268100000</v>
      </c>
      <c r="D2031" s="175" t="s">
        <v>265</v>
      </c>
      <c r="E2031" s="175">
        <v>1.0723040262513699E-5</v>
      </c>
      <c r="F2031" s="175" t="s">
        <v>630</v>
      </c>
      <c r="G2031" s="175" t="s">
        <v>4807</v>
      </c>
    </row>
    <row r="2032" spans="1:7">
      <c r="A2032" s="175" t="s">
        <v>4808</v>
      </c>
      <c r="B2032" s="217" t="str">
        <f t="shared" si="31"/>
        <v>268112000[台]</v>
      </c>
      <c r="C2032" s="216">
        <v>268112000</v>
      </c>
      <c r="D2032" s="175" t="s">
        <v>265</v>
      </c>
      <c r="E2032" s="175">
        <v>5.9367506426735097E-6</v>
      </c>
      <c r="F2032" s="175" t="s">
        <v>630</v>
      </c>
      <c r="G2032" s="175" t="s">
        <v>1658</v>
      </c>
    </row>
    <row r="2033" spans="1:7">
      <c r="A2033" s="175" t="s">
        <v>4809</v>
      </c>
      <c r="B2033" s="217" t="str">
        <f t="shared" si="31"/>
        <v>268113000[円]</v>
      </c>
      <c r="C2033" s="216">
        <v>268113000</v>
      </c>
      <c r="D2033" s="175" t="s">
        <v>630</v>
      </c>
      <c r="E2033" s="175">
        <v>619274.55538937706</v>
      </c>
      <c r="F2033" s="175" t="s">
        <v>265</v>
      </c>
      <c r="G2033" s="175" t="s">
        <v>1659</v>
      </c>
    </row>
    <row r="2034" spans="1:7">
      <c r="A2034" s="175" t="s">
        <v>4810</v>
      </c>
      <c r="B2034" s="217" t="str">
        <f t="shared" si="31"/>
        <v>268114000[円]</v>
      </c>
      <c r="C2034" s="216">
        <v>268114000</v>
      </c>
      <c r="D2034" s="175" t="s">
        <v>630</v>
      </c>
      <c r="E2034" s="175">
        <v>859882.69189978996</v>
      </c>
      <c r="F2034" s="175" t="s">
        <v>265</v>
      </c>
      <c r="G2034" s="175" t="s">
        <v>1660</v>
      </c>
    </row>
    <row r="2035" spans="1:7">
      <c r="A2035" s="175" t="s">
        <v>4811</v>
      </c>
      <c r="B2035" s="217" t="str">
        <f t="shared" si="31"/>
        <v>268115000[円]</v>
      </c>
      <c r="C2035" s="216">
        <v>268115000</v>
      </c>
      <c r="D2035" s="175" t="s">
        <v>630</v>
      </c>
      <c r="E2035" s="175">
        <v>177768.96050787499</v>
      </c>
      <c r="F2035" s="175" t="s">
        <v>265</v>
      </c>
      <c r="G2035" s="175" t="s">
        <v>4812</v>
      </c>
    </row>
    <row r="2036" spans="1:7">
      <c r="A2036" s="175" t="s">
        <v>4813</v>
      </c>
      <c r="B2036" s="217" t="str">
        <f t="shared" si="31"/>
        <v>268119000[台]</v>
      </c>
      <c r="C2036" s="216">
        <v>268119000</v>
      </c>
      <c r="D2036" s="175" t="s">
        <v>265</v>
      </c>
      <c r="E2036" s="175">
        <v>6.3431156705665496E-6</v>
      </c>
      <c r="F2036" s="175" t="s">
        <v>630</v>
      </c>
      <c r="G2036" s="175" t="s">
        <v>1661</v>
      </c>
    </row>
    <row r="2037" spans="1:7">
      <c r="A2037" s="175" t="s">
        <v>4814</v>
      </c>
      <c r="B2037" s="217" t="str">
        <f t="shared" si="31"/>
        <v>268200000[台]</v>
      </c>
      <c r="C2037" s="216">
        <v>268200000</v>
      </c>
      <c r="D2037" s="175" t="s">
        <v>265</v>
      </c>
      <c r="E2037" s="175">
        <v>4.98699241748189E-5</v>
      </c>
      <c r="F2037" s="175" t="s">
        <v>630</v>
      </c>
      <c r="G2037" s="175" t="s">
        <v>4815</v>
      </c>
    </row>
    <row r="2038" spans="1:7">
      <c r="A2038" s="175" t="s">
        <v>4816</v>
      </c>
      <c r="B2038" s="217" t="str">
        <f t="shared" si="31"/>
        <v>268211000[円]</v>
      </c>
      <c r="C2038" s="216">
        <v>268211000</v>
      </c>
      <c r="D2038" s="175" t="s">
        <v>630</v>
      </c>
      <c r="E2038" s="175">
        <v>21703.069540416302</v>
      </c>
      <c r="F2038" s="175" t="s">
        <v>265</v>
      </c>
      <c r="G2038" s="175" t="s">
        <v>1662</v>
      </c>
    </row>
    <row r="2039" spans="1:7">
      <c r="A2039" s="175" t="s">
        <v>4817</v>
      </c>
      <c r="B2039" s="217" t="str">
        <f t="shared" si="31"/>
        <v>268212000[円]</v>
      </c>
      <c r="C2039" s="216">
        <v>268212000</v>
      </c>
      <c r="D2039" s="175" t="s">
        <v>630</v>
      </c>
      <c r="E2039" s="175">
        <v>264988.10295489401</v>
      </c>
      <c r="F2039" s="175" t="s">
        <v>265</v>
      </c>
      <c r="G2039" s="175" t="s">
        <v>4818</v>
      </c>
    </row>
    <row r="2040" spans="1:7">
      <c r="A2040" s="175" t="s">
        <v>4819</v>
      </c>
      <c r="B2040" s="217" t="str">
        <f t="shared" si="31"/>
        <v>268213000[円]</v>
      </c>
      <c r="C2040" s="216">
        <v>268213000</v>
      </c>
      <c r="D2040" s="175" t="s">
        <v>630</v>
      </c>
      <c r="E2040" s="175">
        <v>679406.23279829801</v>
      </c>
      <c r="F2040" s="175" t="s">
        <v>265</v>
      </c>
      <c r="G2040" s="175" t="s">
        <v>4820</v>
      </c>
    </row>
    <row r="2041" spans="1:7">
      <c r="A2041" s="175" t="s">
        <v>4821</v>
      </c>
      <c r="B2041" s="217" t="str">
        <f t="shared" si="31"/>
        <v>268219000[台]</v>
      </c>
      <c r="C2041" s="216">
        <v>268219000</v>
      </c>
      <c r="D2041" s="175" t="s">
        <v>265</v>
      </c>
      <c r="E2041" s="175">
        <v>3.5570383811723302E-5</v>
      </c>
      <c r="F2041" s="175" t="s">
        <v>630</v>
      </c>
      <c r="G2041" s="175" t="s">
        <v>1663</v>
      </c>
    </row>
    <row r="2042" spans="1:7">
      <c r="A2042" s="175" t="s">
        <v>4822</v>
      </c>
      <c r="B2042" s="217" t="str">
        <f t="shared" si="31"/>
        <v>268221000[円]</v>
      </c>
      <c r="C2042" s="216">
        <v>268221000</v>
      </c>
      <c r="D2042" s="175" t="s">
        <v>630</v>
      </c>
      <c r="E2042" s="175">
        <v>1107211.8480360601</v>
      </c>
      <c r="F2042" s="175" t="s">
        <v>265</v>
      </c>
      <c r="G2042" s="175" t="s">
        <v>1664</v>
      </c>
    </row>
    <row r="2043" spans="1:7">
      <c r="A2043" s="175" t="s">
        <v>4823</v>
      </c>
      <c r="B2043" s="217" t="str">
        <f t="shared" si="31"/>
        <v>268222000[円]</v>
      </c>
      <c r="C2043" s="216">
        <v>268222000</v>
      </c>
      <c r="D2043" s="175" t="s">
        <v>630</v>
      </c>
      <c r="E2043" s="175">
        <v>123794.375551619</v>
      </c>
      <c r="F2043" s="175" t="s">
        <v>265</v>
      </c>
      <c r="G2043" s="175" t="s">
        <v>1665</v>
      </c>
    </row>
    <row r="2044" spans="1:7">
      <c r="A2044" s="175" t="s">
        <v>4824</v>
      </c>
      <c r="B2044" s="217" t="str">
        <f t="shared" si="31"/>
        <v>268400000[円]</v>
      </c>
      <c r="C2044" s="216">
        <v>268400000</v>
      </c>
      <c r="D2044" s="175" t="s">
        <v>630</v>
      </c>
      <c r="E2044" s="175">
        <v>292192.61429955001</v>
      </c>
      <c r="F2044" s="175" t="s">
        <v>265</v>
      </c>
      <c r="G2044" s="175" t="s">
        <v>4825</v>
      </c>
    </row>
    <row r="2045" spans="1:7">
      <c r="A2045" s="175" t="s">
        <v>4826</v>
      </c>
      <c r="B2045" s="217" t="str">
        <f t="shared" si="31"/>
        <v>268411000[円]</v>
      </c>
      <c r="C2045" s="216">
        <v>268411000</v>
      </c>
      <c r="D2045" s="175" t="s">
        <v>630</v>
      </c>
      <c r="E2045" s="175">
        <v>292192.61429955001</v>
      </c>
      <c r="F2045" s="175" t="s">
        <v>265</v>
      </c>
      <c r="G2045" s="175" t="s">
        <v>1670</v>
      </c>
    </row>
    <row r="2046" spans="1:7">
      <c r="A2046" s="175" t="s">
        <v>4827</v>
      </c>
      <c r="B2046" s="217" t="str">
        <f t="shared" si="31"/>
        <v>268911000[円]</v>
      </c>
      <c r="C2046" s="216">
        <v>268911000</v>
      </c>
      <c r="D2046" s="175" t="s">
        <v>630</v>
      </c>
      <c r="E2046" s="175">
        <v>1567659.72720747</v>
      </c>
      <c r="F2046" s="175" t="s">
        <v>265</v>
      </c>
      <c r="G2046" s="175" t="s">
        <v>1671</v>
      </c>
    </row>
    <row r="2047" spans="1:7">
      <c r="A2047" s="175" t="s">
        <v>4828</v>
      </c>
      <c r="B2047" s="217" t="str">
        <f t="shared" si="31"/>
        <v>268912000[円]</v>
      </c>
      <c r="C2047" s="216">
        <v>268912000</v>
      </c>
      <c r="D2047" s="175" t="s">
        <v>629</v>
      </c>
      <c r="E2047" s="175">
        <v>686802.363755745</v>
      </c>
      <c r="F2047" s="175" t="s">
        <v>265</v>
      </c>
      <c r="G2047" s="175" t="s">
        <v>1672</v>
      </c>
    </row>
    <row r="2048" spans="1:7">
      <c r="A2048" s="175" t="s">
        <v>4829</v>
      </c>
      <c r="B2048" s="217" t="str">
        <f t="shared" si="31"/>
        <v>268919000[台]</v>
      </c>
      <c r="C2048" s="216">
        <v>268919000</v>
      </c>
      <c r="D2048" s="175" t="s">
        <v>265</v>
      </c>
      <c r="E2048" s="175">
        <v>6.0307414104882499E-7</v>
      </c>
      <c r="F2048" s="175" t="s">
        <v>630</v>
      </c>
      <c r="G2048" s="175" t="s">
        <v>4830</v>
      </c>
    </row>
    <row r="2049" spans="1:7">
      <c r="A2049" s="175" t="s">
        <v>4831</v>
      </c>
      <c r="B2049" s="217" t="str">
        <f t="shared" si="31"/>
        <v>269200000[個]</v>
      </c>
      <c r="C2049" s="216">
        <v>269200000</v>
      </c>
      <c r="D2049" s="175" t="s">
        <v>265</v>
      </c>
      <c r="E2049" s="175">
        <v>2.7873861556088699E-4</v>
      </c>
      <c r="F2049" s="175" t="s">
        <v>629</v>
      </c>
      <c r="G2049" s="175" t="s">
        <v>4832</v>
      </c>
    </row>
    <row r="2050" spans="1:7">
      <c r="A2050" s="175" t="s">
        <v>4833</v>
      </c>
      <c r="B2050" s="217" t="str">
        <f t="shared" ref="B2050:B2113" si="32">C2050&amp;"["&amp;F2050&amp;"]"</f>
        <v>269211000[個]</v>
      </c>
      <c r="C2050" s="216">
        <v>269211000</v>
      </c>
      <c r="D2050" s="175" t="s">
        <v>235</v>
      </c>
      <c r="E2050" s="175">
        <v>1.6970650261048E-2</v>
      </c>
      <c r="F2050" s="175" t="s">
        <v>629</v>
      </c>
      <c r="G2050" s="175" t="s">
        <v>1673</v>
      </c>
    </row>
    <row r="2051" spans="1:7">
      <c r="A2051" s="175" t="s">
        <v>4833</v>
      </c>
      <c r="B2051" s="217" t="str">
        <f t="shared" si="32"/>
        <v>269211000[円]</v>
      </c>
      <c r="C2051" s="216">
        <v>269211000</v>
      </c>
      <c r="D2051" s="175" t="s">
        <v>235</v>
      </c>
      <c r="E2051" s="175">
        <v>1629.1231856312399</v>
      </c>
      <c r="F2051" s="175" t="s">
        <v>265</v>
      </c>
      <c r="G2051" s="175" t="s">
        <v>1673</v>
      </c>
    </row>
    <row r="2052" spans="1:7">
      <c r="A2052" s="175" t="s">
        <v>4834</v>
      </c>
      <c r="B2052" s="217" t="str">
        <f t="shared" si="32"/>
        <v>269212000[個]</v>
      </c>
      <c r="C2052" s="216">
        <v>269212000</v>
      </c>
      <c r="D2052" s="175" t="s">
        <v>235</v>
      </c>
      <c r="E2052" s="175">
        <v>0.58254188890867098</v>
      </c>
      <c r="F2052" s="175" t="s">
        <v>629</v>
      </c>
      <c r="G2052" s="175" t="s">
        <v>1674</v>
      </c>
    </row>
    <row r="2053" spans="1:7">
      <c r="A2053" s="175" t="s">
        <v>4834</v>
      </c>
      <c r="B2053" s="217" t="str">
        <f t="shared" si="32"/>
        <v>269212000[円]</v>
      </c>
      <c r="C2053" s="216">
        <v>269212000</v>
      </c>
      <c r="D2053" s="175" t="s">
        <v>235</v>
      </c>
      <c r="E2053" s="175">
        <v>961.72887155549301</v>
      </c>
      <c r="F2053" s="175" t="s">
        <v>265</v>
      </c>
      <c r="G2053" s="175" t="s">
        <v>1674</v>
      </c>
    </row>
    <row r="2054" spans="1:7">
      <c r="A2054" s="175" t="s">
        <v>4835</v>
      </c>
      <c r="B2054" s="217" t="str">
        <f t="shared" si="32"/>
        <v>269213000[個]</v>
      </c>
      <c r="C2054" s="216">
        <v>269213000</v>
      </c>
      <c r="D2054" s="175" t="s">
        <v>235</v>
      </c>
      <c r="E2054" s="175">
        <v>1.1006943620604701</v>
      </c>
      <c r="F2054" s="175" t="s">
        <v>629</v>
      </c>
      <c r="G2054" s="175" t="s">
        <v>1675</v>
      </c>
    </row>
    <row r="2055" spans="1:7">
      <c r="A2055" s="175" t="s">
        <v>4835</v>
      </c>
      <c r="B2055" s="217" t="str">
        <f t="shared" si="32"/>
        <v>269213000[円]</v>
      </c>
      <c r="C2055" s="216">
        <v>269213000</v>
      </c>
      <c r="D2055" s="175" t="s">
        <v>235</v>
      </c>
      <c r="E2055" s="175">
        <v>2478.5305674459401</v>
      </c>
      <c r="F2055" s="175" t="s">
        <v>265</v>
      </c>
      <c r="G2055" s="175" t="s">
        <v>1675</v>
      </c>
    </row>
    <row r="2056" spans="1:7">
      <c r="A2056" s="175" t="s">
        <v>4836</v>
      </c>
      <c r="B2056" s="217" t="str">
        <f t="shared" si="32"/>
        <v>269214000[kg]</v>
      </c>
      <c r="C2056" s="216">
        <v>269214000</v>
      </c>
      <c r="D2056" s="175" t="s">
        <v>629</v>
      </c>
      <c r="E2056" s="175">
        <v>3.0634146453584199</v>
      </c>
      <c r="F2056" s="175" t="s">
        <v>235</v>
      </c>
      <c r="G2056" s="175" t="s">
        <v>1676</v>
      </c>
    </row>
    <row r="2057" spans="1:7">
      <c r="A2057" s="175" t="s">
        <v>4836</v>
      </c>
      <c r="B2057" s="217" t="str">
        <f t="shared" si="32"/>
        <v>269214000[円]</v>
      </c>
      <c r="C2057" s="216">
        <v>269214000</v>
      </c>
      <c r="D2057" s="175" t="s">
        <v>629</v>
      </c>
      <c r="E2057" s="175">
        <v>7344.6479967106798</v>
      </c>
      <c r="F2057" s="175" t="s">
        <v>265</v>
      </c>
      <c r="G2057" s="175" t="s">
        <v>1676</v>
      </c>
    </row>
    <row r="2058" spans="1:7">
      <c r="A2058" s="175" t="s">
        <v>4837</v>
      </c>
      <c r="B2058" s="217" t="str">
        <f t="shared" si="32"/>
        <v>269400000[個]</v>
      </c>
      <c r="C2058" s="216">
        <v>269400000</v>
      </c>
      <c r="D2058" s="175" t="s">
        <v>265</v>
      </c>
      <c r="E2058" s="175">
        <v>5.3885181075554898E-3</v>
      </c>
      <c r="F2058" s="175" t="s">
        <v>629</v>
      </c>
      <c r="G2058" s="175" t="s">
        <v>4838</v>
      </c>
    </row>
    <row r="2059" spans="1:7">
      <c r="A2059" s="175" t="s">
        <v>4839</v>
      </c>
      <c r="B2059" s="217" t="str">
        <f t="shared" si="32"/>
        <v>269411000[kg]</v>
      </c>
      <c r="C2059" s="216">
        <v>269411000</v>
      </c>
      <c r="D2059" s="175" t="s">
        <v>629</v>
      </c>
      <c r="E2059" s="175">
        <v>9.8435366697444293E-2</v>
      </c>
      <c r="F2059" s="175" t="s">
        <v>235</v>
      </c>
      <c r="G2059" s="175" t="s">
        <v>4840</v>
      </c>
    </row>
    <row r="2060" spans="1:7">
      <c r="A2060" s="175" t="s">
        <v>4839</v>
      </c>
      <c r="B2060" s="217" t="str">
        <f t="shared" si="32"/>
        <v>269411000[円]</v>
      </c>
      <c r="C2060" s="216">
        <v>269411000</v>
      </c>
      <c r="D2060" s="175" t="s">
        <v>629</v>
      </c>
      <c r="E2060" s="175">
        <v>221.385442063646</v>
      </c>
      <c r="F2060" s="175" t="s">
        <v>265</v>
      </c>
      <c r="G2060" s="175" t="s">
        <v>4840</v>
      </c>
    </row>
    <row r="2061" spans="1:7">
      <c r="A2061" s="175" t="s">
        <v>4841</v>
      </c>
      <c r="B2061" s="217" t="str">
        <f t="shared" si="32"/>
        <v>269412000[円]</v>
      </c>
      <c r="C2061" s="216">
        <v>269412000</v>
      </c>
      <c r="D2061" s="175" t="s">
        <v>629</v>
      </c>
      <c r="E2061" s="175">
        <v>366.13659322822701</v>
      </c>
      <c r="F2061" s="175" t="s">
        <v>265</v>
      </c>
      <c r="G2061" s="175" t="s">
        <v>4842</v>
      </c>
    </row>
    <row r="2062" spans="1:7">
      <c r="A2062" s="175" t="s">
        <v>4841</v>
      </c>
      <c r="B2062" s="217" t="str">
        <f t="shared" si="32"/>
        <v>269412000[kg]</v>
      </c>
      <c r="C2062" s="216">
        <v>269412000</v>
      </c>
      <c r="D2062" s="175" t="s">
        <v>629</v>
      </c>
      <c r="E2062" s="175">
        <v>0.10174623508283701</v>
      </c>
      <c r="F2062" s="175" t="s">
        <v>235</v>
      </c>
      <c r="G2062" s="175" t="s">
        <v>4842</v>
      </c>
    </row>
    <row r="2063" spans="1:7">
      <c r="A2063" s="175" t="s">
        <v>4843</v>
      </c>
      <c r="B2063" s="217" t="str">
        <f t="shared" si="32"/>
        <v>269413000[kg]</v>
      </c>
      <c r="C2063" s="216">
        <v>269413000</v>
      </c>
      <c r="D2063" s="175" t="s">
        <v>629</v>
      </c>
      <c r="E2063" s="175">
        <v>0.15001598522617801</v>
      </c>
      <c r="F2063" s="175" t="s">
        <v>235</v>
      </c>
      <c r="G2063" s="175" t="s">
        <v>4844</v>
      </c>
    </row>
    <row r="2064" spans="1:7">
      <c r="A2064" s="175" t="s">
        <v>4843</v>
      </c>
      <c r="B2064" s="217" t="str">
        <f t="shared" si="32"/>
        <v>269413000[円]</v>
      </c>
      <c r="C2064" s="216">
        <v>269413000</v>
      </c>
      <c r="D2064" s="175" t="s">
        <v>629</v>
      </c>
      <c r="E2064" s="175">
        <v>233.73958458132699</v>
      </c>
      <c r="F2064" s="175" t="s">
        <v>265</v>
      </c>
      <c r="G2064" s="175" t="s">
        <v>4844</v>
      </c>
    </row>
    <row r="2065" spans="1:7">
      <c r="A2065" s="175" t="s">
        <v>4845</v>
      </c>
      <c r="B2065" s="217" t="str">
        <f t="shared" si="32"/>
        <v>269414000[円]</v>
      </c>
      <c r="C2065" s="216">
        <v>269414000</v>
      </c>
      <c r="D2065" s="175" t="s">
        <v>629</v>
      </c>
      <c r="E2065" s="175">
        <v>1024.4961585569499</v>
      </c>
      <c r="F2065" s="175" t="s">
        <v>265</v>
      </c>
      <c r="G2065" s="175" t="s">
        <v>1677</v>
      </c>
    </row>
    <row r="2066" spans="1:7">
      <c r="A2066" s="175" t="s">
        <v>4845</v>
      </c>
      <c r="B2066" s="217" t="str">
        <f t="shared" si="32"/>
        <v>269414000[kg]</v>
      </c>
      <c r="C2066" s="216">
        <v>269414000</v>
      </c>
      <c r="D2066" s="175" t="s">
        <v>629</v>
      </c>
      <c r="E2066" s="175">
        <v>0.99555515646747195</v>
      </c>
      <c r="F2066" s="175" t="s">
        <v>235</v>
      </c>
      <c r="G2066" s="175" t="s">
        <v>1677</v>
      </c>
    </row>
    <row r="2067" spans="1:7">
      <c r="A2067" s="175" t="s">
        <v>4846</v>
      </c>
      <c r="B2067" s="217" t="str">
        <f t="shared" si="32"/>
        <v>269415000[個]</v>
      </c>
      <c r="C2067" s="216">
        <v>269415000</v>
      </c>
      <c r="D2067" s="175" t="s">
        <v>265</v>
      </c>
      <c r="E2067" s="175">
        <v>1.13468786651736E-2</v>
      </c>
      <c r="F2067" s="175" t="s">
        <v>629</v>
      </c>
      <c r="G2067" s="175" t="s">
        <v>1678</v>
      </c>
    </row>
    <row r="2068" spans="1:7">
      <c r="A2068" s="175" t="s">
        <v>4847</v>
      </c>
      <c r="B2068" s="217" t="str">
        <f t="shared" si="32"/>
        <v>269500000[円]</v>
      </c>
      <c r="C2068" s="216">
        <v>269500000</v>
      </c>
      <c r="D2068" s="175" t="s">
        <v>629</v>
      </c>
      <c r="E2068" s="175">
        <v>99.994917783599206</v>
      </c>
      <c r="F2068" s="175" t="s">
        <v>265</v>
      </c>
      <c r="G2068" s="175" t="s">
        <v>4848</v>
      </c>
    </row>
    <row r="2069" spans="1:7">
      <c r="A2069" s="175" t="s">
        <v>4849</v>
      </c>
      <c r="B2069" s="217" t="str">
        <f t="shared" si="32"/>
        <v>269511000[円]</v>
      </c>
      <c r="C2069" s="216">
        <v>269511000</v>
      </c>
      <c r="D2069" s="175" t="s">
        <v>629</v>
      </c>
      <c r="E2069" s="175">
        <v>99.994917783599206</v>
      </c>
      <c r="F2069" s="175" t="s">
        <v>265</v>
      </c>
      <c r="G2069" s="175" t="s">
        <v>1679</v>
      </c>
    </row>
    <row r="2070" spans="1:7">
      <c r="A2070" s="175" t="s">
        <v>4850</v>
      </c>
      <c r="B2070" s="217" t="str">
        <f t="shared" si="32"/>
        <v>269600000[kg]</v>
      </c>
      <c r="C2070" s="216">
        <v>269600000</v>
      </c>
      <c r="D2070" s="175" t="s">
        <v>265</v>
      </c>
      <c r="E2070" s="175">
        <v>3.6741398536784599E-4</v>
      </c>
      <c r="F2070" s="175" t="s">
        <v>235</v>
      </c>
      <c r="G2070" s="175" t="s">
        <v>4851</v>
      </c>
    </row>
    <row r="2071" spans="1:7">
      <c r="A2071" s="175" t="s">
        <v>4850</v>
      </c>
      <c r="B2071" s="217" t="str">
        <f t="shared" si="32"/>
        <v>269600000[組]</v>
      </c>
      <c r="C2071" s="216">
        <v>269600000</v>
      </c>
      <c r="D2071" s="175" t="s">
        <v>265</v>
      </c>
      <c r="E2071" s="175">
        <v>2.3947122681551901E-6</v>
      </c>
      <c r="F2071" s="175" t="s">
        <v>1694</v>
      </c>
      <c r="G2071" s="175" t="s">
        <v>4851</v>
      </c>
    </row>
    <row r="2072" spans="1:7">
      <c r="A2072" s="175" t="s">
        <v>4852</v>
      </c>
      <c r="B2072" s="217" t="str">
        <f t="shared" si="32"/>
        <v>269611000[組]</v>
      </c>
      <c r="C2072" s="216">
        <v>269611000</v>
      </c>
      <c r="D2072" s="175" t="s">
        <v>235</v>
      </c>
      <c r="E2072" s="175">
        <v>2.4525828509055899E-3</v>
      </c>
      <c r="F2072" s="175" t="s">
        <v>1694</v>
      </c>
      <c r="G2072" s="175" t="s">
        <v>2001</v>
      </c>
    </row>
    <row r="2073" spans="1:7">
      <c r="A2073" s="175" t="s">
        <v>4852</v>
      </c>
      <c r="B2073" s="217" t="str">
        <f t="shared" si="32"/>
        <v>269611000[円]</v>
      </c>
      <c r="C2073" s="216">
        <v>269611000</v>
      </c>
      <c r="D2073" s="175" t="s">
        <v>235</v>
      </c>
      <c r="E2073" s="175">
        <v>1741.20400145543</v>
      </c>
      <c r="F2073" s="175" t="s">
        <v>265</v>
      </c>
      <c r="G2073" s="175" t="s">
        <v>2001</v>
      </c>
    </row>
    <row r="2074" spans="1:7">
      <c r="A2074" s="175" t="s">
        <v>4853</v>
      </c>
      <c r="B2074" s="217" t="str">
        <f t="shared" si="32"/>
        <v>269612000[組]</v>
      </c>
      <c r="C2074" s="216">
        <v>269612000</v>
      </c>
      <c r="D2074" s="175" t="s">
        <v>235</v>
      </c>
      <c r="E2074" s="175">
        <v>1.5989336068059402E-2</v>
      </c>
      <c r="F2074" s="175" t="s">
        <v>1694</v>
      </c>
      <c r="G2074" s="175" t="s">
        <v>2002</v>
      </c>
    </row>
    <row r="2075" spans="1:7">
      <c r="A2075" s="175" t="s">
        <v>4853</v>
      </c>
      <c r="B2075" s="217" t="str">
        <f t="shared" si="32"/>
        <v>269612000[円]</v>
      </c>
      <c r="C2075" s="216">
        <v>269612000</v>
      </c>
      <c r="D2075" s="175" t="s">
        <v>235</v>
      </c>
      <c r="E2075" s="175">
        <v>2528.71188994977</v>
      </c>
      <c r="F2075" s="175" t="s">
        <v>265</v>
      </c>
      <c r="G2075" s="175" t="s">
        <v>2002</v>
      </c>
    </row>
    <row r="2076" spans="1:7">
      <c r="A2076" s="175" t="s">
        <v>4854</v>
      </c>
      <c r="B2076" s="217" t="str">
        <f t="shared" si="32"/>
        <v>269613000[組]</v>
      </c>
      <c r="C2076" s="216">
        <v>269613000</v>
      </c>
      <c r="D2076" s="175" t="s">
        <v>235</v>
      </c>
      <c r="E2076" s="175">
        <v>1.0459227869671699E-3</v>
      </c>
      <c r="F2076" s="175" t="s">
        <v>1694</v>
      </c>
      <c r="G2076" s="175" t="s">
        <v>4855</v>
      </c>
    </row>
    <row r="2077" spans="1:7">
      <c r="A2077" s="175" t="s">
        <v>4854</v>
      </c>
      <c r="B2077" s="217" t="str">
        <f t="shared" si="32"/>
        <v>269613000[円]</v>
      </c>
      <c r="C2077" s="216">
        <v>269613000</v>
      </c>
      <c r="D2077" s="175" t="s">
        <v>235</v>
      </c>
      <c r="E2077" s="175">
        <v>2801.4626345342899</v>
      </c>
      <c r="F2077" s="175" t="s">
        <v>265</v>
      </c>
      <c r="G2077" s="175" t="s">
        <v>4855</v>
      </c>
    </row>
    <row r="2078" spans="1:7">
      <c r="A2078" s="175" t="s">
        <v>4856</v>
      </c>
      <c r="B2078" s="217" t="str">
        <f t="shared" si="32"/>
        <v>269614000[組]</v>
      </c>
      <c r="C2078" s="216">
        <v>269614000</v>
      </c>
      <c r="D2078" s="175" t="s">
        <v>235</v>
      </c>
      <c r="E2078" s="175">
        <v>2.42818437280923E-3</v>
      </c>
      <c r="F2078" s="175" t="s">
        <v>1694</v>
      </c>
      <c r="G2078" s="175" t="s">
        <v>2004</v>
      </c>
    </row>
    <row r="2079" spans="1:7">
      <c r="A2079" s="175" t="s">
        <v>4856</v>
      </c>
      <c r="B2079" s="217" t="str">
        <f t="shared" si="32"/>
        <v>269614000[円]</v>
      </c>
      <c r="C2079" s="216">
        <v>269614000</v>
      </c>
      <c r="D2079" s="175" t="s">
        <v>235</v>
      </c>
      <c r="E2079" s="175">
        <v>5028.2623124155398</v>
      </c>
      <c r="F2079" s="175" t="s">
        <v>265</v>
      </c>
      <c r="G2079" s="175" t="s">
        <v>2004</v>
      </c>
    </row>
    <row r="2080" spans="1:7">
      <c r="A2080" s="175" t="s">
        <v>4857</v>
      </c>
      <c r="B2080" s="217" t="str">
        <f t="shared" si="32"/>
        <v>269615000[円]</v>
      </c>
      <c r="C2080" s="216">
        <v>269615000</v>
      </c>
      <c r="D2080" s="175" t="s">
        <v>235</v>
      </c>
      <c r="E2080" s="175">
        <v>3676.1223740504101</v>
      </c>
      <c r="F2080" s="175" t="s">
        <v>265</v>
      </c>
      <c r="G2080" s="175" t="s">
        <v>2010</v>
      </c>
    </row>
    <row r="2081" spans="1:7">
      <c r="A2081" s="175" t="s">
        <v>4857</v>
      </c>
      <c r="B2081" s="217" t="str">
        <f t="shared" si="32"/>
        <v>269615000[組]</v>
      </c>
      <c r="C2081" s="216">
        <v>269615000</v>
      </c>
      <c r="D2081" s="175" t="s">
        <v>235</v>
      </c>
      <c r="E2081" s="175">
        <v>8.7870603798491903E-2</v>
      </c>
      <c r="F2081" s="175" t="s">
        <v>1694</v>
      </c>
      <c r="G2081" s="175" t="s">
        <v>2010</v>
      </c>
    </row>
    <row r="2082" spans="1:7">
      <c r="A2082" s="175" t="s">
        <v>4858</v>
      </c>
      <c r="B2082" s="217" t="str">
        <f t="shared" si="32"/>
        <v>269619000[円]</v>
      </c>
      <c r="C2082" s="216">
        <v>269619000</v>
      </c>
      <c r="D2082" s="175" t="s">
        <v>1694</v>
      </c>
      <c r="E2082" s="175">
        <v>91694.146070717296</v>
      </c>
      <c r="F2082" s="175" t="s">
        <v>265</v>
      </c>
      <c r="G2082" s="175" t="s">
        <v>4859</v>
      </c>
    </row>
    <row r="2083" spans="1:7">
      <c r="A2083" s="175" t="s">
        <v>4860</v>
      </c>
      <c r="B2083" s="217" t="str">
        <f t="shared" si="32"/>
        <v>269700000[円]</v>
      </c>
      <c r="C2083" s="216">
        <v>269700000</v>
      </c>
      <c r="D2083" s="175" t="s">
        <v>630</v>
      </c>
      <c r="E2083" s="175">
        <v>4339200.9061464798</v>
      </c>
      <c r="F2083" s="175" t="s">
        <v>265</v>
      </c>
      <c r="G2083" s="175" t="s">
        <v>4861</v>
      </c>
    </row>
    <row r="2084" spans="1:7">
      <c r="A2084" s="175" t="s">
        <v>4862</v>
      </c>
      <c r="B2084" s="217" t="str">
        <f t="shared" si="32"/>
        <v>269711000[円]</v>
      </c>
      <c r="C2084" s="216">
        <v>269711000</v>
      </c>
      <c r="D2084" s="175" t="s">
        <v>630</v>
      </c>
      <c r="E2084" s="175">
        <v>8519777.9319916703</v>
      </c>
      <c r="F2084" s="175" t="s">
        <v>265</v>
      </c>
      <c r="G2084" s="175" t="s">
        <v>1695</v>
      </c>
    </row>
    <row r="2085" spans="1:7">
      <c r="A2085" s="175" t="s">
        <v>4863</v>
      </c>
      <c r="B2085" s="217" t="str">
        <f t="shared" si="32"/>
        <v>269712000[円]</v>
      </c>
      <c r="C2085" s="216">
        <v>269712000</v>
      </c>
      <c r="D2085" s="175" t="s">
        <v>630</v>
      </c>
      <c r="E2085" s="175">
        <v>924767.76135025499</v>
      </c>
      <c r="F2085" s="175" t="s">
        <v>265</v>
      </c>
      <c r="G2085" s="175" t="s">
        <v>1696</v>
      </c>
    </row>
    <row r="2086" spans="1:7">
      <c r="A2086" s="175" t="s">
        <v>4864</v>
      </c>
      <c r="B2086" s="217" t="str">
        <f t="shared" si="32"/>
        <v>269800000[台]</v>
      </c>
      <c r="C2086" s="216">
        <v>269800000</v>
      </c>
      <c r="D2086" s="175" t="s">
        <v>265</v>
      </c>
      <c r="E2086" s="175">
        <v>1.5116331601536001E-7</v>
      </c>
      <c r="F2086" s="175" t="s">
        <v>630</v>
      </c>
      <c r="G2086" s="175" t="s">
        <v>4865</v>
      </c>
    </row>
    <row r="2087" spans="1:7">
      <c r="A2087" s="175" t="s">
        <v>4866</v>
      </c>
      <c r="B2087" s="217" t="str">
        <f t="shared" si="32"/>
        <v>269811000[円]</v>
      </c>
      <c r="C2087" s="216">
        <v>269811000</v>
      </c>
      <c r="D2087" s="175" t="s">
        <v>630</v>
      </c>
      <c r="E2087" s="175">
        <v>9788333.0402672794</v>
      </c>
      <c r="F2087" s="175" t="s">
        <v>265</v>
      </c>
      <c r="G2087" s="175" t="s">
        <v>1697</v>
      </c>
    </row>
    <row r="2088" spans="1:7">
      <c r="A2088" s="175" t="s">
        <v>4867</v>
      </c>
      <c r="B2088" s="217" t="str">
        <f t="shared" si="32"/>
        <v>269819000[台]</v>
      </c>
      <c r="C2088" s="216">
        <v>269819000</v>
      </c>
      <c r="D2088" s="175" t="s">
        <v>265</v>
      </c>
      <c r="E2088" s="175">
        <v>2.6718112873604898E-7</v>
      </c>
      <c r="F2088" s="175" t="s">
        <v>630</v>
      </c>
      <c r="G2088" s="175" t="s">
        <v>1698</v>
      </c>
    </row>
    <row r="2089" spans="1:7">
      <c r="A2089" s="175" t="s">
        <v>4868</v>
      </c>
      <c r="B2089" s="217" t="str">
        <f t="shared" si="32"/>
        <v>271111000[kVA]</v>
      </c>
      <c r="C2089" s="216">
        <v>271111000</v>
      </c>
      <c r="D2089" s="175" t="s">
        <v>630</v>
      </c>
      <c r="E2089" s="175">
        <v>116690.30769230799</v>
      </c>
      <c r="F2089" s="175" t="s">
        <v>2016</v>
      </c>
      <c r="G2089" s="175" t="s">
        <v>1701</v>
      </c>
    </row>
    <row r="2090" spans="1:7">
      <c r="A2090" s="175" t="s">
        <v>4868</v>
      </c>
      <c r="B2090" s="217" t="str">
        <f t="shared" si="32"/>
        <v>271111000[円]</v>
      </c>
      <c r="C2090" s="216">
        <v>271111000</v>
      </c>
      <c r="D2090" s="175" t="s">
        <v>630</v>
      </c>
      <c r="E2090" s="175">
        <v>433128144.32989699</v>
      </c>
      <c r="F2090" s="175" t="s">
        <v>265</v>
      </c>
      <c r="G2090" s="175" t="s">
        <v>1701</v>
      </c>
    </row>
    <row r="2091" spans="1:7">
      <c r="A2091" s="175" t="s">
        <v>4869</v>
      </c>
      <c r="B2091" s="217" t="str">
        <f t="shared" si="32"/>
        <v>271112000[kVA]</v>
      </c>
      <c r="C2091" s="216">
        <v>271112000</v>
      </c>
      <c r="D2091" s="175" t="s">
        <v>630</v>
      </c>
      <c r="E2091" s="175">
        <v>0.967922772797841</v>
      </c>
      <c r="F2091" s="175" t="s">
        <v>2016</v>
      </c>
      <c r="G2091" s="175" t="s">
        <v>1702</v>
      </c>
    </row>
    <row r="2092" spans="1:7">
      <c r="A2092" s="175" t="s">
        <v>4869</v>
      </c>
      <c r="B2092" s="217" t="str">
        <f t="shared" si="32"/>
        <v>271112000[円]</v>
      </c>
      <c r="C2092" s="216">
        <v>271112000</v>
      </c>
      <c r="D2092" s="175" t="s">
        <v>630</v>
      </c>
      <c r="E2092" s="175">
        <v>289842.825854644</v>
      </c>
      <c r="F2092" s="175" t="s">
        <v>265</v>
      </c>
      <c r="G2092" s="175" t="s">
        <v>1702</v>
      </c>
    </row>
    <row r="2093" spans="1:7">
      <c r="A2093" s="175" t="s">
        <v>4870</v>
      </c>
      <c r="B2093" s="217" t="str">
        <f t="shared" si="32"/>
        <v>271113000[円]</v>
      </c>
      <c r="C2093" s="216">
        <v>271113000</v>
      </c>
      <c r="D2093" s="175" t="s">
        <v>630</v>
      </c>
      <c r="E2093" s="175">
        <v>24383.6166606933</v>
      </c>
      <c r="F2093" s="175" t="s">
        <v>265</v>
      </c>
      <c r="G2093" s="175" t="s">
        <v>4871</v>
      </c>
    </row>
    <row r="2094" spans="1:7">
      <c r="A2094" s="175" t="s">
        <v>4870</v>
      </c>
      <c r="B2094" s="217" t="str">
        <f t="shared" si="32"/>
        <v>271113000[kW]</v>
      </c>
      <c r="C2094" s="216">
        <v>271113000</v>
      </c>
      <c r="D2094" s="175" t="s">
        <v>630</v>
      </c>
      <c r="E2094" s="175">
        <v>0.622676724896295</v>
      </c>
      <c r="F2094" s="175" t="s">
        <v>2014</v>
      </c>
      <c r="G2094" s="175" t="s">
        <v>4871</v>
      </c>
    </row>
    <row r="2095" spans="1:7">
      <c r="A2095" s="175" t="s">
        <v>4872</v>
      </c>
      <c r="B2095" s="217" t="str">
        <f t="shared" si="32"/>
        <v>271114000[円]</v>
      </c>
      <c r="C2095" s="216">
        <v>271114000</v>
      </c>
      <c r="D2095" s="175" t="s">
        <v>630</v>
      </c>
      <c r="E2095" s="175">
        <v>7901.0635931815696</v>
      </c>
      <c r="F2095" s="175" t="s">
        <v>265</v>
      </c>
      <c r="G2095" s="175" t="s">
        <v>1703</v>
      </c>
    </row>
    <row r="2096" spans="1:7">
      <c r="A2096" s="175" t="s">
        <v>4872</v>
      </c>
      <c r="B2096" s="217" t="str">
        <f t="shared" si="32"/>
        <v>271114000[kW]</v>
      </c>
      <c r="C2096" s="216">
        <v>271114000</v>
      </c>
      <c r="D2096" s="175" t="s">
        <v>630</v>
      </c>
      <c r="E2096" s="175">
        <v>0.25265968348073797</v>
      </c>
      <c r="F2096" s="175" t="s">
        <v>2014</v>
      </c>
      <c r="G2096" s="175" t="s">
        <v>1703</v>
      </c>
    </row>
    <row r="2097" spans="1:7">
      <c r="A2097" s="175" t="s">
        <v>4873</v>
      </c>
      <c r="B2097" s="217" t="str">
        <f t="shared" si="32"/>
        <v>271115000[kW]</v>
      </c>
      <c r="C2097" s="216">
        <v>271115000</v>
      </c>
      <c r="D2097" s="175" t="s">
        <v>630</v>
      </c>
      <c r="E2097" s="175">
        <v>2.5232230066210599</v>
      </c>
      <c r="F2097" s="175" t="s">
        <v>2014</v>
      </c>
      <c r="G2097" s="175" t="s">
        <v>1704</v>
      </c>
    </row>
    <row r="2098" spans="1:7">
      <c r="A2098" s="175" t="s">
        <v>4873</v>
      </c>
      <c r="B2098" s="217" t="str">
        <f t="shared" si="32"/>
        <v>271115000[円]</v>
      </c>
      <c r="C2098" s="216">
        <v>271115000</v>
      </c>
      <c r="D2098" s="175" t="s">
        <v>630</v>
      </c>
      <c r="E2098" s="175">
        <v>29105.691488673201</v>
      </c>
      <c r="F2098" s="175" t="s">
        <v>265</v>
      </c>
      <c r="G2098" s="175" t="s">
        <v>1704</v>
      </c>
    </row>
    <row r="2099" spans="1:7">
      <c r="A2099" s="175" t="s">
        <v>4874</v>
      </c>
      <c r="B2099" s="217" t="str">
        <f t="shared" si="32"/>
        <v>271119000[kW]</v>
      </c>
      <c r="C2099" s="216">
        <v>271119000</v>
      </c>
      <c r="D2099" s="175" t="s">
        <v>630</v>
      </c>
      <c r="E2099" s="175">
        <v>0.21845886838307499</v>
      </c>
      <c r="F2099" s="175" t="s">
        <v>2014</v>
      </c>
      <c r="G2099" s="175" t="s">
        <v>1705</v>
      </c>
    </row>
    <row r="2100" spans="1:7">
      <c r="A2100" s="175" t="s">
        <v>4874</v>
      </c>
      <c r="B2100" s="217" t="str">
        <f t="shared" si="32"/>
        <v>271119000[円]</v>
      </c>
      <c r="C2100" s="216">
        <v>271119000</v>
      </c>
      <c r="D2100" s="175" t="s">
        <v>630</v>
      </c>
      <c r="E2100" s="175">
        <v>15266.120186231899</v>
      </c>
      <c r="F2100" s="175" t="s">
        <v>265</v>
      </c>
      <c r="G2100" s="175" t="s">
        <v>1705</v>
      </c>
    </row>
    <row r="2101" spans="1:7">
      <c r="A2101" s="175" t="s">
        <v>4875</v>
      </c>
      <c r="B2101" s="217" t="str">
        <f t="shared" si="32"/>
        <v>271121000[円]</v>
      </c>
      <c r="C2101" s="216">
        <v>271121000</v>
      </c>
      <c r="D2101" s="175" t="s">
        <v>630</v>
      </c>
      <c r="E2101" s="175">
        <v>1254.2394061242001</v>
      </c>
      <c r="F2101" s="175" t="s">
        <v>265</v>
      </c>
      <c r="G2101" s="175" t="s">
        <v>1706</v>
      </c>
    </row>
    <row r="2102" spans="1:7">
      <c r="A2102" s="175" t="s">
        <v>4876</v>
      </c>
      <c r="B2102" s="217" t="str">
        <f t="shared" si="32"/>
        <v>271129000[円]</v>
      </c>
      <c r="C2102" s="216">
        <v>271129000</v>
      </c>
      <c r="D2102" s="175" t="s">
        <v>630</v>
      </c>
      <c r="E2102" s="175">
        <v>1379.4567822511201</v>
      </c>
      <c r="F2102" s="175" t="s">
        <v>265</v>
      </c>
      <c r="G2102" s="175" t="s">
        <v>1707</v>
      </c>
    </row>
    <row r="2103" spans="1:7">
      <c r="A2103" s="175" t="s">
        <v>4877</v>
      </c>
      <c r="B2103" s="217" t="str">
        <f t="shared" si="32"/>
        <v>271139000[台]</v>
      </c>
      <c r="C2103" s="216">
        <v>271139000</v>
      </c>
      <c r="D2103" s="175" t="s">
        <v>265</v>
      </c>
      <c r="E2103" s="175">
        <v>1.8658110632767399E-7</v>
      </c>
      <c r="F2103" s="175" t="s">
        <v>630</v>
      </c>
      <c r="G2103" s="175" t="s">
        <v>1708</v>
      </c>
    </row>
    <row r="2104" spans="1:7">
      <c r="A2104" s="175" t="s">
        <v>4878</v>
      </c>
      <c r="B2104" s="217" t="str">
        <f t="shared" si="32"/>
        <v>271200000[円]</v>
      </c>
      <c r="C2104" s="216">
        <v>271200000</v>
      </c>
      <c r="D2104" s="175" t="s">
        <v>630</v>
      </c>
      <c r="E2104" s="175">
        <v>30317.185485517799</v>
      </c>
      <c r="F2104" s="175" t="s">
        <v>265</v>
      </c>
      <c r="G2104" s="175" t="s">
        <v>4879</v>
      </c>
    </row>
    <row r="2105" spans="1:7">
      <c r="A2105" s="175" t="s">
        <v>4880</v>
      </c>
      <c r="B2105" s="217" t="str">
        <f t="shared" si="32"/>
        <v>271211000[kVA]</v>
      </c>
      <c r="C2105" s="216">
        <v>271211000</v>
      </c>
      <c r="D2105" s="175" t="s">
        <v>630</v>
      </c>
      <c r="E2105" s="175">
        <v>48.981534457966099</v>
      </c>
      <c r="F2105" s="175" t="s">
        <v>2016</v>
      </c>
      <c r="G2105" s="175" t="s">
        <v>1711</v>
      </c>
    </row>
    <row r="2106" spans="1:7">
      <c r="A2106" s="175" t="s">
        <v>4880</v>
      </c>
      <c r="B2106" s="217" t="str">
        <f t="shared" si="32"/>
        <v>271211000[円]</v>
      </c>
      <c r="C2106" s="216">
        <v>271211000</v>
      </c>
      <c r="D2106" s="175" t="s">
        <v>630</v>
      </c>
      <c r="E2106" s="175">
        <v>80681.202117218694</v>
      </c>
      <c r="F2106" s="175" t="s">
        <v>265</v>
      </c>
      <c r="G2106" s="175" t="s">
        <v>1711</v>
      </c>
    </row>
    <row r="2107" spans="1:7">
      <c r="A2107" s="175" t="s">
        <v>4881</v>
      </c>
      <c r="B2107" s="217" t="str">
        <f t="shared" si="32"/>
        <v>271212000[kVA]</v>
      </c>
      <c r="C2107" s="216">
        <v>271212000</v>
      </c>
      <c r="D2107" s="175" t="s">
        <v>630</v>
      </c>
      <c r="E2107" s="175">
        <v>477.66014475634103</v>
      </c>
      <c r="F2107" s="175" t="s">
        <v>2016</v>
      </c>
      <c r="G2107" s="175" t="s">
        <v>1712</v>
      </c>
    </row>
    <row r="2108" spans="1:7">
      <c r="A2108" s="175" t="s">
        <v>4881</v>
      </c>
      <c r="B2108" s="217" t="str">
        <f t="shared" si="32"/>
        <v>271212000[円]</v>
      </c>
      <c r="C2108" s="216">
        <v>271212000</v>
      </c>
      <c r="D2108" s="175" t="s">
        <v>630</v>
      </c>
      <c r="E2108" s="175">
        <v>248182.346409947</v>
      </c>
      <c r="F2108" s="175" t="s">
        <v>265</v>
      </c>
      <c r="G2108" s="175" t="s">
        <v>1712</v>
      </c>
    </row>
    <row r="2109" spans="1:7">
      <c r="A2109" s="175" t="s">
        <v>4882</v>
      </c>
      <c r="B2109" s="217" t="str">
        <f t="shared" si="32"/>
        <v>271213000[円]</v>
      </c>
      <c r="C2109" s="216">
        <v>271213000</v>
      </c>
      <c r="D2109" s="175" t="s">
        <v>630</v>
      </c>
      <c r="E2109" s="175">
        <v>5314.7348685099496</v>
      </c>
      <c r="F2109" s="175" t="s">
        <v>265</v>
      </c>
      <c r="G2109" s="175" t="s">
        <v>1713</v>
      </c>
    </row>
    <row r="2110" spans="1:7">
      <c r="A2110" s="175" t="s">
        <v>4883</v>
      </c>
      <c r="B2110" s="217" t="str">
        <f t="shared" si="32"/>
        <v>271214000[円]</v>
      </c>
      <c r="C2110" s="216">
        <v>271214000</v>
      </c>
      <c r="D2110" s="175" t="s">
        <v>630</v>
      </c>
      <c r="E2110" s="175">
        <v>7738.3615448803903</v>
      </c>
      <c r="F2110" s="175" t="s">
        <v>265</v>
      </c>
      <c r="G2110" s="175" t="s">
        <v>1714</v>
      </c>
    </row>
    <row r="2111" spans="1:7">
      <c r="A2111" s="175" t="s">
        <v>4884</v>
      </c>
      <c r="B2111" s="217" t="str">
        <f t="shared" si="32"/>
        <v>271215000[円]</v>
      </c>
      <c r="C2111" s="216">
        <v>271215000</v>
      </c>
      <c r="D2111" s="175" t="s">
        <v>630</v>
      </c>
      <c r="E2111" s="175">
        <v>33919.219525362299</v>
      </c>
      <c r="F2111" s="175" t="s">
        <v>265</v>
      </c>
      <c r="G2111" s="175" t="s">
        <v>4885</v>
      </c>
    </row>
    <row r="2112" spans="1:7">
      <c r="A2112" s="175" t="s">
        <v>4886</v>
      </c>
      <c r="B2112" s="217" t="str">
        <f t="shared" si="32"/>
        <v>271300000[台]</v>
      </c>
      <c r="C2112" s="216">
        <v>271300000</v>
      </c>
      <c r="D2112" s="175" t="s">
        <v>265</v>
      </c>
      <c r="E2112" s="175">
        <v>2.3516107172832299E-6</v>
      </c>
      <c r="F2112" s="175" t="s">
        <v>630</v>
      </c>
      <c r="G2112" s="175" t="s">
        <v>6949</v>
      </c>
    </row>
    <row r="2113" spans="1:7">
      <c r="A2113" s="175" t="s">
        <v>4888</v>
      </c>
      <c r="B2113" s="217" t="str">
        <f t="shared" si="32"/>
        <v>271311000[円]</v>
      </c>
      <c r="C2113" s="216">
        <v>271311000</v>
      </c>
      <c r="D2113" s="175" t="s">
        <v>1717</v>
      </c>
      <c r="E2113" s="175">
        <v>1430392.5594186599</v>
      </c>
      <c r="F2113" s="175" t="s">
        <v>265</v>
      </c>
      <c r="G2113" s="175" t="s">
        <v>1716</v>
      </c>
    </row>
    <row r="2114" spans="1:7">
      <c r="A2114" s="175" t="s">
        <v>4889</v>
      </c>
      <c r="B2114" s="217" t="str">
        <f t="shared" ref="B2114:B2177" si="33">C2114&amp;"["&amp;F2114&amp;"]"</f>
        <v>271312000[円]</v>
      </c>
      <c r="C2114" s="216">
        <v>271312000</v>
      </c>
      <c r="D2114" s="175" t="s">
        <v>1631</v>
      </c>
      <c r="E2114" s="175">
        <v>245407.12834161401</v>
      </c>
      <c r="F2114" s="175" t="s">
        <v>265</v>
      </c>
      <c r="G2114" s="175" t="s">
        <v>1718</v>
      </c>
    </row>
    <row r="2115" spans="1:7">
      <c r="A2115" s="175" t="s">
        <v>4890</v>
      </c>
      <c r="B2115" s="217" t="str">
        <f t="shared" si="33"/>
        <v>271313000[円]</v>
      </c>
      <c r="C2115" s="216">
        <v>271313000</v>
      </c>
      <c r="D2115" s="175" t="s">
        <v>1717</v>
      </c>
      <c r="E2115" s="175">
        <v>32827.543431132297</v>
      </c>
      <c r="F2115" s="175" t="s">
        <v>265</v>
      </c>
      <c r="G2115" s="175" t="s">
        <v>1719</v>
      </c>
    </row>
    <row r="2116" spans="1:7">
      <c r="A2116" s="175" t="s">
        <v>4891</v>
      </c>
      <c r="B2116" s="217" t="str">
        <f t="shared" si="33"/>
        <v>271314000[円]</v>
      </c>
      <c r="C2116" s="216">
        <v>271314000</v>
      </c>
      <c r="D2116" s="175" t="s">
        <v>630</v>
      </c>
      <c r="E2116" s="175">
        <v>113.89652704580701</v>
      </c>
      <c r="F2116" s="175" t="s">
        <v>265</v>
      </c>
      <c r="G2116" s="175" t="s">
        <v>1720</v>
      </c>
    </row>
    <row r="2117" spans="1:7">
      <c r="A2117" s="175" t="s">
        <v>4892</v>
      </c>
      <c r="B2117" s="217" t="str">
        <f t="shared" si="33"/>
        <v>271315000[円]</v>
      </c>
      <c r="C2117" s="216">
        <v>271315000</v>
      </c>
      <c r="D2117" s="175" t="s">
        <v>630</v>
      </c>
      <c r="E2117" s="175">
        <v>2571.4306729294399</v>
      </c>
      <c r="F2117" s="175" t="s">
        <v>265</v>
      </c>
      <c r="G2117" s="175" t="s">
        <v>1721</v>
      </c>
    </row>
    <row r="2118" spans="1:7">
      <c r="A2118" s="175" t="s">
        <v>4893</v>
      </c>
      <c r="B2118" s="217" t="str">
        <f t="shared" si="33"/>
        <v>271316000[円]</v>
      </c>
      <c r="C2118" s="216">
        <v>271316000</v>
      </c>
      <c r="D2118" s="175" t="s">
        <v>630</v>
      </c>
      <c r="E2118" s="175">
        <v>218.96695378132901</v>
      </c>
      <c r="F2118" s="175" t="s">
        <v>265</v>
      </c>
      <c r="G2118" s="175" t="s">
        <v>1722</v>
      </c>
    </row>
    <row r="2119" spans="1:7">
      <c r="A2119" s="175" t="s">
        <v>4894</v>
      </c>
      <c r="B2119" s="217" t="str">
        <f t="shared" si="33"/>
        <v>271317000[円]</v>
      </c>
      <c r="C2119" s="216">
        <v>271317000</v>
      </c>
      <c r="D2119" s="175" t="s">
        <v>630</v>
      </c>
      <c r="E2119" s="175">
        <v>48066.7545586294</v>
      </c>
      <c r="F2119" s="175" t="s">
        <v>265</v>
      </c>
      <c r="G2119" s="175" t="s">
        <v>1724</v>
      </c>
    </row>
    <row r="2120" spans="1:7">
      <c r="A2120" s="175" t="s">
        <v>4895</v>
      </c>
      <c r="B2120" s="217" t="str">
        <f t="shared" si="33"/>
        <v>271319000[台]</v>
      </c>
      <c r="C2120" s="216">
        <v>271319000</v>
      </c>
      <c r="D2120" s="175" t="s">
        <v>265</v>
      </c>
      <c r="E2120" s="175">
        <v>2.8440035641569802E-6</v>
      </c>
      <c r="F2120" s="175" t="s">
        <v>630</v>
      </c>
      <c r="G2120" s="175" t="s">
        <v>1725</v>
      </c>
    </row>
    <row r="2121" spans="1:7">
      <c r="A2121" s="175" t="s">
        <v>4896</v>
      </c>
      <c r="B2121" s="217" t="str">
        <f t="shared" si="33"/>
        <v>271400000[個]</v>
      </c>
      <c r="C2121" s="216">
        <v>271400000</v>
      </c>
      <c r="D2121" s="175" t="s">
        <v>265</v>
      </c>
      <c r="E2121" s="175">
        <v>4.5400153372008901E-3</v>
      </c>
      <c r="F2121" s="175" t="s">
        <v>629</v>
      </c>
      <c r="G2121" s="175" t="s">
        <v>4897</v>
      </c>
    </row>
    <row r="2122" spans="1:7">
      <c r="A2122" s="175" t="s">
        <v>4898</v>
      </c>
      <c r="B2122" s="217" t="str">
        <f t="shared" si="33"/>
        <v>271411000[円]</v>
      </c>
      <c r="C2122" s="216">
        <v>271411000</v>
      </c>
      <c r="D2122" s="175" t="s">
        <v>629</v>
      </c>
      <c r="E2122" s="175">
        <v>87.996974099122596</v>
      </c>
      <c r="F2122" s="175" t="s">
        <v>265</v>
      </c>
      <c r="G2122" s="175" t="s">
        <v>1726</v>
      </c>
    </row>
    <row r="2123" spans="1:7">
      <c r="A2123" s="175" t="s">
        <v>4899</v>
      </c>
      <c r="B2123" s="217" t="str">
        <f t="shared" si="33"/>
        <v>271412000[円]</v>
      </c>
      <c r="C2123" s="216">
        <v>271412000</v>
      </c>
      <c r="D2123" s="175" t="s">
        <v>629</v>
      </c>
      <c r="E2123" s="175">
        <v>114.912336242896</v>
      </c>
      <c r="F2123" s="175" t="s">
        <v>265</v>
      </c>
      <c r="G2123" s="175" t="s">
        <v>1727</v>
      </c>
    </row>
    <row r="2124" spans="1:7">
      <c r="A2124" s="175" t="s">
        <v>4900</v>
      </c>
      <c r="B2124" s="217" t="str">
        <f t="shared" si="33"/>
        <v>271413000[円]</v>
      </c>
      <c r="C2124" s="216">
        <v>271413000</v>
      </c>
      <c r="D2124" s="175" t="s">
        <v>629</v>
      </c>
      <c r="E2124" s="175">
        <v>82.134423776964795</v>
      </c>
      <c r="F2124" s="175" t="s">
        <v>265</v>
      </c>
      <c r="G2124" s="175" t="s">
        <v>1728</v>
      </c>
    </row>
    <row r="2125" spans="1:7">
      <c r="A2125" s="175" t="s">
        <v>4901</v>
      </c>
      <c r="B2125" s="217" t="str">
        <f t="shared" si="33"/>
        <v>271419000[個]</v>
      </c>
      <c r="C2125" s="216">
        <v>271419000</v>
      </c>
      <c r="D2125" s="175" t="s">
        <v>265</v>
      </c>
      <c r="E2125" s="175">
        <v>3.13426305286455E-3</v>
      </c>
      <c r="F2125" s="175" t="s">
        <v>629</v>
      </c>
      <c r="G2125" s="175" t="s">
        <v>1729</v>
      </c>
    </row>
    <row r="2126" spans="1:7">
      <c r="A2126" s="175" t="s">
        <v>4902</v>
      </c>
      <c r="B2126" s="217" t="str">
        <f t="shared" si="33"/>
        <v>271500000[円]</v>
      </c>
      <c r="C2126" s="216">
        <v>271500000</v>
      </c>
      <c r="D2126" s="175" t="s">
        <v>630</v>
      </c>
      <c r="E2126" s="175">
        <v>861430.481542486</v>
      </c>
      <c r="F2126" s="175" t="s">
        <v>265</v>
      </c>
      <c r="G2126" s="175" t="s">
        <v>4903</v>
      </c>
    </row>
    <row r="2127" spans="1:7">
      <c r="A2127" s="175" t="s">
        <v>4904</v>
      </c>
      <c r="B2127" s="217" t="str">
        <f t="shared" si="33"/>
        <v>271511000[円]</v>
      </c>
      <c r="C2127" s="216">
        <v>271511000</v>
      </c>
      <c r="D2127" s="175" t="s">
        <v>630</v>
      </c>
      <c r="E2127" s="175">
        <v>744462.51747004106</v>
      </c>
      <c r="F2127" s="175" t="s">
        <v>265</v>
      </c>
      <c r="G2127" s="175" t="s">
        <v>1730</v>
      </c>
    </row>
    <row r="2128" spans="1:7">
      <c r="A2128" s="175" t="s">
        <v>4905</v>
      </c>
      <c r="B2128" s="217" t="str">
        <f t="shared" si="33"/>
        <v>271512000[円]</v>
      </c>
      <c r="C2128" s="216">
        <v>271512000</v>
      </c>
      <c r="D2128" s="175" t="s">
        <v>630</v>
      </c>
      <c r="E2128" s="175">
        <v>1080250.8900756601</v>
      </c>
      <c r="F2128" s="175" t="s">
        <v>265</v>
      </c>
      <c r="G2128" s="175" t="s">
        <v>1731</v>
      </c>
    </row>
    <row r="2129" spans="1:7">
      <c r="A2129" s="175" t="s">
        <v>4906</v>
      </c>
      <c r="B2129" s="217" t="str">
        <f t="shared" si="33"/>
        <v>271611000[円]</v>
      </c>
      <c r="C2129" s="216">
        <v>271611000</v>
      </c>
      <c r="D2129" s="175" t="s">
        <v>630</v>
      </c>
      <c r="E2129" s="175">
        <v>11569.3415550849</v>
      </c>
      <c r="F2129" s="175" t="s">
        <v>265</v>
      </c>
      <c r="G2129" s="175" t="s">
        <v>1732</v>
      </c>
    </row>
    <row r="2130" spans="1:7">
      <c r="A2130" s="175" t="s">
        <v>4907</v>
      </c>
      <c r="B2130" s="217" t="str">
        <f t="shared" si="33"/>
        <v>271612000[円]</v>
      </c>
      <c r="C2130" s="216">
        <v>271612000</v>
      </c>
      <c r="D2130" s="175" t="s">
        <v>630</v>
      </c>
      <c r="E2130" s="175">
        <v>7813.8364596237698</v>
      </c>
      <c r="F2130" s="175" t="s">
        <v>265</v>
      </c>
      <c r="G2130" s="175" t="s">
        <v>1733</v>
      </c>
    </row>
    <row r="2131" spans="1:7">
      <c r="A2131" s="175" t="s">
        <v>4908</v>
      </c>
      <c r="B2131" s="217" t="str">
        <f t="shared" si="33"/>
        <v>271613000[円]</v>
      </c>
      <c r="C2131" s="216">
        <v>271613000</v>
      </c>
      <c r="D2131" s="175" t="s">
        <v>630</v>
      </c>
      <c r="E2131" s="175">
        <v>10620.275927687901</v>
      </c>
      <c r="F2131" s="175" t="s">
        <v>265</v>
      </c>
      <c r="G2131" s="175" t="s">
        <v>1734</v>
      </c>
    </row>
    <row r="2132" spans="1:7">
      <c r="A2132" s="175" t="s">
        <v>4909</v>
      </c>
      <c r="B2132" s="217" t="str">
        <f t="shared" si="33"/>
        <v>271619000[個]</v>
      </c>
      <c r="C2132" s="216">
        <v>271619000</v>
      </c>
      <c r="D2132" s="175" t="s">
        <v>265</v>
      </c>
      <c r="E2132" s="175">
        <v>3.84314952028384E-3</v>
      </c>
      <c r="F2132" s="175" t="s">
        <v>629</v>
      </c>
      <c r="G2132" s="175" t="s">
        <v>1735</v>
      </c>
    </row>
    <row r="2133" spans="1:7">
      <c r="A2133" s="175" t="s">
        <v>4910</v>
      </c>
      <c r="B2133" s="217" t="str">
        <f t="shared" si="33"/>
        <v>271911000[円]</v>
      </c>
      <c r="C2133" s="216">
        <v>271911000</v>
      </c>
      <c r="D2133" s="175" t="s">
        <v>630</v>
      </c>
      <c r="E2133" s="175">
        <v>706.37068754195502</v>
      </c>
      <c r="F2133" s="175" t="s">
        <v>265</v>
      </c>
      <c r="G2133" s="175" t="s">
        <v>4911</v>
      </c>
    </row>
    <row r="2134" spans="1:7">
      <c r="A2134" s="175" t="s">
        <v>4912</v>
      </c>
      <c r="B2134" s="217" t="str">
        <f t="shared" si="33"/>
        <v>271912000[円]</v>
      </c>
      <c r="C2134" s="216">
        <v>271912000</v>
      </c>
      <c r="D2134" s="175" t="s">
        <v>1655</v>
      </c>
      <c r="E2134" s="175">
        <v>2711108.2686158102</v>
      </c>
      <c r="F2134" s="175" t="s">
        <v>265</v>
      </c>
      <c r="G2134" s="175" t="s">
        <v>1736</v>
      </c>
    </row>
    <row r="2135" spans="1:7">
      <c r="A2135" s="175" t="s">
        <v>4913</v>
      </c>
      <c r="B2135" s="217" t="str">
        <f t="shared" si="33"/>
        <v>271914000[式]</v>
      </c>
      <c r="C2135" s="216">
        <v>271914000</v>
      </c>
      <c r="D2135" s="175" t="s">
        <v>265</v>
      </c>
      <c r="E2135" s="175">
        <v>1.3133921511908199E-5</v>
      </c>
      <c r="F2135" s="175" t="s">
        <v>1631</v>
      </c>
      <c r="G2135" s="175" t="s">
        <v>6950</v>
      </c>
    </row>
    <row r="2136" spans="1:7">
      <c r="A2136" s="175" t="s">
        <v>4914</v>
      </c>
      <c r="B2136" s="217" t="str">
        <f t="shared" si="33"/>
        <v>272100000[台]</v>
      </c>
      <c r="C2136" s="216">
        <v>272100000</v>
      </c>
      <c r="D2136" s="175" t="s">
        <v>265</v>
      </c>
      <c r="E2136" s="175">
        <v>4.101836291132E-5</v>
      </c>
      <c r="F2136" s="175" t="s">
        <v>630</v>
      </c>
      <c r="G2136" s="175" t="s">
        <v>4915</v>
      </c>
    </row>
    <row r="2137" spans="1:7">
      <c r="A2137" s="175" t="s">
        <v>4916</v>
      </c>
      <c r="B2137" s="217" t="str">
        <f t="shared" si="33"/>
        <v>272111000[円]</v>
      </c>
      <c r="C2137" s="216">
        <v>272111000</v>
      </c>
      <c r="D2137" s="175" t="s">
        <v>630</v>
      </c>
      <c r="E2137" s="175">
        <v>14959.4841876542</v>
      </c>
      <c r="F2137" s="175" t="s">
        <v>265</v>
      </c>
      <c r="G2137" s="175" t="s">
        <v>1742</v>
      </c>
    </row>
    <row r="2138" spans="1:7">
      <c r="A2138" s="175" t="s">
        <v>4917</v>
      </c>
      <c r="B2138" s="217" t="str">
        <f t="shared" si="33"/>
        <v>272112000[円]</v>
      </c>
      <c r="C2138" s="216">
        <v>272112000</v>
      </c>
      <c r="D2138" s="175" t="s">
        <v>630</v>
      </c>
      <c r="E2138" s="175">
        <v>20257.587544866099</v>
      </c>
      <c r="F2138" s="175" t="s">
        <v>265</v>
      </c>
      <c r="G2138" s="175" t="s">
        <v>1743</v>
      </c>
    </row>
    <row r="2139" spans="1:7">
      <c r="A2139" s="175" t="s">
        <v>4918</v>
      </c>
      <c r="B2139" s="217" t="str">
        <f t="shared" si="33"/>
        <v>272113000[円]</v>
      </c>
      <c r="C2139" s="216">
        <v>272113000</v>
      </c>
      <c r="D2139" s="175" t="s">
        <v>630</v>
      </c>
      <c r="E2139" s="175">
        <v>89621.486629731196</v>
      </c>
      <c r="F2139" s="175" t="s">
        <v>265</v>
      </c>
      <c r="G2139" s="175" t="s">
        <v>1744</v>
      </c>
    </row>
    <row r="2140" spans="1:7">
      <c r="A2140" s="175" t="s">
        <v>4919</v>
      </c>
      <c r="B2140" s="217" t="str">
        <f t="shared" si="33"/>
        <v>272119000[台]</v>
      </c>
      <c r="C2140" s="216">
        <v>272119000</v>
      </c>
      <c r="D2140" s="175" t="s">
        <v>265</v>
      </c>
      <c r="E2140" s="175">
        <v>1.41673500678567E-4</v>
      </c>
      <c r="F2140" s="175" t="s">
        <v>630</v>
      </c>
      <c r="G2140" s="175" t="s">
        <v>1745</v>
      </c>
    </row>
    <row r="2141" spans="1:7">
      <c r="A2141" s="175" t="s">
        <v>4920</v>
      </c>
      <c r="B2141" s="217" t="str">
        <f t="shared" si="33"/>
        <v>272200000[台]</v>
      </c>
      <c r="C2141" s="216">
        <v>272200000</v>
      </c>
      <c r="D2141" s="175" t="s">
        <v>265</v>
      </c>
      <c r="E2141" s="175">
        <v>2.3692856543205601E-5</v>
      </c>
      <c r="F2141" s="175" t="s">
        <v>630</v>
      </c>
      <c r="G2141" s="175" t="s">
        <v>4921</v>
      </c>
    </row>
    <row r="2142" spans="1:7">
      <c r="A2142" s="175" t="s">
        <v>4922</v>
      </c>
      <c r="B2142" s="217" t="str">
        <f t="shared" si="33"/>
        <v>272211000[円]</v>
      </c>
      <c r="C2142" s="216">
        <v>272211000</v>
      </c>
      <c r="D2142" s="175" t="s">
        <v>630</v>
      </c>
      <c r="E2142" s="175">
        <v>5625.3347633863204</v>
      </c>
      <c r="F2142" s="175" t="s">
        <v>265</v>
      </c>
      <c r="G2142" s="175" t="s">
        <v>1746</v>
      </c>
    </row>
    <row r="2143" spans="1:7">
      <c r="A2143" s="175" t="s">
        <v>4923</v>
      </c>
      <c r="B2143" s="217" t="str">
        <f t="shared" si="33"/>
        <v>272212000[円]</v>
      </c>
      <c r="C2143" s="216">
        <v>272212000</v>
      </c>
      <c r="D2143" s="175" t="s">
        <v>630</v>
      </c>
      <c r="E2143" s="175">
        <v>10047.684379103601</v>
      </c>
      <c r="F2143" s="175" t="s">
        <v>265</v>
      </c>
      <c r="G2143" s="175" t="s">
        <v>1747</v>
      </c>
    </row>
    <row r="2144" spans="1:7">
      <c r="A2144" s="175" t="s">
        <v>4924</v>
      </c>
      <c r="B2144" s="217" t="str">
        <f t="shared" si="33"/>
        <v>272213000[円]</v>
      </c>
      <c r="C2144" s="216">
        <v>272213000</v>
      </c>
      <c r="D2144" s="175" t="s">
        <v>630</v>
      </c>
      <c r="E2144" s="175">
        <v>74424.633023019094</v>
      </c>
      <c r="F2144" s="175" t="s">
        <v>265</v>
      </c>
      <c r="G2144" s="175" t="s">
        <v>1748</v>
      </c>
    </row>
    <row r="2145" spans="1:7">
      <c r="A2145" s="175" t="s">
        <v>4925</v>
      </c>
      <c r="B2145" s="217" t="str">
        <f t="shared" si="33"/>
        <v>272219000[台]</v>
      </c>
      <c r="C2145" s="216">
        <v>272219000</v>
      </c>
      <c r="D2145" s="175" t="s">
        <v>265</v>
      </c>
      <c r="E2145" s="175">
        <v>1.2436467140661E-5</v>
      </c>
      <c r="F2145" s="175" t="s">
        <v>630</v>
      </c>
      <c r="G2145" s="175" t="s">
        <v>1749</v>
      </c>
    </row>
    <row r="2146" spans="1:7">
      <c r="A2146" s="175" t="s">
        <v>4926</v>
      </c>
      <c r="B2146" s="217" t="str">
        <f t="shared" si="33"/>
        <v>272300000[台]</v>
      </c>
      <c r="C2146" s="216">
        <v>272300000</v>
      </c>
      <c r="D2146" s="175" t="s">
        <v>265</v>
      </c>
      <c r="E2146" s="175">
        <v>4.0932957473110197E-5</v>
      </c>
      <c r="F2146" s="175" t="s">
        <v>630</v>
      </c>
      <c r="G2146" s="175" t="s">
        <v>4927</v>
      </c>
    </row>
    <row r="2147" spans="1:7">
      <c r="A2147" s="175" t="s">
        <v>4928</v>
      </c>
      <c r="B2147" s="217" t="str">
        <f t="shared" si="33"/>
        <v>272311000[台]</v>
      </c>
      <c r="C2147" s="216">
        <v>272311000</v>
      </c>
      <c r="D2147" s="175" t="s">
        <v>265</v>
      </c>
      <c r="E2147" s="175">
        <v>2.11034650172918E-4</v>
      </c>
      <c r="F2147" s="175" t="s">
        <v>630</v>
      </c>
      <c r="G2147" s="175" t="s">
        <v>1750</v>
      </c>
    </row>
    <row r="2148" spans="1:7">
      <c r="A2148" s="175" t="s">
        <v>4929</v>
      </c>
      <c r="B2148" s="217" t="str">
        <f t="shared" si="33"/>
        <v>272312000[円]</v>
      </c>
      <c r="C2148" s="216">
        <v>272312000</v>
      </c>
      <c r="D2148" s="175" t="s">
        <v>630</v>
      </c>
      <c r="E2148" s="175">
        <v>38952.671733475203</v>
      </c>
      <c r="F2148" s="175" t="s">
        <v>265</v>
      </c>
      <c r="G2148" s="175" t="s">
        <v>1751</v>
      </c>
    </row>
    <row r="2149" spans="1:7">
      <c r="A2149" s="175" t="s">
        <v>4930</v>
      </c>
      <c r="B2149" s="217" t="str">
        <f t="shared" si="33"/>
        <v>272313000[円]</v>
      </c>
      <c r="C2149" s="216">
        <v>272313000</v>
      </c>
      <c r="D2149" s="175" t="s">
        <v>630</v>
      </c>
      <c r="E2149" s="175">
        <v>13570.583723169</v>
      </c>
      <c r="F2149" s="175" t="s">
        <v>265</v>
      </c>
      <c r="G2149" s="175" t="s">
        <v>1752</v>
      </c>
    </row>
    <row r="2150" spans="1:7">
      <c r="A2150" s="175" t="s">
        <v>4931</v>
      </c>
      <c r="B2150" s="217" t="str">
        <f t="shared" si="33"/>
        <v>272314000[円]</v>
      </c>
      <c r="C2150" s="216">
        <v>272314000</v>
      </c>
      <c r="D2150" s="175" t="s">
        <v>630</v>
      </c>
      <c r="E2150" s="175">
        <v>28340.1099668397</v>
      </c>
      <c r="F2150" s="175" t="s">
        <v>265</v>
      </c>
      <c r="G2150" s="175" t="s">
        <v>4932</v>
      </c>
    </row>
    <row r="2151" spans="1:7">
      <c r="A2151" s="175" t="s">
        <v>4933</v>
      </c>
      <c r="B2151" s="217" t="str">
        <f t="shared" si="33"/>
        <v>272319000[台]</v>
      </c>
      <c r="C2151" s="216">
        <v>272319000</v>
      </c>
      <c r="D2151" s="175" t="s">
        <v>265</v>
      </c>
      <c r="E2151" s="175">
        <v>7.0894931745570702E-5</v>
      </c>
      <c r="F2151" s="175" t="s">
        <v>630</v>
      </c>
      <c r="G2151" s="175" t="s">
        <v>1753</v>
      </c>
    </row>
    <row r="2152" spans="1:7">
      <c r="A2152" s="175" t="s">
        <v>4934</v>
      </c>
      <c r="B2152" s="217" t="str">
        <f t="shared" si="33"/>
        <v>272900000[台]</v>
      </c>
      <c r="C2152" s="216">
        <v>272900000</v>
      </c>
      <c r="D2152" s="175" t="s">
        <v>265</v>
      </c>
      <c r="E2152" s="175">
        <v>1.64314883020857E-4</v>
      </c>
      <c r="F2152" s="175" t="s">
        <v>630</v>
      </c>
      <c r="G2152" s="175" t="s">
        <v>4935</v>
      </c>
    </row>
    <row r="2153" spans="1:7">
      <c r="A2153" s="175" t="s">
        <v>4936</v>
      </c>
      <c r="B2153" s="217" t="str">
        <f t="shared" si="33"/>
        <v>272911000[台]</v>
      </c>
      <c r="C2153" s="216">
        <v>272911000</v>
      </c>
      <c r="D2153" s="175" t="s">
        <v>265</v>
      </c>
      <c r="E2153" s="175">
        <v>9.0444068255687997E-5</v>
      </c>
      <c r="F2153" s="175" t="s">
        <v>630</v>
      </c>
      <c r="G2153" s="175" t="s">
        <v>1754</v>
      </c>
    </row>
    <row r="2154" spans="1:7">
      <c r="A2154" s="175" t="s">
        <v>4937</v>
      </c>
      <c r="B2154" s="217" t="str">
        <f t="shared" si="33"/>
        <v>272912000[台]</v>
      </c>
      <c r="C2154" s="216">
        <v>272912000</v>
      </c>
      <c r="D2154" s="175" t="s">
        <v>265</v>
      </c>
      <c r="E2154" s="175">
        <v>1.8952181747134401E-4</v>
      </c>
      <c r="F2154" s="175" t="s">
        <v>630</v>
      </c>
      <c r="G2154" s="175" t="s">
        <v>1755</v>
      </c>
    </row>
    <row r="2155" spans="1:7">
      <c r="A2155" s="175" t="s">
        <v>4938</v>
      </c>
      <c r="B2155" s="217" t="str">
        <f t="shared" si="33"/>
        <v>272919000[台]</v>
      </c>
      <c r="C2155" s="216">
        <v>272919000</v>
      </c>
      <c r="D2155" s="175" t="s">
        <v>265</v>
      </c>
      <c r="E2155" s="175">
        <v>1.2452889675093501E-4</v>
      </c>
      <c r="F2155" s="175" t="s">
        <v>630</v>
      </c>
      <c r="G2155" s="175" t="s">
        <v>1756</v>
      </c>
    </row>
    <row r="2156" spans="1:7">
      <c r="A2156" s="175" t="s">
        <v>4939</v>
      </c>
      <c r="B2156" s="217" t="str">
        <f t="shared" si="33"/>
        <v>273100000[個]</v>
      </c>
      <c r="C2156" s="216">
        <v>273100000</v>
      </c>
      <c r="D2156" s="175" t="s">
        <v>265</v>
      </c>
      <c r="E2156" s="175">
        <v>7.7964100080730797E-3</v>
      </c>
      <c r="F2156" s="175" t="s">
        <v>629</v>
      </c>
      <c r="G2156" s="175" t="s">
        <v>4940</v>
      </c>
    </row>
    <row r="2157" spans="1:7">
      <c r="A2157" s="175" t="s">
        <v>4941</v>
      </c>
      <c r="B2157" s="217" t="str">
        <f t="shared" si="33"/>
        <v>273111000[円]</v>
      </c>
      <c r="C2157" s="216">
        <v>273111000</v>
      </c>
      <c r="D2157" s="175" t="s">
        <v>629</v>
      </c>
      <c r="E2157" s="175">
        <v>69.253980434960795</v>
      </c>
      <c r="F2157" s="175" t="s">
        <v>265</v>
      </c>
      <c r="G2157" s="175" t="s">
        <v>1757</v>
      </c>
    </row>
    <row r="2158" spans="1:7">
      <c r="A2158" s="175" t="s">
        <v>4942</v>
      </c>
      <c r="B2158" s="217" t="str">
        <f t="shared" si="33"/>
        <v>273112000[円]</v>
      </c>
      <c r="C2158" s="216">
        <v>273112000</v>
      </c>
      <c r="D2158" s="175" t="s">
        <v>629</v>
      </c>
      <c r="E2158" s="175">
        <v>11.1938474637738</v>
      </c>
      <c r="F2158" s="175" t="s">
        <v>265</v>
      </c>
      <c r="G2158" s="175" t="s">
        <v>1758</v>
      </c>
    </row>
    <row r="2159" spans="1:7">
      <c r="A2159" s="175" t="s">
        <v>4943</v>
      </c>
      <c r="B2159" s="217" t="str">
        <f t="shared" si="33"/>
        <v>273113000[円]</v>
      </c>
      <c r="C2159" s="216">
        <v>273113000</v>
      </c>
      <c r="D2159" s="175" t="s">
        <v>629</v>
      </c>
      <c r="E2159" s="175">
        <v>17.375393157759699</v>
      </c>
      <c r="F2159" s="175" t="s">
        <v>265</v>
      </c>
      <c r="G2159" s="175" t="s">
        <v>1759</v>
      </c>
    </row>
    <row r="2160" spans="1:7">
      <c r="A2160" s="175" t="s">
        <v>4944</v>
      </c>
      <c r="B2160" s="217" t="str">
        <f t="shared" si="33"/>
        <v>273119000[個]</v>
      </c>
      <c r="C2160" s="216">
        <v>273119000</v>
      </c>
      <c r="D2160" s="175" t="s">
        <v>265</v>
      </c>
      <c r="E2160" s="175">
        <v>7.3084015898752398E-3</v>
      </c>
      <c r="F2160" s="175" t="s">
        <v>629</v>
      </c>
      <c r="G2160" s="175" t="s">
        <v>1760</v>
      </c>
    </row>
    <row r="2161" spans="1:7">
      <c r="A2161" s="175" t="s">
        <v>4945</v>
      </c>
      <c r="B2161" s="217" t="str">
        <f t="shared" si="33"/>
        <v>273121000[円]</v>
      </c>
      <c r="C2161" s="216">
        <v>273121000</v>
      </c>
      <c r="D2161" s="175" t="s">
        <v>629</v>
      </c>
      <c r="E2161" s="175">
        <v>252.803261926229</v>
      </c>
      <c r="F2161" s="175" t="s">
        <v>265</v>
      </c>
      <c r="G2161" s="175" t="s">
        <v>1761</v>
      </c>
    </row>
    <row r="2162" spans="1:7">
      <c r="A2162" s="175" t="s">
        <v>4946</v>
      </c>
      <c r="B2162" s="217" t="str">
        <f t="shared" si="33"/>
        <v>273129000[個]</v>
      </c>
      <c r="C2162" s="216">
        <v>273129000</v>
      </c>
      <c r="D2162" s="175" t="s">
        <v>265</v>
      </c>
      <c r="E2162" s="175">
        <v>4.1710487094359303E-3</v>
      </c>
      <c r="F2162" s="175" t="s">
        <v>629</v>
      </c>
      <c r="G2162" s="175" t="s">
        <v>1762</v>
      </c>
    </row>
    <row r="2163" spans="1:7">
      <c r="A2163" s="175" t="s">
        <v>4947</v>
      </c>
      <c r="B2163" s="217" t="str">
        <f t="shared" si="33"/>
        <v>273200000[個]</v>
      </c>
      <c r="C2163" s="216">
        <v>273200000</v>
      </c>
      <c r="D2163" s="175" t="s">
        <v>265</v>
      </c>
      <c r="E2163" s="175">
        <v>3.0203638102641598E-4</v>
      </c>
      <c r="F2163" s="175" t="s">
        <v>629</v>
      </c>
      <c r="G2163" s="175" t="s">
        <v>4948</v>
      </c>
    </row>
    <row r="2164" spans="1:7">
      <c r="A2164" s="175" t="s">
        <v>4949</v>
      </c>
      <c r="B2164" s="217" t="str">
        <f t="shared" si="33"/>
        <v>273211000[円]</v>
      </c>
      <c r="C2164" s="216">
        <v>273211000</v>
      </c>
      <c r="D2164" s="175" t="s">
        <v>629</v>
      </c>
      <c r="E2164" s="175">
        <v>5392.6362077960803</v>
      </c>
      <c r="F2164" s="175" t="s">
        <v>265</v>
      </c>
      <c r="G2164" s="175" t="s">
        <v>1763</v>
      </c>
    </row>
    <row r="2165" spans="1:7">
      <c r="A2165" s="175" t="s">
        <v>4950</v>
      </c>
      <c r="B2165" s="217" t="str">
        <f t="shared" si="33"/>
        <v>273212000[円]</v>
      </c>
      <c r="C2165" s="216">
        <v>273212000</v>
      </c>
      <c r="D2165" s="175" t="s">
        <v>629</v>
      </c>
      <c r="E2165" s="175">
        <v>10237.662873651299</v>
      </c>
      <c r="F2165" s="175" t="s">
        <v>265</v>
      </c>
      <c r="G2165" s="175" t="s">
        <v>1764</v>
      </c>
    </row>
    <row r="2166" spans="1:7">
      <c r="A2166" s="175" t="s">
        <v>4951</v>
      </c>
      <c r="B2166" s="217" t="str">
        <f t="shared" si="33"/>
        <v>273213000[円]</v>
      </c>
      <c r="C2166" s="216">
        <v>273213000</v>
      </c>
      <c r="D2166" s="175" t="s">
        <v>629</v>
      </c>
      <c r="E2166" s="175">
        <v>7564.0823822641996</v>
      </c>
      <c r="F2166" s="175" t="s">
        <v>265</v>
      </c>
      <c r="G2166" s="175" t="s">
        <v>1765</v>
      </c>
    </row>
    <row r="2167" spans="1:7">
      <c r="A2167" s="175" t="s">
        <v>4952</v>
      </c>
      <c r="B2167" s="217" t="str">
        <f t="shared" si="33"/>
        <v>273214000[個]</v>
      </c>
      <c r="C2167" s="216">
        <v>273214000</v>
      </c>
      <c r="D2167" s="175" t="s">
        <v>265</v>
      </c>
      <c r="E2167" s="175">
        <v>2.3726843899113799E-4</v>
      </c>
      <c r="F2167" s="175" t="s">
        <v>629</v>
      </c>
      <c r="G2167" s="175" t="s">
        <v>4953</v>
      </c>
    </row>
    <row r="2168" spans="1:7">
      <c r="A2168" s="175" t="s">
        <v>4954</v>
      </c>
      <c r="B2168" s="217" t="str">
        <f t="shared" si="33"/>
        <v>273215000[円]</v>
      </c>
      <c r="C2168" s="216">
        <v>273215000</v>
      </c>
      <c r="D2168" s="175" t="s">
        <v>629</v>
      </c>
      <c r="E2168" s="175">
        <v>19607.3619631902</v>
      </c>
      <c r="F2168" s="175" t="s">
        <v>265</v>
      </c>
      <c r="G2168" s="175" t="s">
        <v>1766</v>
      </c>
    </row>
    <row r="2169" spans="1:7">
      <c r="A2169" s="175" t="s">
        <v>4955</v>
      </c>
      <c r="B2169" s="217" t="str">
        <f t="shared" si="33"/>
        <v>274100000[台]</v>
      </c>
      <c r="C2169" s="216">
        <v>274100000</v>
      </c>
      <c r="D2169" s="175" t="s">
        <v>265</v>
      </c>
      <c r="E2169" s="175">
        <v>1.3190402294664999E-7</v>
      </c>
      <c r="F2169" s="175" t="s">
        <v>630</v>
      </c>
      <c r="G2169" s="175" t="s">
        <v>4956</v>
      </c>
    </row>
    <row r="2170" spans="1:7">
      <c r="A2170" s="175" t="s">
        <v>4957</v>
      </c>
      <c r="B2170" s="217" t="str">
        <f t="shared" si="33"/>
        <v>274111000[円]</v>
      </c>
      <c r="C2170" s="216">
        <v>274111000</v>
      </c>
      <c r="D2170" s="175" t="s">
        <v>630</v>
      </c>
      <c r="E2170" s="175">
        <v>7826631.8285188898</v>
      </c>
      <c r="F2170" s="175" t="s">
        <v>265</v>
      </c>
      <c r="G2170" s="175" t="s">
        <v>1769</v>
      </c>
    </row>
    <row r="2171" spans="1:7">
      <c r="A2171" s="175" t="s">
        <v>4958</v>
      </c>
      <c r="B2171" s="217" t="str">
        <f t="shared" si="33"/>
        <v>274112000[台]</v>
      </c>
      <c r="C2171" s="216">
        <v>274112000</v>
      </c>
      <c r="D2171" s="175" t="s">
        <v>265</v>
      </c>
      <c r="E2171" s="175">
        <v>2.3060667429779E-7</v>
      </c>
      <c r="F2171" s="175" t="s">
        <v>630</v>
      </c>
      <c r="G2171" s="175" t="s">
        <v>1770</v>
      </c>
    </row>
    <row r="2172" spans="1:7">
      <c r="A2172" s="175" t="s">
        <v>4959</v>
      </c>
      <c r="B2172" s="217" t="str">
        <f t="shared" si="33"/>
        <v>274200000[円]</v>
      </c>
      <c r="C2172" s="216">
        <v>274200000</v>
      </c>
      <c r="D2172" s="175" t="s">
        <v>630</v>
      </c>
      <c r="E2172" s="175">
        <v>18597.046885792599</v>
      </c>
      <c r="F2172" s="175" t="s">
        <v>265</v>
      </c>
      <c r="G2172" s="175" t="s">
        <v>4960</v>
      </c>
    </row>
    <row r="2173" spans="1:7">
      <c r="A2173" s="175" t="s">
        <v>4961</v>
      </c>
      <c r="B2173" s="217" t="str">
        <f t="shared" si="33"/>
        <v>274211000[円]</v>
      </c>
      <c r="C2173" s="216">
        <v>274211000</v>
      </c>
      <c r="D2173" s="175" t="s">
        <v>630</v>
      </c>
      <c r="E2173" s="175">
        <v>19644.9171139102</v>
      </c>
      <c r="F2173" s="175" t="s">
        <v>265</v>
      </c>
      <c r="G2173" s="175" t="s">
        <v>4962</v>
      </c>
    </row>
    <row r="2174" spans="1:7">
      <c r="A2174" s="175" t="s">
        <v>4963</v>
      </c>
      <c r="B2174" s="217" t="str">
        <f t="shared" si="33"/>
        <v>274212000[円]</v>
      </c>
      <c r="C2174" s="216">
        <v>274212000</v>
      </c>
      <c r="D2174" s="175" t="s">
        <v>630</v>
      </c>
      <c r="E2174" s="175">
        <v>20453.818953192898</v>
      </c>
      <c r="F2174" s="175" t="s">
        <v>265</v>
      </c>
      <c r="G2174" s="175" t="s">
        <v>4964</v>
      </c>
    </row>
    <row r="2175" spans="1:7">
      <c r="A2175" s="175" t="s">
        <v>4965</v>
      </c>
      <c r="B2175" s="217" t="str">
        <f t="shared" si="33"/>
        <v>274213000[円]</v>
      </c>
      <c r="C2175" s="216">
        <v>274213000</v>
      </c>
      <c r="D2175" s="175" t="s">
        <v>630</v>
      </c>
      <c r="E2175" s="175">
        <v>17841.311833877899</v>
      </c>
      <c r="F2175" s="175" t="s">
        <v>265</v>
      </c>
      <c r="G2175" s="175" t="s">
        <v>1771</v>
      </c>
    </row>
    <row r="2176" spans="1:7">
      <c r="A2176" s="175" t="s">
        <v>4966</v>
      </c>
      <c r="B2176" s="217" t="str">
        <f t="shared" si="33"/>
        <v>274300000[円]</v>
      </c>
      <c r="C2176" s="216">
        <v>274300000</v>
      </c>
      <c r="D2176" s="175" t="s">
        <v>630</v>
      </c>
      <c r="E2176" s="175">
        <v>48599496.221662499</v>
      </c>
      <c r="F2176" s="175" t="s">
        <v>265</v>
      </c>
      <c r="G2176" s="175" t="s">
        <v>4967</v>
      </c>
    </row>
    <row r="2177" spans="1:7">
      <c r="A2177" s="175" t="s">
        <v>4968</v>
      </c>
      <c r="B2177" s="217" t="str">
        <f t="shared" si="33"/>
        <v>274311000[円]</v>
      </c>
      <c r="C2177" s="216">
        <v>274311000</v>
      </c>
      <c r="D2177" s="175" t="s">
        <v>630</v>
      </c>
      <c r="E2177" s="175">
        <v>48599496.221662499</v>
      </c>
      <c r="F2177" s="175" t="s">
        <v>265</v>
      </c>
      <c r="G2177" s="175" t="s">
        <v>1772</v>
      </c>
    </row>
    <row r="2178" spans="1:7">
      <c r="A2178" s="175" t="s">
        <v>4969</v>
      </c>
      <c r="B2178" s="217" t="str">
        <f t="shared" ref="B2178:B2241" si="34">C2178&amp;"["&amp;F2178&amp;"]"</f>
        <v>274911000[円]</v>
      </c>
      <c r="C2178" s="216">
        <v>274911000</v>
      </c>
      <c r="D2178" s="175" t="s">
        <v>630</v>
      </c>
      <c r="E2178" s="175">
        <v>731223.09797551401</v>
      </c>
      <c r="F2178" s="175" t="s">
        <v>265</v>
      </c>
      <c r="G2178" s="175" t="s">
        <v>1773</v>
      </c>
    </row>
    <row r="2179" spans="1:7">
      <c r="A2179" s="175" t="s">
        <v>4970</v>
      </c>
      <c r="B2179" s="217" t="str">
        <f t="shared" si="34"/>
        <v>274912000[円]</v>
      </c>
      <c r="C2179" s="216">
        <v>274912000</v>
      </c>
      <c r="D2179" s="175" t="s">
        <v>630</v>
      </c>
      <c r="E2179" s="175">
        <v>1982233.5025380701</v>
      </c>
      <c r="F2179" s="175" t="s">
        <v>265</v>
      </c>
      <c r="G2179" s="175" t="s">
        <v>6951</v>
      </c>
    </row>
    <row r="2180" spans="1:7">
      <c r="A2180" s="175" t="s">
        <v>4971</v>
      </c>
      <c r="B2180" s="217" t="str">
        <f t="shared" si="34"/>
        <v>274913000[円]</v>
      </c>
      <c r="C2180" s="216">
        <v>274913000</v>
      </c>
      <c r="D2180" s="175" t="s">
        <v>630</v>
      </c>
      <c r="E2180" s="175">
        <v>20712147.134302799</v>
      </c>
      <c r="F2180" s="175" t="s">
        <v>265</v>
      </c>
      <c r="G2180" s="175" t="s">
        <v>1775</v>
      </c>
    </row>
    <row r="2181" spans="1:7">
      <c r="A2181" s="175" t="s">
        <v>4972</v>
      </c>
      <c r="B2181" s="217" t="str">
        <f t="shared" si="34"/>
        <v>275111000[円]</v>
      </c>
      <c r="C2181" s="216">
        <v>275111000</v>
      </c>
      <c r="D2181" s="175" t="s">
        <v>629</v>
      </c>
      <c r="E2181" s="175">
        <v>10381.926292072099</v>
      </c>
      <c r="F2181" s="175" t="s">
        <v>265</v>
      </c>
      <c r="G2181" s="175" t="s">
        <v>1777</v>
      </c>
    </row>
    <row r="2182" spans="1:7">
      <c r="A2182" s="175" t="s">
        <v>4973</v>
      </c>
      <c r="B2182" s="217" t="str">
        <f t="shared" si="34"/>
        <v>275112000[台]</v>
      </c>
      <c r="C2182" s="216">
        <v>275112000</v>
      </c>
      <c r="D2182" s="175" t="s">
        <v>265</v>
      </c>
      <c r="E2182" s="175">
        <v>9.4727506607618692E-6</v>
      </c>
      <c r="F2182" s="175" t="s">
        <v>630</v>
      </c>
      <c r="G2182" s="175" t="s">
        <v>1778</v>
      </c>
    </row>
    <row r="2183" spans="1:7">
      <c r="A2183" s="175" t="s">
        <v>4974</v>
      </c>
      <c r="B2183" s="217" t="str">
        <f t="shared" si="34"/>
        <v>275113000[円]</v>
      </c>
      <c r="C2183" s="216">
        <v>275113000</v>
      </c>
      <c r="D2183" s="175" t="s">
        <v>630</v>
      </c>
      <c r="E2183" s="175">
        <v>5183574.0386288501</v>
      </c>
      <c r="F2183" s="175" t="s">
        <v>265</v>
      </c>
      <c r="G2183" s="175" t="s">
        <v>1779</v>
      </c>
    </row>
    <row r="2184" spans="1:7">
      <c r="A2184" s="175" t="s">
        <v>4975</v>
      </c>
      <c r="B2184" s="217" t="str">
        <f t="shared" si="34"/>
        <v>275200000[台]</v>
      </c>
      <c r="C2184" s="216">
        <v>275200000</v>
      </c>
      <c r="D2184" s="175" t="s">
        <v>265</v>
      </c>
      <c r="E2184" s="175">
        <v>7.5870311900240102E-6</v>
      </c>
      <c r="F2184" s="175" t="s">
        <v>630</v>
      </c>
      <c r="G2184" s="175" t="s">
        <v>4976</v>
      </c>
    </row>
    <row r="2185" spans="1:7">
      <c r="A2185" s="175" t="s">
        <v>4977</v>
      </c>
      <c r="B2185" s="217" t="str">
        <f t="shared" si="34"/>
        <v>275211000[台]</v>
      </c>
      <c r="C2185" s="216">
        <v>275211000</v>
      </c>
      <c r="D2185" s="175" t="s">
        <v>265</v>
      </c>
      <c r="E2185" s="175">
        <v>7.5870311900240102E-6</v>
      </c>
      <c r="F2185" s="175" t="s">
        <v>630</v>
      </c>
      <c r="G2185" s="175" t="s">
        <v>1781</v>
      </c>
    </row>
    <row r="2186" spans="1:7">
      <c r="A2186" s="175" t="s">
        <v>4978</v>
      </c>
      <c r="B2186" s="217" t="str">
        <f t="shared" si="34"/>
        <v>275300000[台]</v>
      </c>
      <c r="C2186" s="216">
        <v>275300000</v>
      </c>
      <c r="D2186" s="175" t="s">
        <v>265</v>
      </c>
      <c r="E2186" s="175">
        <v>4.0698771318540297E-5</v>
      </c>
      <c r="F2186" s="175" t="s">
        <v>630</v>
      </c>
      <c r="G2186" s="175" t="s">
        <v>4979</v>
      </c>
    </row>
    <row r="2187" spans="1:7">
      <c r="A2187" s="175" t="s">
        <v>4980</v>
      </c>
      <c r="B2187" s="217" t="str">
        <f t="shared" si="34"/>
        <v>275311000[台]</v>
      </c>
      <c r="C2187" s="216">
        <v>275311000</v>
      </c>
      <c r="D2187" s="175" t="s">
        <v>265</v>
      </c>
      <c r="E2187" s="175">
        <v>4.0698771318540297E-5</v>
      </c>
      <c r="F2187" s="175" t="s">
        <v>630</v>
      </c>
      <c r="G2187" s="175" t="s">
        <v>1782</v>
      </c>
    </row>
    <row r="2188" spans="1:7">
      <c r="A2188" s="175" t="s">
        <v>4981</v>
      </c>
      <c r="B2188" s="217" t="str">
        <f t="shared" si="34"/>
        <v>279100000[個]</v>
      </c>
      <c r="C2188" s="216">
        <v>279100000</v>
      </c>
      <c r="D2188" s="175" t="s">
        <v>265</v>
      </c>
      <c r="E2188" s="175">
        <v>3.3381127223151802E-3</v>
      </c>
      <c r="F2188" s="175" t="s">
        <v>629</v>
      </c>
      <c r="G2188" s="175" t="s">
        <v>4982</v>
      </c>
    </row>
    <row r="2189" spans="1:7">
      <c r="A2189" s="175" t="s">
        <v>4983</v>
      </c>
      <c r="B2189" s="217" t="str">
        <f t="shared" si="34"/>
        <v>279111000[kg-鉛]</v>
      </c>
      <c r="C2189" s="216">
        <v>279111000</v>
      </c>
      <c r="D2189" s="175" t="s">
        <v>629</v>
      </c>
      <c r="E2189" s="175">
        <v>5.6091174608361802</v>
      </c>
      <c r="F2189" s="175" t="s">
        <v>2027</v>
      </c>
      <c r="G2189" s="175" t="s">
        <v>1783</v>
      </c>
    </row>
    <row r="2190" spans="1:7">
      <c r="A2190" s="175" t="s">
        <v>4983</v>
      </c>
      <c r="B2190" s="217" t="str">
        <f t="shared" si="34"/>
        <v>279111000[円]</v>
      </c>
      <c r="C2190" s="216">
        <v>279111000</v>
      </c>
      <c r="D2190" s="175" t="s">
        <v>629</v>
      </c>
      <c r="E2190" s="175">
        <v>2860.9184312949401</v>
      </c>
      <c r="F2190" s="175" t="s">
        <v>265</v>
      </c>
      <c r="G2190" s="175" t="s">
        <v>1783</v>
      </c>
    </row>
    <row r="2191" spans="1:7">
      <c r="A2191" s="175" t="s">
        <v>4984</v>
      </c>
      <c r="B2191" s="217" t="str">
        <f t="shared" si="34"/>
        <v>279112000[円]</v>
      </c>
      <c r="C2191" s="216">
        <v>279112000</v>
      </c>
      <c r="D2191" s="175" t="s">
        <v>629</v>
      </c>
      <c r="E2191" s="175">
        <v>1586.9989509239899</v>
      </c>
      <c r="F2191" s="175" t="s">
        <v>265</v>
      </c>
      <c r="G2191" s="175" t="s">
        <v>1784</v>
      </c>
    </row>
    <row r="2192" spans="1:7">
      <c r="A2192" s="175" t="s">
        <v>4984</v>
      </c>
      <c r="B2192" s="217" t="str">
        <f t="shared" si="34"/>
        <v>279112000[Ah]</v>
      </c>
      <c r="C2192" s="216">
        <v>279112000</v>
      </c>
      <c r="D2192" s="175" t="s">
        <v>629</v>
      </c>
      <c r="E2192" s="175">
        <v>1.2419647014608199</v>
      </c>
      <c r="F2192" s="175" t="s">
        <v>2025</v>
      </c>
      <c r="G2192" s="175" t="s">
        <v>1784</v>
      </c>
    </row>
    <row r="2193" spans="1:7">
      <c r="A2193" s="175" t="s">
        <v>4985</v>
      </c>
      <c r="B2193" s="217" t="str">
        <f t="shared" si="34"/>
        <v>279113000[Ah]</v>
      </c>
      <c r="C2193" s="216">
        <v>279113000</v>
      </c>
      <c r="D2193" s="175" t="s">
        <v>629</v>
      </c>
      <c r="E2193" s="175">
        <v>1.0111627093008</v>
      </c>
      <c r="F2193" s="175" t="s">
        <v>2025</v>
      </c>
      <c r="G2193" s="175" t="s">
        <v>1785</v>
      </c>
    </row>
    <row r="2194" spans="1:7">
      <c r="A2194" s="175" t="s">
        <v>4985</v>
      </c>
      <c r="B2194" s="217" t="str">
        <f t="shared" si="34"/>
        <v>279113000[円]</v>
      </c>
      <c r="C2194" s="216">
        <v>279113000</v>
      </c>
      <c r="D2194" s="175" t="s">
        <v>629</v>
      </c>
      <c r="E2194" s="175">
        <v>242.944261476267</v>
      </c>
      <c r="F2194" s="175" t="s">
        <v>265</v>
      </c>
      <c r="G2194" s="175" t="s">
        <v>1785</v>
      </c>
    </row>
    <row r="2195" spans="1:7">
      <c r="A2195" s="175" t="s">
        <v>4986</v>
      </c>
      <c r="B2195" s="217" t="str">
        <f t="shared" si="34"/>
        <v>279200000[円]</v>
      </c>
      <c r="C2195" s="216">
        <v>279200000</v>
      </c>
      <c r="D2195" s="175" t="s">
        <v>629</v>
      </c>
      <c r="E2195" s="175">
        <v>26.412785422573101</v>
      </c>
      <c r="F2195" s="175" t="s">
        <v>265</v>
      </c>
      <c r="G2195" s="175" t="s">
        <v>4987</v>
      </c>
    </row>
    <row r="2196" spans="1:7">
      <c r="A2196" s="175" t="s">
        <v>4988</v>
      </c>
      <c r="B2196" s="217" t="str">
        <f t="shared" si="34"/>
        <v>279219000[円]</v>
      </c>
      <c r="C2196" s="216">
        <v>279219000</v>
      </c>
      <c r="D2196" s="175" t="s">
        <v>629</v>
      </c>
      <c r="E2196" s="175">
        <v>26.098903715556599</v>
      </c>
      <c r="F2196" s="175" t="s">
        <v>265</v>
      </c>
      <c r="G2196" s="175" t="s">
        <v>1787</v>
      </c>
    </row>
    <row r="2197" spans="1:7">
      <c r="A2197" s="175" t="s">
        <v>4989</v>
      </c>
      <c r="B2197" s="217" t="str">
        <f t="shared" si="34"/>
        <v>279311000[m2]</v>
      </c>
      <c r="C2197" s="216">
        <v>279311000</v>
      </c>
      <c r="D2197" s="175" t="s">
        <v>265</v>
      </c>
      <c r="E2197" s="175">
        <v>7.5109186873026298E-3</v>
      </c>
      <c r="F2197" s="175" t="s">
        <v>425</v>
      </c>
      <c r="G2197" s="175" t="s">
        <v>4990</v>
      </c>
    </row>
    <row r="2198" spans="1:7">
      <c r="A2198" s="175" t="s">
        <v>4991</v>
      </c>
      <c r="B2198" s="217" t="str">
        <f t="shared" si="34"/>
        <v>279312000[枚]</v>
      </c>
      <c r="C2198" s="216">
        <v>279312000</v>
      </c>
      <c r="D2198" s="175" t="s">
        <v>265</v>
      </c>
      <c r="E2198" s="175">
        <v>2.2086778388665702E-2</v>
      </c>
      <c r="F2198" s="175" t="s">
        <v>641</v>
      </c>
      <c r="G2198" s="175" t="s">
        <v>4992</v>
      </c>
    </row>
    <row r="2199" spans="1:7">
      <c r="A2199" s="175" t="s">
        <v>4993</v>
      </c>
      <c r="B2199" s="217" t="str">
        <f t="shared" si="34"/>
        <v>279912000[m2]</v>
      </c>
      <c r="C2199" s="216">
        <v>279912000</v>
      </c>
      <c r="D2199" s="175" t="s">
        <v>265</v>
      </c>
      <c r="E2199" s="175">
        <v>6.6889632107023402E-6</v>
      </c>
      <c r="F2199" s="175" t="s">
        <v>425</v>
      </c>
      <c r="G2199" s="175" t="s">
        <v>4994</v>
      </c>
    </row>
    <row r="2200" spans="1:7">
      <c r="A2200" s="175" t="s">
        <v>4995</v>
      </c>
      <c r="B2200" s="217" t="str">
        <f t="shared" si="34"/>
        <v>279912201[kg]</v>
      </c>
      <c r="C2200" s="216">
        <v>279912201</v>
      </c>
      <c r="D2200" s="175" t="s">
        <v>425</v>
      </c>
      <c r="E2200" s="175">
        <v>0.46576711644177898</v>
      </c>
      <c r="F2200" s="175" t="s">
        <v>235</v>
      </c>
      <c r="G2200" s="175" t="s">
        <v>4996</v>
      </c>
    </row>
    <row r="2201" spans="1:7">
      <c r="A2201" s="175" t="s">
        <v>4997</v>
      </c>
      <c r="B2201" s="217" t="str">
        <f t="shared" si="34"/>
        <v>281111000[円]</v>
      </c>
      <c r="C2201" s="216">
        <v>281111000</v>
      </c>
      <c r="D2201" s="175" t="s">
        <v>630</v>
      </c>
      <c r="E2201" s="175">
        <v>14640.374213953301</v>
      </c>
      <c r="F2201" s="175" t="s">
        <v>265</v>
      </c>
      <c r="G2201" s="175" t="s">
        <v>1788</v>
      </c>
    </row>
    <row r="2202" spans="1:7">
      <c r="A2202" s="175" t="s">
        <v>4998</v>
      </c>
      <c r="B2202" s="217" t="str">
        <f t="shared" si="34"/>
        <v>281113000[台]</v>
      </c>
      <c r="C2202" s="216">
        <v>281113000</v>
      </c>
      <c r="D2202" s="175" t="s">
        <v>265</v>
      </c>
      <c r="E2202" s="175">
        <v>2.2570960365853699E-4</v>
      </c>
      <c r="F2202" s="175" t="s">
        <v>630</v>
      </c>
      <c r="G2202" s="175" t="s">
        <v>1790</v>
      </c>
    </row>
    <row r="2203" spans="1:7">
      <c r="A2203" s="175" t="s">
        <v>4999</v>
      </c>
      <c r="B2203" s="217" t="str">
        <f t="shared" si="34"/>
        <v>281119000[台]</v>
      </c>
      <c r="C2203" s="216">
        <v>281119000</v>
      </c>
      <c r="D2203" s="175" t="s">
        <v>265</v>
      </c>
      <c r="E2203" s="175">
        <v>6.5489427122953904E-5</v>
      </c>
      <c r="F2203" s="175" t="s">
        <v>630</v>
      </c>
      <c r="G2203" s="175" t="s">
        <v>5000</v>
      </c>
    </row>
    <row r="2204" spans="1:7">
      <c r="A2204" s="175" t="s">
        <v>5001</v>
      </c>
      <c r="B2204" s="217" t="str">
        <f t="shared" si="34"/>
        <v>281131000[円]</v>
      </c>
      <c r="C2204" s="216">
        <v>281131000</v>
      </c>
      <c r="D2204" s="175" t="s">
        <v>630</v>
      </c>
      <c r="E2204" s="175">
        <v>13541498.384491101</v>
      </c>
      <c r="F2204" s="175" t="s">
        <v>265</v>
      </c>
      <c r="G2204" s="175" t="s">
        <v>1791</v>
      </c>
    </row>
    <row r="2205" spans="1:7">
      <c r="A2205" s="175" t="s">
        <v>5002</v>
      </c>
      <c r="B2205" s="217" t="str">
        <f t="shared" si="34"/>
        <v>281132000[円]</v>
      </c>
      <c r="C2205" s="216">
        <v>281132000</v>
      </c>
      <c r="D2205" s="175" t="s">
        <v>630</v>
      </c>
      <c r="E2205" s="175">
        <v>12680.2631963028</v>
      </c>
      <c r="F2205" s="175" t="s">
        <v>265</v>
      </c>
      <c r="G2205" s="175" t="s">
        <v>5003</v>
      </c>
    </row>
    <row r="2206" spans="1:7">
      <c r="A2206" s="175" t="s">
        <v>5004</v>
      </c>
      <c r="B2206" s="217" t="str">
        <f t="shared" si="34"/>
        <v>281200000[台]</v>
      </c>
      <c r="C2206" s="216">
        <v>281200000</v>
      </c>
      <c r="D2206" s="175" t="s">
        <v>265</v>
      </c>
      <c r="E2206" s="175">
        <v>1.9504026210095999E-6</v>
      </c>
      <c r="F2206" s="175" t="s">
        <v>630</v>
      </c>
      <c r="G2206" s="175" t="s">
        <v>5005</v>
      </c>
    </row>
    <row r="2207" spans="1:7">
      <c r="A2207" s="175" t="s">
        <v>5006</v>
      </c>
      <c r="B2207" s="217" t="str">
        <f t="shared" si="34"/>
        <v>281211000[円]</v>
      </c>
      <c r="C2207" s="216">
        <v>281211000</v>
      </c>
      <c r="D2207" s="175" t="s">
        <v>630</v>
      </c>
      <c r="E2207" s="175">
        <v>182432.840491707</v>
      </c>
      <c r="F2207" s="175" t="s">
        <v>265</v>
      </c>
      <c r="G2207" s="175" t="s">
        <v>5007</v>
      </c>
    </row>
    <row r="2208" spans="1:7">
      <c r="A2208" s="175" t="s">
        <v>5008</v>
      </c>
      <c r="B2208" s="217" t="str">
        <f t="shared" si="34"/>
        <v>281212000[台]</v>
      </c>
      <c r="C2208" s="216">
        <v>281212000</v>
      </c>
      <c r="D2208" s="175" t="s">
        <v>265</v>
      </c>
      <c r="E2208" s="175">
        <v>7.3885428117747595E-7</v>
      </c>
      <c r="F2208" s="175" t="s">
        <v>630</v>
      </c>
      <c r="G2208" s="175" t="s">
        <v>1792</v>
      </c>
    </row>
    <row r="2209" spans="1:7">
      <c r="A2209" s="175" t="s">
        <v>5009</v>
      </c>
      <c r="B2209" s="217" t="str">
        <f t="shared" si="34"/>
        <v>281213000[円]</v>
      </c>
      <c r="C2209" s="216">
        <v>281213000</v>
      </c>
      <c r="D2209" s="175" t="s">
        <v>630</v>
      </c>
      <c r="E2209" s="175">
        <v>36703.588343777701</v>
      </c>
      <c r="F2209" s="175" t="s">
        <v>265</v>
      </c>
      <c r="G2209" s="175" t="s">
        <v>5010</v>
      </c>
    </row>
    <row r="2210" spans="1:7">
      <c r="A2210" s="175" t="s">
        <v>5011</v>
      </c>
      <c r="B2210" s="217" t="str">
        <f t="shared" si="34"/>
        <v>281214000[台]</v>
      </c>
      <c r="C2210" s="216">
        <v>281214000</v>
      </c>
      <c r="D2210" s="175" t="s">
        <v>265</v>
      </c>
      <c r="E2210" s="175">
        <v>4.6487498859979398E-5</v>
      </c>
      <c r="F2210" s="175" t="s">
        <v>630</v>
      </c>
      <c r="G2210" s="175" t="s">
        <v>1793</v>
      </c>
    </row>
    <row r="2211" spans="1:7">
      <c r="A2211" s="175" t="s">
        <v>5012</v>
      </c>
      <c r="B2211" s="217" t="str">
        <f t="shared" si="34"/>
        <v>281216000[台]</v>
      </c>
      <c r="C2211" s="216">
        <v>281216000</v>
      </c>
      <c r="D2211" s="175" t="s">
        <v>265</v>
      </c>
      <c r="E2211" s="175">
        <v>1.2381481086082301E-6</v>
      </c>
      <c r="F2211" s="175" t="s">
        <v>630</v>
      </c>
      <c r="G2211" s="175" t="s">
        <v>1794</v>
      </c>
    </row>
    <row r="2212" spans="1:7">
      <c r="A2212" s="175" t="s">
        <v>5013</v>
      </c>
      <c r="B2212" s="217" t="str">
        <f t="shared" si="34"/>
        <v>281300000[円]</v>
      </c>
      <c r="C2212" s="216">
        <v>281300000</v>
      </c>
      <c r="D2212" s="175" t="s">
        <v>630</v>
      </c>
      <c r="E2212" s="175">
        <v>70426.150100903498</v>
      </c>
      <c r="F2212" s="175" t="s">
        <v>265</v>
      </c>
      <c r="G2212" s="175" t="s">
        <v>5014</v>
      </c>
    </row>
    <row r="2213" spans="1:7">
      <c r="A2213" s="175" t="s">
        <v>5015</v>
      </c>
      <c r="B2213" s="217" t="str">
        <f t="shared" si="34"/>
        <v>281311000[円]</v>
      </c>
      <c r="C2213" s="216">
        <v>281311000</v>
      </c>
      <c r="D2213" s="175" t="s">
        <v>630</v>
      </c>
      <c r="E2213" s="175">
        <v>5509.3943832618997</v>
      </c>
      <c r="F2213" s="175" t="s">
        <v>265</v>
      </c>
      <c r="G2213" s="175" t="s">
        <v>1796</v>
      </c>
    </row>
    <row r="2214" spans="1:7">
      <c r="A2214" s="175" t="s">
        <v>5016</v>
      </c>
      <c r="B2214" s="217" t="str">
        <f t="shared" si="34"/>
        <v>281312000[円]</v>
      </c>
      <c r="C2214" s="216">
        <v>281312000</v>
      </c>
      <c r="D2214" s="175" t="s">
        <v>630</v>
      </c>
      <c r="E2214" s="175">
        <v>69790.318256422994</v>
      </c>
      <c r="F2214" s="175" t="s">
        <v>265</v>
      </c>
      <c r="G2214" s="175" t="s">
        <v>5017</v>
      </c>
    </row>
    <row r="2215" spans="1:7">
      <c r="A2215" s="175" t="s">
        <v>5018</v>
      </c>
      <c r="B2215" s="217" t="str">
        <f t="shared" si="34"/>
        <v>281313000[円]</v>
      </c>
      <c r="C2215" s="216">
        <v>281313000</v>
      </c>
      <c r="D2215" s="175" t="s">
        <v>630</v>
      </c>
      <c r="E2215" s="175">
        <v>71283.030972127803</v>
      </c>
      <c r="F2215" s="175" t="s">
        <v>265</v>
      </c>
      <c r="G2215" s="175" t="s">
        <v>1797</v>
      </c>
    </row>
    <row r="2216" spans="1:7">
      <c r="A2216" s="175" t="s">
        <v>5019</v>
      </c>
      <c r="B2216" s="217" t="str">
        <f t="shared" si="34"/>
        <v>281400000[台]</v>
      </c>
      <c r="C2216" s="216">
        <v>281400000</v>
      </c>
      <c r="D2216" s="175" t="s">
        <v>265</v>
      </c>
      <c r="E2216" s="175">
        <v>6.9206309926737704E-5</v>
      </c>
      <c r="F2216" s="175" t="s">
        <v>630</v>
      </c>
      <c r="G2216" s="175" t="s">
        <v>5020</v>
      </c>
    </row>
    <row r="2217" spans="1:7">
      <c r="A2217" s="175" t="s">
        <v>5021</v>
      </c>
      <c r="B2217" s="217" t="str">
        <f t="shared" si="34"/>
        <v>281411000[円]</v>
      </c>
      <c r="C2217" s="216">
        <v>281411000</v>
      </c>
      <c r="D2217" s="175" t="s">
        <v>630</v>
      </c>
      <c r="E2217" s="175">
        <v>16177.401759828001</v>
      </c>
      <c r="F2217" s="175" t="s">
        <v>265</v>
      </c>
      <c r="G2217" s="175" t="s">
        <v>1798</v>
      </c>
    </row>
    <row r="2218" spans="1:7">
      <c r="A2218" s="175" t="s">
        <v>5022</v>
      </c>
      <c r="B2218" s="217" t="str">
        <f t="shared" si="34"/>
        <v>281412000[円]</v>
      </c>
      <c r="C2218" s="216">
        <v>281412000</v>
      </c>
      <c r="D2218" s="175" t="s">
        <v>630</v>
      </c>
      <c r="E2218" s="175">
        <v>10685.4288273724</v>
      </c>
      <c r="F2218" s="175" t="s">
        <v>265</v>
      </c>
      <c r="G2218" s="175" t="s">
        <v>1799</v>
      </c>
    </row>
    <row r="2219" spans="1:7">
      <c r="A2219" s="175" t="s">
        <v>5023</v>
      </c>
      <c r="B2219" s="217" t="str">
        <f t="shared" si="34"/>
        <v>281413000[円]</v>
      </c>
      <c r="C2219" s="216">
        <v>281413000</v>
      </c>
      <c r="D2219" s="175" t="s">
        <v>630</v>
      </c>
      <c r="E2219" s="175">
        <v>9401.6939055660605</v>
      </c>
      <c r="F2219" s="175" t="s">
        <v>265</v>
      </c>
      <c r="G2219" s="175" t="s">
        <v>1800</v>
      </c>
    </row>
    <row r="2220" spans="1:7">
      <c r="A2220" s="175" t="s">
        <v>5024</v>
      </c>
      <c r="B2220" s="217" t="str">
        <f t="shared" si="34"/>
        <v>281414000[台]</v>
      </c>
      <c r="C2220" s="216">
        <v>281414000</v>
      </c>
      <c r="D2220" s="175" t="s">
        <v>265</v>
      </c>
      <c r="E2220" s="175">
        <v>6.8931167925544395E-5</v>
      </c>
      <c r="F2220" s="175" t="s">
        <v>630</v>
      </c>
      <c r="G2220" s="175" t="s">
        <v>1801</v>
      </c>
    </row>
    <row r="2221" spans="1:7">
      <c r="A2221" s="175" t="s">
        <v>5025</v>
      </c>
      <c r="B2221" s="217" t="str">
        <f t="shared" si="34"/>
        <v>281415000[円]</v>
      </c>
      <c r="C2221" s="216">
        <v>281415000</v>
      </c>
      <c r="D2221" s="175" t="s">
        <v>630</v>
      </c>
      <c r="E2221" s="175">
        <v>29689.069848948398</v>
      </c>
      <c r="F2221" s="175" t="s">
        <v>265</v>
      </c>
      <c r="G2221" s="175" t="s">
        <v>1802</v>
      </c>
    </row>
    <row r="2222" spans="1:7">
      <c r="A2222" s="175" t="s">
        <v>5026</v>
      </c>
      <c r="B2222" s="217" t="str">
        <f t="shared" si="34"/>
        <v>281416000[台]</v>
      </c>
      <c r="C2222" s="216">
        <v>281416000</v>
      </c>
      <c r="D2222" s="175" t="s">
        <v>265</v>
      </c>
      <c r="E2222" s="175">
        <v>2.4610053171079298E-4</v>
      </c>
      <c r="F2222" s="175" t="s">
        <v>630</v>
      </c>
      <c r="G2222" s="175" t="s">
        <v>1803</v>
      </c>
    </row>
    <row r="2223" spans="1:7">
      <c r="A2223" s="175" t="s">
        <v>5027</v>
      </c>
      <c r="B2223" s="217" t="str">
        <f t="shared" si="34"/>
        <v>281417000[円]</v>
      </c>
      <c r="C2223" s="216">
        <v>281417000</v>
      </c>
      <c r="D2223" s="175" t="s">
        <v>630</v>
      </c>
      <c r="E2223" s="175">
        <v>41890.991400738298</v>
      </c>
      <c r="F2223" s="175" t="s">
        <v>265</v>
      </c>
      <c r="G2223" s="175" t="s">
        <v>1804</v>
      </c>
    </row>
    <row r="2224" spans="1:7">
      <c r="A2224" s="175" t="s">
        <v>5028</v>
      </c>
      <c r="B2224" s="217" t="str">
        <f t="shared" si="34"/>
        <v>281419000[台]</v>
      </c>
      <c r="C2224" s="216">
        <v>281419000</v>
      </c>
      <c r="D2224" s="175" t="s">
        <v>265</v>
      </c>
      <c r="E2224" s="175">
        <v>2.5663483180242099E-5</v>
      </c>
      <c r="F2224" s="175" t="s">
        <v>630</v>
      </c>
      <c r="G2224" s="175" t="s">
        <v>1805</v>
      </c>
    </row>
    <row r="2225" spans="1:7">
      <c r="A2225" s="175" t="s">
        <v>5029</v>
      </c>
      <c r="B2225" s="217" t="str">
        <f t="shared" si="34"/>
        <v>281421000[台]</v>
      </c>
      <c r="C2225" s="216">
        <v>281421000</v>
      </c>
      <c r="D2225" s="175" t="s">
        <v>265</v>
      </c>
      <c r="E2225" s="175">
        <v>6.9980544674933399E-4</v>
      </c>
      <c r="F2225" s="175" t="s">
        <v>630</v>
      </c>
      <c r="G2225" s="175" t="s">
        <v>5030</v>
      </c>
    </row>
    <row r="2226" spans="1:7">
      <c r="A2226" s="175" t="s">
        <v>5031</v>
      </c>
      <c r="B2226" s="217" t="str">
        <f t="shared" si="34"/>
        <v>282100000[円]</v>
      </c>
      <c r="C2226" s="216">
        <v>282100000</v>
      </c>
      <c r="D2226" s="175" t="s">
        <v>630</v>
      </c>
      <c r="E2226" s="175">
        <v>84931769.7228145</v>
      </c>
      <c r="F2226" s="175" t="s">
        <v>265</v>
      </c>
      <c r="G2226" s="175" t="s">
        <v>5032</v>
      </c>
    </row>
    <row r="2227" spans="1:7">
      <c r="A2227" s="175" t="s">
        <v>5033</v>
      </c>
      <c r="B2227" s="217" t="str">
        <f t="shared" si="34"/>
        <v>282111000[円]</v>
      </c>
      <c r="C2227" s="216">
        <v>282111000</v>
      </c>
      <c r="D2227" s="175" t="s">
        <v>630</v>
      </c>
      <c r="E2227" s="175">
        <v>84931769.7228145</v>
      </c>
      <c r="F2227" s="175" t="s">
        <v>265</v>
      </c>
      <c r="G2227" s="175" t="s">
        <v>1809</v>
      </c>
    </row>
    <row r="2228" spans="1:7">
      <c r="A2228" s="175" t="s">
        <v>5034</v>
      </c>
      <c r="B2228" s="217" t="str">
        <f t="shared" si="34"/>
        <v>282114000[円]</v>
      </c>
      <c r="C2228" s="216">
        <v>282114000</v>
      </c>
      <c r="D2228" s="175" t="s">
        <v>630</v>
      </c>
      <c r="E2228" s="175">
        <v>678339</v>
      </c>
      <c r="F2228" s="175" t="s">
        <v>265</v>
      </c>
      <c r="G2228" s="175" t="s">
        <v>5035</v>
      </c>
    </row>
    <row r="2229" spans="1:7">
      <c r="A2229" s="175" t="s">
        <v>5036</v>
      </c>
      <c r="B2229" s="217" t="str">
        <f t="shared" si="34"/>
        <v>282200000[円]</v>
      </c>
      <c r="C2229" s="216">
        <v>282200000</v>
      </c>
      <c r="D2229" s="175" t="s">
        <v>630</v>
      </c>
      <c r="E2229" s="175">
        <v>99361.881637691098</v>
      </c>
      <c r="F2229" s="175" t="s">
        <v>265</v>
      </c>
      <c r="G2229" s="175" t="s">
        <v>5037</v>
      </c>
    </row>
    <row r="2230" spans="1:7">
      <c r="A2230" s="175" t="s">
        <v>5038</v>
      </c>
      <c r="B2230" s="217" t="str">
        <f t="shared" si="34"/>
        <v>282211000[円]</v>
      </c>
      <c r="C2230" s="216">
        <v>282211000</v>
      </c>
      <c r="D2230" s="175" t="s">
        <v>630</v>
      </c>
      <c r="E2230" s="175">
        <v>99361.881637691098</v>
      </c>
      <c r="F2230" s="175" t="s">
        <v>265</v>
      </c>
      <c r="G2230" s="175" t="s">
        <v>1683</v>
      </c>
    </row>
    <row r="2231" spans="1:7">
      <c r="A2231" s="175" t="s">
        <v>5039</v>
      </c>
      <c r="B2231" s="217" t="str">
        <f t="shared" si="34"/>
        <v>282300000[台]</v>
      </c>
      <c r="C2231" s="216">
        <v>282300000</v>
      </c>
      <c r="D2231" s="175" t="s">
        <v>265</v>
      </c>
      <c r="E2231" s="175">
        <v>5.0380749436479098E-5</v>
      </c>
      <c r="F2231" s="175" t="s">
        <v>630</v>
      </c>
      <c r="G2231" s="175" t="s">
        <v>5040</v>
      </c>
    </row>
    <row r="2232" spans="1:7">
      <c r="A2232" s="175" t="s">
        <v>5041</v>
      </c>
      <c r="B2232" s="217" t="str">
        <f t="shared" si="34"/>
        <v>282311000[円]</v>
      </c>
      <c r="C2232" s="216">
        <v>282311000</v>
      </c>
      <c r="D2232" s="175" t="s">
        <v>630</v>
      </c>
      <c r="E2232" s="175">
        <v>5149.9965358767704</v>
      </c>
      <c r="F2232" s="175" t="s">
        <v>265</v>
      </c>
      <c r="G2232" s="175" t="s">
        <v>1684</v>
      </c>
    </row>
    <row r="2233" spans="1:7">
      <c r="A2233" s="175" t="s">
        <v>5042</v>
      </c>
      <c r="B2233" s="217" t="str">
        <f t="shared" si="34"/>
        <v>282312000[円]</v>
      </c>
      <c r="C2233" s="216">
        <v>282312000</v>
      </c>
      <c r="D2233" s="175" t="s">
        <v>630</v>
      </c>
      <c r="E2233" s="175">
        <v>11354.501607717</v>
      </c>
      <c r="F2233" s="175" t="s">
        <v>265</v>
      </c>
      <c r="G2233" s="175" t="s">
        <v>1685</v>
      </c>
    </row>
    <row r="2234" spans="1:7">
      <c r="A2234" s="175" t="s">
        <v>5043</v>
      </c>
      <c r="B2234" s="217" t="str">
        <f t="shared" si="34"/>
        <v>282313000[円]</v>
      </c>
      <c r="C2234" s="216">
        <v>282313000</v>
      </c>
      <c r="D2234" s="175" t="s">
        <v>630</v>
      </c>
      <c r="E2234" s="175">
        <v>7393.5031557376196</v>
      </c>
      <c r="F2234" s="175" t="s">
        <v>265</v>
      </c>
      <c r="G2234" s="175" t="s">
        <v>1686</v>
      </c>
    </row>
    <row r="2235" spans="1:7">
      <c r="A2235" s="175" t="s">
        <v>5044</v>
      </c>
      <c r="B2235" s="217" t="str">
        <f t="shared" si="34"/>
        <v>282319000[台]</v>
      </c>
      <c r="C2235" s="216">
        <v>282319000</v>
      </c>
      <c r="D2235" s="175" t="s">
        <v>265</v>
      </c>
      <c r="E2235" s="175">
        <v>3.8368519909842198E-5</v>
      </c>
      <c r="F2235" s="175" t="s">
        <v>630</v>
      </c>
      <c r="G2235" s="175" t="s">
        <v>1687</v>
      </c>
    </row>
    <row r="2236" spans="1:7">
      <c r="A2236" s="175" t="s">
        <v>5045</v>
      </c>
      <c r="B2236" s="217" t="str">
        <f t="shared" si="34"/>
        <v>282400000[円]</v>
      </c>
      <c r="C2236" s="216">
        <v>282400000</v>
      </c>
      <c r="D2236" s="175" t="s">
        <v>630</v>
      </c>
      <c r="E2236" s="175">
        <v>29935.353700193999</v>
      </c>
      <c r="F2236" s="175" t="s">
        <v>265</v>
      </c>
      <c r="G2236" s="175" t="s">
        <v>5046</v>
      </c>
    </row>
    <row r="2237" spans="1:7">
      <c r="A2237" s="175" t="s">
        <v>5047</v>
      </c>
      <c r="B2237" s="217" t="str">
        <f t="shared" si="34"/>
        <v>282411000[円]</v>
      </c>
      <c r="C2237" s="216">
        <v>282411000</v>
      </c>
      <c r="D2237" s="175" t="s">
        <v>630</v>
      </c>
      <c r="E2237" s="175">
        <v>29935.353700193999</v>
      </c>
      <c r="F2237" s="175" t="s">
        <v>265</v>
      </c>
      <c r="G2237" s="175" t="s">
        <v>1810</v>
      </c>
    </row>
    <row r="2238" spans="1:7">
      <c r="A2238" s="175" t="s">
        <v>5048</v>
      </c>
      <c r="B2238" s="217" t="str">
        <f t="shared" si="34"/>
        <v>282911000[円]</v>
      </c>
      <c r="C2238" s="216">
        <v>282911000</v>
      </c>
      <c r="D2238" s="175" t="s">
        <v>630</v>
      </c>
      <c r="E2238" s="175">
        <v>46546.809116852099</v>
      </c>
      <c r="F2238" s="175" t="s">
        <v>265</v>
      </c>
      <c r="G2238" s="175" t="s">
        <v>1811</v>
      </c>
    </row>
    <row r="2239" spans="1:7">
      <c r="A2239" s="175" t="s">
        <v>5049</v>
      </c>
      <c r="B2239" s="217" t="str">
        <f t="shared" si="34"/>
        <v>282919000[台]</v>
      </c>
      <c r="C2239" s="216">
        <v>282919000</v>
      </c>
      <c r="D2239" s="175" t="s">
        <v>265</v>
      </c>
      <c r="E2239" s="175">
        <v>4.8273192424120702E-6</v>
      </c>
      <c r="F2239" s="175" t="s">
        <v>630</v>
      </c>
      <c r="G2239" s="175" t="s">
        <v>1812</v>
      </c>
    </row>
    <row r="2240" spans="1:7">
      <c r="A2240" s="175" t="s">
        <v>5050</v>
      </c>
      <c r="B2240" s="217" t="str">
        <f t="shared" si="34"/>
        <v>282921000[円]</v>
      </c>
      <c r="C2240" s="216">
        <v>282921000</v>
      </c>
      <c r="D2240" s="175" t="s">
        <v>630</v>
      </c>
      <c r="E2240" s="175">
        <v>1066773.15748112</v>
      </c>
      <c r="F2240" s="175" t="s">
        <v>265</v>
      </c>
      <c r="G2240" s="175" t="s">
        <v>1813</v>
      </c>
    </row>
    <row r="2241" spans="1:7">
      <c r="A2241" s="175" t="s">
        <v>5051</v>
      </c>
      <c r="B2241" s="217" t="str">
        <f t="shared" si="34"/>
        <v>282929000[台]</v>
      </c>
      <c r="C2241" s="216">
        <v>282929000</v>
      </c>
      <c r="D2241" s="175" t="s">
        <v>265</v>
      </c>
      <c r="E2241" s="175">
        <v>5.8591447084233296E-6</v>
      </c>
      <c r="F2241" s="175" t="s">
        <v>630</v>
      </c>
      <c r="G2241" s="175" t="s">
        <v>1814</v>
      </c>
    </row>
    <row r="2242" spans="1:7">
      <c r="A2242" s="175" t="s">
        <v>5052</v>
      </c>
      <c r="B2242" s="217" t="str">
        <f t="shared" ref="B2242:B2305" si="35">C2242&amp;"["&amp;F2242&amp;"]"</f>
        <v>291100000[本]</v>
      </c>
      <c r="C2242" s="216">
        <v>291100000</v>
      </c>
      <c r="D2242" s="175" t="s">
        <v>265</v>
      </c>
      <c r="E2242" s="175">
        <v>2.3173909351180199E-4</v>
      </c>
      <c r="F2242" s="175" t="s">
        <v>266</v>
      </c>
      <c r="G2242" s="175" t="s">
        <v>5053</v>
      </c>
    </row>
    <row r="2243" spans="1:7">
      <c r="A2243" s="175" t="s">
        <v>5054</v>
      </c>
      <c r="B2243" s="217" t="str">
        <f t="shared" si="35"/>
        <v>291111000[円]</v>
      </c>
      <c r="C2243" s="216">
        <v>291111000</v>
      </c>
      <c r="D2243" s="175" t="s">
        <v>266</v>
      </c>
      <c r="E2243" s="175">
        <v>1761.9853304580399</v>
      </c>
      <c r="F2243" s="175" t="s">
        <v>265</v>
      </c>
      <c r="G2243" s="175" t="s">
        <v>1816</v>
      </c>
    </row>
    <row r="2244" spans="1:7">
      <c r="A2244" s="175" t="s">
        <v>5055</v>
      </c>
      <c r="B2244" s="217" t="str">
        <f t="shared" si="35"/>
        <v>291112000[円]</v>
      </c>
      <c r="C2244" s="216">
        <v>291112000</v>
      </c>
      <c r="D2244" s="175" t="s">
        <v>266</v>
      </c>
      <c r="E2244" s="175">
        <v>23517.663481155399</v>
      </c>
      <c r="F2244" s="175" t="s">
        <v>265</v>
      </c>
      <c r="G2244" s="175" t="s">
        <v>1817</v>
      </c>
    </row>
    <row r="2245" spans="1:7">
      <c r="A2245" s="175" t="s">
        <v>5056</v>
      </c>
      <c r="B2245" s="217" t="str">
        <f t="shared" si="35"/>
        <v>291119000[本]</v>
      </c>
      <c r="C2245" s="216">
        <v>291119000</v>
      </c>
      <c r="D2245" s="175" t="s">
        <v>265</v>
      </c>
      <c r="E2245" s="175">
        <v>7.98600199815065E-4</v>
      </c>
      <c r="F2245" s="175" t="s">
        <v>266</v>
      </c>
      <c r="G2245" s="175" t="s">
        <v>1818</v>
      </c>
    </row>
    <row r="2246" spans="1:7">
      <c r="A2246" s="175" t="s">
        <v>5057</v>
      </c>
      <c r="B2246" s="217" t="str">
        <f t="shared" si="35"/>
        <v>291200000[円]</v>
      </c>
      <c r="C2246" s="216">
        <v>291200000</v>
      </c>
      <c r="D2246" s="175" t="s">
        <v>629</v>
      </c>
      <c r="E2246" s="175">
        <v>8.3884068976290198</v>
      </c>
      <c r="F2246" s="175" t="s">
        <v>265</v>
      </c>
      <c r="G2246" s="175" t="s">
        <v>5058</v>
      </c>
    </row>
    <row r="2247" spans="1:7">
      <c r="A2247" s="175" t="s">
        <v>5059</v>
      </c>
      <c r="B2247" s="217" t="str">
        <f t="shared" si="35"/>
        <v>291211000[円]</v>
      </c>
      <c r="C2247" s="216">
        <v>291211000</v>
      </c>
      <c r="D2247" s="175" t="s">
        <v>629</v>
      </c>
      <c r="E2247" s="175">
        <v>2.0657202773452399</v>
      </c>
      <c r="F2247" s="175" t="s">
        <v>265</v>
      </c>
      <c r="G2247" s="175" t="s">
        <v>1819</v>
      </c>
    </row>
    <row r="2248" spans="1:7">
      <c r="A2248" s="175" t="s">
        <v>5060</v>
      </c>
      <c r="B2248" s="217" t="str">
        <f t="shared" si="35"/>
        <v>291212000[円]</v>
      </c>
      <c r="C2248" s="216">
        <v>291212000</v>
      </c>
      <c r="D2248" s="175" t="s">
        <v>629</v>
      </c>
      <c r="E2248" s="175">
        <v>9.0227751133305905</v>
      </c>
      <c r="F2248" s="175" t="s">
        <v>265</v>
      </c>
      <c r="G2248" s="175" t="s">
        <v>1820</v>
      </c>
    </row>
    <row r="2249" spans="1:7">
      <c r="A2249" s="175" t="s">
        <v>5061</v>
      </c>
      <c r="B2249" s="217" t="str">
        <f t="shared" si="35"/>
        <v>291213000[円]</v>
      </c>
      <c r="C2249" s="216">
        <v>291213000</v>
      </c>
      <c r="D2249" s="175" t="s">
        <v>629</v>
      </c>
      <c r="E2249" s="175">
        <v>4.4535206968736096</v>
      </c>
      <c r="F2249" s="175" t="s">
        <v>265</v>
      </c>
      <c r="G2249" s="175" t="s">
        <v>1821</v>
      </c>
    </row>
    <row r="2250" spans="1:7">
      <c r="A2250" s="175" t="s">
        <v>5062</v>
      </c>
      <c r="B2250" s="217" t="str">
        <f t="shared" si="35"/>
        <v>291214000[円]</v>
      </c>
      <c r="C2250" s="216">
        <v>291214000</v>
      </c>
      <c r="D2250" s="175" t="s">
        <v>629</v>
      </c>
      <c r="E2250" s="175">
        <v>19.041578559770901</v>
      </c>
      <c r="F2250" s="175" t="s">
        <v>265</v>
      </c>
      <c r="G2250" s="175" t="s">
        <v>5063</v>
      </c>
    </row>
    <row r="2251" spans="1:7">
      <c r="A2251" s="175" t="s">
        <v>5064</v>
      </c>
      <c r="B2251" s="217" t="str">
        <f t="shared" si="35"/>
        <v>291215000[円]</v>
      </c>
      <c r="C2251" s="216">
        <v>291215000</v>
      </c>
      <c r="D2251" s="175" t="s">
        <v>629</v>
      </c>
      <c r="E2251" s="175">
        <v>48.625112343819097</v>
      </c>
      <c r="F2251" s="175" t="s">
        <v>265</v>
      </c>
      <c r="G2251" s="175" t="s">
        <v>1822</v>
      </c>
    </row>
    <row r="2252" spans="1:7">
      <c r="A2252" s="175" t="s">
        <v>5065</v>
      </c>
      <c r="B2252" s="217" t="str">
        <f t="shared" si="35"/>
        <v>291216000[円]</v>
      </c>
      <c r="C2252" s="216">
        <v>291216000</v>
      </c>
      <c r="D2252" s="175" t="s">
        <v>629</v>
      </c>
      <c r="E2252" s="175">
        <v>7.8272097217765104</v>
      </c>
      <c r="F2252" s="175" t="s">
        <v>265</v>
      </c>
      <c r="G2252" s="175" t="s">
        <v>1823</v>
      </c>
    </row>
    <row r="2253" spans="1:7">
      <c r="A2253" s="175" t="s">
        <v>5066</v>
      </c>
      <c r="B2253" s="217" t="str">
        <f t="shared" si="35"/>
        <v>291219000[円]</v>
      </c>
      <c r="C2253" s="216">
        <v>291219000</v>
      </c>
      <c r="D2253" s="175" t="s">
        <v>629</v>
      </c>
      <c r="E2253" s="175">
        <v>9.1045224424410502</v>
      </c>
      <c r="F2253" s="175" t="s">
        <v>265</v>
      </c>
      <c r="G2253" s="175" t="s">
        <v>1824</v>
      </c>
    </row>
    <row r="2254" spans="1:7">
      <c r="A2254" s="175" t="s">
        <v>5067</v>
      </c>
      <c r="B2254" s="217" t="str">
        <f t="shared" si="35"/>
        <v>291300000[個]</v>
      </c>
      <c r="C2254" s="216">
        <v>291300000</v>
      </c>
      <c r="D2254" s="175" t="s">
        <v>265</v>
      </c>
      <c r="E2254" s="175">
        <v>7.8056870142411703E-3</v>
      </c>
      <c r="F2254" s="175" t="s">
        <v>629</v>
      </c>
      <c r="G2254" s="175" t="s">
        <v>5068</v>
      </c>
    </row>
    <row r="2255" spans="1:7">
      <c r="A2255" s="175" t="s">
        <v>5069</v>
      </c>
      <c r="B2255" s="217" t="str">
        <f t="shared" si="35"/>
        <v>291311000[円]</v>
      </c>
      <c r="C2255" s="216">
        <v>291311000</v>
      </c>
      <c r="D2255" s="175" t="s">
        <v>629</v>
      </c>
      <c r="E2255" s="175">
        <v>29.925966341304001</v>
      </c>
      <c r="F2255" s="175" t="s">
        <v>265</v>
      </c>
      <c r="G2255" s="175" t="s">
        <v>1825</v>
      </c>
    </row>
    <row r="2256" spans="1:7">
      <c r="A2256" s="175" t="s">
        <v>5070</v>
      </c>
      <c r="B2256" s="217" t="str">
        <f t="shared" si="35"/>
        <v>291312000[円]</v>
      </c>
      <c r="C2256" s="216">
        <v>291312000</v>
      </c>
      <c r="D2256" s="175" t="s">
        <v>629</v>
      </c>
      <c r="E2256" s="175">
        <v>139.66143090309399</v>
      </c>
      <c r="F2256" s="175" t="s">
        <v>265</v>
      </c>
      <c r="G2256" s="175" t="s">
        <v>1826</v>
      </c>
    </row>
    <row r="2257" spans="1:7">
      <c r="A2257" s="175" t="s">
        <v>5071</v>
      </c>
      <c r="B2257" s="217" t="str">
        <f t="shared" si="35"/>
        <v>291313000[円]</v>
      </c>
      <c r="C2257" s="216">
        <v>291313000</v>
      </c>
      <c r="D2257" s="175" t="s">
        <v>629</v>
      </c>
      <c r="E2257" s="175">
        <v>23.817777904573902</v>
      </c>
      <c r="F2257" s="175" t="s">
        <v>265</v>
      </c>
      <c r="G2257" s="175" t="s">
        <v>1828</v>
      </c>
    </row>
    <row r="2258" spans="1:7">
      <c r="A2258" s="175" t="s">
        <v>5072</v>
      </c>
      <c r="B2258" s="217" t="str">
        <f t="shared" si="35"/>
        <v>291321000[円]</v>
      </c>
      <c r="C2258" s="216">
        <v>291321000</v>
      </c>
      <c r="D2258" s="175" t="s">
        <v>629</v>
      </c>
      <c r="E2258" s="175">
        <v>234.02720905501701</v>
      </c>
      <c r="F2258" s="175" t="s">
        <v>265</v>
      </c>
      <c r="G2258" s="175" t="s">
        <v>1830</v>
      </c>
    </row>
    <row r="2259" spans="1:7">
      <c r="A2259" s="175" t="s">
        <v>5073</v>
      </c>
      <c r="B2259" s="217" t="str">
        <f t="shared" si="35"/>
        <v>291329000[個]</v>
      </c>
      <c r="C2259" s="216">
        <v>291329000</v>
      </c>
      <c r="D2259" s="175" t="s">
        <v>265</v>
      </c>
      <c r="E2259" s="175">
        <v>2.69046153846154E-3</v>
      </c>
      <c r="F2259" s="175" t="s">
        <v>629</v>
      </c>
      <c r="G2259" s="175" t="s">
        <v>1831</v>
      </c>
    </row>
    <row r="2260" spans="1:7">
      <c r="A2260" s="175" t="s">
        <v>5074</v>
      </c>
      <c r="B2260" s="217" t="str">
        <f t="shared" si="35"/>
        <v>291400000[個]</v>
      </c>
      <c r="C2260" s="216">
        <v>291400000</v>
      </c>
      <c r="D2260" s="175" t="s">
        <v>265</v>
      </c>
      <c r="E2260" s="175">
        <v>8.2722421435923302E-2</v>
      </c>
      <c r="F2260" s="175" t="s">
        <v>629</v>
      </c>
      <c r="G2260" s="175" t="s">
        <v>5075</v>
      </c>
    </row>
    <row r="2261" spans="1:7">
      <c r="A2261" s="175" t="s">
        <v>5076</v>
      </c>
      <c r="B2261" s="217" t="str">
        <f t="shared" si="35"/>
        <v>291411000[円]</v>
      </c>
      <c r="C2261" s="216">
        <v>291411000</v>
      </c>
      <c r="D2261" s="175" t="s">
        <v>629</v>
      </c>
      <c r="E2261" s="175">
        <v>0.47956862874924699</v>
      </c>
      <c r="F2261" s="175" t="s">
        <v>265</v>
      </c>
      <c r="G2261" s="175" t="s">
        <v>1833</v>
      </c>
    </row>
    <row r="2262" spans="1:7">
      <c r="A2262" s="175" t="s">
        <v>5077</v>
      </c>
      <c r="B2262" s="217" t="str">
        <f t="shared" si="35"/>
        <v>291412000[円]</v>
      </c>
      <c r="C2262" s="216">
        <v>291412000</v>
      </c>
      <c r="D2262" s="175" t="s">
        <v>629</v>
      </c>
      <c r="E2262" s="175">
        <v>0.69580227405454897</v>
      </c>
      <c r="F2262" s="175" t="s">
        <v>265</v>
      </c>
      <c r="G2262" s="175" t="s">
        <v>1834</v>
      </c>
    </row>
    <row r="2263" spans="1:7">
      <c r="A2263" s="175" t="s">
        <v>5078</v>
      </c>
      <c r="B2263" s="217" t="str">
        <f t="shared" si="35"/>
        <v>291414000[円]</v>
      </c>
      <c r="C2263" s="216">
        <v>291414000</v>
      </c>
      <c r="D2263" s="175" t="s">
        <v>629</v>
      </c>
      <c r="E2263" s="175">
        <v>1.37749185656559</v>
      </c>
      <c r="F2263" s="175" t="s">
        <v>265</v>
      </c>
      <c r="G2263" s="175" t="s">
        <v>1836</v>
      </c>
    </row>
    <row r="2264" spans="1:7">
      <c r="A2264" s="175" t="s">
        <v>5079</v>
      </c>
      <c r="B2264" s="217" t="str">
        <f t="shared" si="35"/>
        <v>291415000[個]</v>
      </c>
      <c r="C2264" s="216">
        <v>291415000</v>
      </c>
      <c r="D2264" s="175" t="s">
        <v>265</v>
      </c>
      <c r="E2264" s="175">
        <v>2.9611713630935101E-2</v>
      </c>
      <c r="F2264" s="175" t="s">
        <v>629</v>
      </c>
      <c r="G2264" s="175" t="s">
        <v>1837</v>
      </c>
    </row>
    <row r="2265" spans="1:7">
      <c r="A2265" s="175" t="s">
        <v>5080</v>
      </c>
      <c r="B2265" s="217" t="str">
        <f t="shared" si="35"/>
        <v>291500000[個]</v>
      </c>
      <c r="C2265" s="216">
        <v>291500000</v>
      </c>
      <c r="D2265" s="175" t="s">
        <v>265</v>
      </c>
      <c r="E2265" s="175">
        <v>3.59211869430406E-3</v>
      </c>
      <c r="F2265" s="175" t="s">
        <v>629</v>
      </c>
      <c r="G2265" s="175" t="s">
        <v>5081</v>
      </c>
    </row>
    <row r="2266" spans="1:7">
      <c r="A2266" s="175" t="s">
        <v>5082</v>
      </c>
      <c r="B2266" s="217" t="str">
        <f t="shared" si="35"/>
        <v>291511000[個]</v>
      </c>
      <c r="C2266" s="216">
        <v>291511000</v>
      </c>
      <c r="D2266" s="175" t="s">
        <v>265</v>
      </c>
      <c r="E2266" s="175">
        <v>4.2300398731594004E-3</v>
      </c>
      <c r="F2266" s="175" t="s">
        <v>629</v>
      </c>
      <c r="G2266" s="175" t="s">
        <v>1838</v>
      </c>
    </row>
    <row r="2267" spans="1:7">
      <c r="A2267" s="175" t="s">
        <v>5083</v>
      </c>
      <c r="B2267" s="217" t="str">
        <f t="shared" si="35"/>
        <v>291512000[円]</v>
      </c>
      <c r="C2267" s="216">
        <v>291512000</v>
      </c>
      <c r="D2267" s="175" t="s">
        <v>629</v>
      </c>
      <c r="E2267" s="175">
        <v>804.215791354055</v>
      </c>
      <c r="F2267" s="175" t="s">
        <v>265</v>
      </c>
      <c r="G2267" s="175" t="s">
        <v>1839</v>
      </c>
    </row>
    <row r="2268" spans="1:7">
      <c r="A2268" s="175" t="s">
        <v>5084</v>
      </c>
      <c r="B2268" s="217" t="str">
        <f t="shared" si="35"/>
        <v>291513000[個]</v>
      </c>
      <c r="C2268" s="216">
        <v>291513000</v>
      </c>
      <c r="D2268" s="175" t="s">
        <v>265</v>
      </c>
      <c r="E2268" s="175">
        <v>2.4426170315543401E-3</v>
      </c>
      <c r="F2268" s="175" t="s">
        <v>629</v>
      </c>
      <c r="G2268" s="175" t="s">
        <v>5085</v>
      </c>
    </row>
    <row r="2269" spans="1:7">
      <c r="A2269" s="175" t="s">
        <v>5086</v>
      </c>
      <c r="B2269" s="217" t="str">
        <f t="shared" si="35"/>
        <v>291600000[個]</v>
      </c>
      <c r="C2269" s="216">
        <v>291600000</v>
      </c>
      <c r="D2269" s="175" t="s">
        <v>265</v>
      </c>
      <c r="E2269" s="175">
        <v>4.18136991839788E-2</v>
      </c>
      <c r="F2269" s="175" t="s">
        <v>629</v>
      </c>
      <c r="G2269" s="175" t="s">
        <v>5087</v>
      </c>
    </row>
    <row r="2270" spans="1:7">
      <c r="A2270" s="175" t="s">
        <v>5088</v>
      </c>
      <c r="B2270" s="217" t="str">
        <f t="shared" si="35"/>
        <v>291611000[個]</v>
      </c>
      <c r="C2270" s="216">
        <v>291611000</v>
      </c>
      <c r="D2270" s="175" t="s">
        <v>265</v>
      </c>
      <c r="E2270" s="175">
        <v>6.1585986645580702E-2</v>
      </c>
      <c r="F2270" s="175" t="s">
        <v>629</v>
      </c>
      <c r="G2270" s="175" t="s">
        <v>1840</v>
      </c>
    </row>
    <row r="2271" spans="1:7">
      <c r="A2271" s="175" t="s">
        <v>5089</v>
      </c>
      <c r="B2271" s="217" t="str">
        <f t="shared" si="35"/>
        <v>291612000[円]</v>
      </c>
      <c r="C2271" s="216">
        <v>291612000</v>
      </c>
      <c r="D2271" s="175" t="s">
        <v>629</v>
      </c>
      <c r="E2271" s="175">
        <v>13.8724711138836</v>
      </c>
      <c r="F2271" s="175" t="s">
        <v>265</v>
      </c>
      <c r="G2271" s="175" t="s">
        <v>5090</v>
      </c>
    </row>
    <row r="2272" spans="1:7">
      <c r="A2272" s="175" t="s">
        <v>5091</v>
      </c>
      <c r="B2272" s="217" t="str">
        <f t="shared" si="35"/>
        <v>291613000[円]</v>
      </c>
      <c r="C2272" s="216">
        <v>291613000</v>
      </c>
      <c r="D2272" s="175" t="s">
        <v>629</v>
      </c>
      <c r="E2272" s="175">
        <v>9.1904601483395396</v>
      </c>
      <c r="F2272" s="175" t="s">
        <v>265</v>
      </c>
      <c r="G2272" s="175" t="s">
        <v>1841</v>
      </c>
    </row>
    <row r="2273" spans="1:7">
      <c r="A2273" s="175" t="s">
        <v>5092</v>
      </c>
      <c r="B2273" s="217" t="str">
        <f t="shared" si="35"/>
        <v>291614000[円]</v>
      </c>
      <c r="C2273" s="216">
        <v>291614000</v>
      </c>
      <c r="D2273" s="175" t="s">
        <v>629</v>
      </c>
      <c r="E2273" s="175">
        <v>39.0365180329986</v>
      </c>
      <c r="F2273" s="175" t="s">
        <v>265</v>
      </c>
      <c r="G2273" s="175" t="s">
        <v>1842</v>
      </c>
    </row>
    <row r="2274" spans="1:7">
      <c r="A2274" s="175" t="s">
        <v>5093</v>
      </c>
      <c r="B2274" s="217" t="str">
        <f t="shared" si="35"/>
        <v>291711000[円]</v>
      </c>
      <c r="C2274" s="216">
        <v>291711000</v>
      </c>
      <c r="D2274" s="175" t="s">
        <v>630</v>
      </c>
      <c r="E2274" s="175">
        <v>2018.6202122750301</v>
      </c>
      <c r="F2274" s="175" t="s">
        <v>265</v>
      </c>
      <c r="G2274" s="175" t="s">
        <v>1843</v>
      </c>
    </row>
    <row r="2275" spans="1:7">
      <c r="A2275" s="175" t="s">
        <v>5094</v>
      </c>
      <c r="B2275" s="217" t="str">
        <f t="shared" si="35"/>
        <v>291712000[個]</v>
      </c>
      <c r="C2275" s="216">
        <v>291712000</v>
      </c>
      <c r="D2275" s="175" t="s">
        <v>265</v>
      </c>
      <c r="E2275" s="175">
        <v>1.19961058628398E-3</v>
      </c>
      <c r="F2275" s="175" t="s">
        <v>629</v>
      </c>
      <c r="G2275" s="175" t="s">
        <v>5095</v>
      </c>
    </row>
    <row r="2276" spans="1:7">
      <c r="A2276" s="175" t="s">
        <v>5096</v>
      </c>
      <c r="B2276" s="217" t="str">
        <f t="shared" si="35"/>
        <v>291719000[個]</v>
      </c>
      <c r="C2276" s="216">
        <v>291719000</v>
      </c>
      <c r="D2276" s="175" t="s">
        <v>265</v>
      </c>
      <c r="E2276" s="175">
        <v>2.2797253342970699E-4</v>
      </c>
      <c r="F2276" s="175" t="s">
        <v>629</v>
      </c>
      <c r="G2276" s="175" t="s">
        <v>1844</v>
      </c>
    </row>
    <row r="2277" spans="1:7">
      <c r="A2277" s="175" t="s">
        <v>5097</v>
      </c>
      <c r="B2277" s="217" t="str">
        <f t="shared" si="35"/>
        <v>291811000[円]</v>
      </c>
      <c r="C2277" s="216">
        <v>291811000</v>
      </c>
      <c r="D2277" s="175" t="s">
        <v>425</v>
      </c>
      <c r="E2277" s="175">
        <v>36843.3908045977</v>
      </c>
      <c r="F2277" s="175" t="s">
        <v>265</v>
      </c>
      <c r="G2277" s="175" t="s">
        <v>1846</v>
      </c>
    </row>
    <row r="2278" spans="1:7">
      <c r="A2278" s="175" t="s">
        <v>5098</v>
      </c>
      <c r="B2278" s="217" t="str">
        <f t="shared" si="35"/>
        <v>291819000[円]</v>
      </c>
      <c r="C2278" s="216">
        <v>291819000</v>
      </c>
      <c r="D2278" s="175" t="s">
        <v>425</v>
      </c>
      <c r="E2278" s="175">
        <v>42664.768104149698</v>
      </c>
      <c r="F2278" s="175" t="s">
        <v>265</v>
      </c>
      <c r="G2278" s="175" t="s">
        <v>1847</v>
      </c>
    </row>
    <row r="2279" spans="1:7">
      <c r="A2279" s="175" t="s">
        <v>5099</v>
      </c>
      <c r="B2279" s="217" t="str">
        <f t="shared" si="35"/>
        <v>291911000[kg]</v>
      </c>
      <c r="C2279" s="216">
        <v>291911000</v>
      </c>
      <c r="D2279" s="175" t="s">
        <v>265</v>
      </c>
      <c r="E2279" s="175">
        <v>3.7835792659856199E-4</v>
      </c>
      <c r="F2279" s="175" t="s">
        <v>235</v>
      </c>
      <c r="G2279" s="175" t="s">
        <v>5100</v>
      </c>
    </row>
    <row r="2280" spans="1:7">
      <c r="A2280" s="175" t="s">
        <v>5101</v>
      </c>
      <c r="B2280" s="217" t="str">
        <f t="shared" si="35"/>
        <v>291912000[個]</v>
      </c>
      <c r="C2280" s="216">
        <v>291912000</v>
      </c>
      <c r="D2280" s="175" t="s">
        <v>265</v>
      </c>
      <c r="E2280" s="175">
        <v>1.6137730903644499E-2</v>
      </c>
      <c r="F2280" s="175" t="s">
        <v>629</v>
      </c>
      <c r="G2280" s="175" t="s">
        <v>5102</v>
      </c>
    </row>
    <row r="2281" spans="1:7">
      <c r="A2281" s="175" t="s">
        <v>5103</v>
      </c>
      <c r="B2281" s="217" t="str">
        <f t="shared" si="35"/>
        <v>291913000[円]</v>
      </c>
      <c r="C2281" s="216">
        <v>291913000</v>
      </c>
      <c r="D2281" s="175" t="s">
        <v>629</v>
      </c>
      <c r="E2281" s="175">
        <v>2561.8956204794799</v>
      </c>
      <c r="F2281" s="175" t="s">
        <v>265</v>
      </c>
      <c r="G2281" s="175" t="s">
        <v>1852</v>
      </c>
    </row>
    <row r="2282" spans="1:7">
      <c r="A2282" s="175" t="s">
        <v>5104</v>
      </c>
      <c r="B2282" s="217" t="str">
        <f t="shared" si="35"/>
        <v>301100000[円]</v>
      </c>
      <c r="C2282" s="216">
        <v>301100000</v>
      </c>
      <c r="D2282" s="175" t="s">
        <v>630</v>
      </c>
      <c r="E2282" s="175">
        <v>1469673.714809</v>
      </c>
      <c r="F2282" s="175" t="s">
        <v>265</v>
      </c>
      <c r="G2282" s="175" t="s">
        <v>5105</v>
      </c>
    </row>
    <row r="2283" spans="1:7">
      <c r="A2283" s="175" t="s">
        <v>5106</v>
      </c>
      <c r="B2283" s="217" t="str">
        <f t="shared" si="35"/>
        <v>301111000[円]</v>
      </c>
      <c r="C2283" s="216">
        <v>301111000</v>
      </c>
      <c r="D2283" s="175" t="s">
        <v>630</v>
      </c>
      <c r="E2283" s="175">
        <v>1089649.48628312</v>
      </c>
      <c r="F2283" s="175" t="s">
        <v>265</v>
      </c>
      <c r="G2283" s="175" t="s">
        <v>5107</v>
      </c>
    </row>
    <row r="2284" spans="1:7">
      <c r="A2284" s="175" t="s">
        <v>5108</v>
      </c>
      <c r="B2284" s="217" t="str">
        <f t="shared" si="35"/>
        <v>301112000[円]</v>
      </c>
      <c r="C2284" s="216">
        <v>301112000</v>
      </c>
      <c r="D2284" s="175" t="s">
        <v>630</v>
      </c>
      <c r="E2284" s="175">
        <v>1883125.0274700699</v>
      </c>
      <c r="F2284" s="175" t="s">
        <v>265</v>
      </c>
      <c r="G2284" s="175" t="s">
        <v>5109</v>
      </c>
    </row>
    <row r="2285" spans="1:7">
      <c r="A2285" s="175" t="s">
        <v>5110</v>
      </c>
      <c r="B2285" s="217" t="str">
        <f t="shared" si="35"/>
        <v>301113000[円]</v>
      </c>
      <c r="C2285" s="216">
        <v>301113000</v>
      </c>
      <c r="D2285" s="175" t="s">
        <v>630</v>
      </c>
      <c r="E2285" s="175">
        <v>5950903.8480995595</v>
      </c>
      <c r="F2285" s="175" t="s">
        <v>265</v>
      </c>
      <c r="G2285" s="175" t="s">
        <v>1855</v>
      </c>
    </row>
    <row r="2286" spans="1:7">
      <c r="A2286" s="175" t="s">
        <v>5111</v>
      </c>
      <c r="B2286" s="217" t="str">
        <f t="shared" si="35"/>
        <v>301114000[円]</v>
      </c>
      <c r="C2286" s="216">
        <v>301114000</v>
      </c>
      <c r="D2286" s="175" t="s">
        <v>630</v>
      </c>
      <c r="E2286" s="175">
        <v>1673180.2825431901</v>
      </c>
      <c r="F2286" s="175" t="s">
        <v>265</v>
      </c>
      <c r="G2286" s="175" t="s">
        <v>5112</v>
      </c>
    </row>
    <row r="2287" spans="1:7">
      <c r="A2287" s="175" t="s">
        <v>5113</v>
      </c>
      <c r="B2287" s="217" t="str">
        <f t="shared" si="35"/>
        <v>301115000[円]</v>
      </c>
      <c r="C2287" s="216">
        <v>301115000</v>
      </c>
      <c r="D2287" s="175" t="s">
        <v>630</v>
      </c>
      <c r="E2287" s="175">
        <v>2398502.6994298398</v>
      </c>
      <c r="F2287" s="175" t="s">
        <v>265</v>
      </c>
      <c r="G2287" s="175" t="s">
        <v>1856</v>
      </c>
    </row>
    <row r="2288" spans="1:7">
      <c r="A2288" s="175" t="s">
        <v>5114</v>
      </c>
      <c r="B2288" s="217" t="str">
        <f t="shared" si="35"/>
        <v>301116000[円]</v>
      </c>
      <c r="C2288" s="216">
        <v>301116000</v>
      </c>
      <c r="D2288" s="175" t="s">
        <v>630</v>
      </c>
      <c r="E2288" s="175">
        <v>2865956.0340575199</v>
      </c>
      <c r="F2288" s="175" t="s">
        <v>265</v>
      </c>
      <c r="G2288" s="175" t="s">
        <v>1857</v>
      </c>
    </row>
    <row r="2289" spans="1:7">
      <c r="A2289" s="175" t="s">
        <v>5115</v>
      </c>
      <c r="B2289" s="217" t="str">
        <f t="shared" si="35"/>
        <v>301117000[円]</v>
      </c>
      <c r="C2289" s="216">
        <v>301117000</v>
      </c>
      <c r="D2289" s="175" t="s">
        <v>630</v>
      </c>
      <c r="E2289" s="175">
        <v>130175.635033763</v>
      </c>
      <c r="F2289" s="175" t="s">
        <v>265</v>
      </c>
      <c r="G2289" s="175" t="s">
        <v>5116</v>
      </c>
    </row>
    <row r="2290" spans="1:7">
      <c r="A2290" s="175" t="s">
        <v>5117</v>
      </c>
      <c r="B2290" s="217" t="str">
        <f t="shared" si="35"/>
        <v>301118000[円]</v>
      </c>
      <c r="C2290" s="216">
        <v>301118000</v>
      </c>
      <c r="D2290" s="175" t="s">
        <v>630</v>
      </c>
      <c r="E2290" s="175">
        <v>359772.01699264999</v>
      </c>
      <c r="F2290" s="175" t="s">
        <v>265</v>
      </c>
      <c r="G2290" s="175" t="s">
        <v>5118</v>
      </c>
    </row>
    <row r="2291" spans="1:7">
      <c r="A2291" s="175" t="s">
        <v>5119</v>
      </c>
      <c r="B2291" s="217" t="str">
        <f t="shared" si="35"/>
        <v>301200000[台]</v>
      </c>
      <c r="C2291" s="216">
        <v>301200000</v>
      </c>
      <c r="D2291" s="175" t="s">
        <v>265</v>
      </c>
      <c r="E2291" s="175">
        <v>1.1983468732164501E-6</v>
      </c>
      <c r="F2291" s="175" t="s">
        <v>630</v>
      </c>
      <c r="G2291" s="175" t="s">
        <v>5120</v>
      </c>
    </row>
    <row r="2292" spans="1:7">
      <c r="A2292" s="175" t="s">
        <v>5121</v>
      </c>
      <c r="B2292" s="217" t="str">
        <f t="shared" si="35"/>
        <v>301211000[台]</v>
      </c>
      <c r="C2292" s="216">
        <v>301211000</v>
      </c>
      <c r="D2292" s="175" t="s">
        <v>265</v>
      </c>
      <c r="E2292" s="175">
        <v>9.0794511617833304E-7</v>
      </c>
      <c r="F2292" s="175" t="s">
        <v>630</v>
      </c>
      <c r="G2292" s="175" t="s">
        <v>1858</v>
      </c>
    </row>
    <row r="2293" spans="1:7">
      <c r="A2293" s="175" t="s">
        <v>5122</v>
      </c>
      <c r="B2293" s="217" t="str">
        <f t="shared" si="35"/>
        <v>301212000[台]</v>
      </c>
      <c r="C2293" s="216">
        <v>301212000</v>
      </c>
      <c r="D2293" s="175" t="s">
        <v>265</v>
      </c>
      <c r="E2293" s="175">
        <v>4.0740983177325398E-7</v>
      </c>
      <c r="F2293" s="175" t="s">
        <v>630</v>
      </c>
      <c r="G2293" s="175" t="s">
        <v>1859</v>
      </c>
    </row>
    <row r="2294" spans="1:7">
      <c r="A2294" s="175" t="s">
        <v>5123</v>
      </c>
      <c r="B2294" s="217" t="str">
        <f t="shared" si="35"/>
        <v>301213000[円]</v>
      </c>
      <c r="C2294" s="216">
        <v>301213000</v>
      </c>
      <c r="D2294" s="175" t="s">
        <v>630</v>
      </c>
      <c r="E2294" s="175">
        <v>842061.61967718601</v>
      </c>
      <c r="F2294" s="175" t="s">
        <v>265</v>
      </c>
      <c r="G2294" s="175" t="s">
        <v>1860</v>
      </c>
    </row>
    <row r="2295" spans="1:7">
      <c r="A2295" s="175" t="s">
        <v>5124</v>
      </c>
      <c r="B2295" s="217" t="str">
        <f t="shared" si="35"/>
        <v>301214000[台]</v>
      </c>
      <c r="C2295" s="216">
        <v>301214000</v>
      </c>
      <c r="D2295" s="175" t="s">
        <v>265</v>
      </c>
      <c r="E2295" s="175">
        <v>9.9815002568866099E-7</v>
      </c>
      <c r="F2295" s="175" t="s">
        <v>630</v>
      </c>
      <c r="G2295" s="175" t="s">
        <v>1861</v>
      </c>
    </row>
    <row r="2296" spans="1:7">
      <c r="A2296" s="175" t="s">
        <v>5125</v>
      </c>
      <c r="B2296" s="217" t="str">
        <f t="shared" si="35"/>
        <v>301215000[円]</v>
      </c>
      <c r="C2296" s="216">
        <v>301215000</v>
      </c>
      <c r="D2296" s="175" t="s">
        <v>630</v>
      </c>
      <c r="E2296" s="175">
        <v>4598327.2571305996</v>
      </c>
      <c r="F2296" s="175" t="s">
        <v>265</v>
      </c>
      <c r="G2296" s="175" t="s">
        <v>5126</v>
      </c>
    </row>
    <row r="2297" spans="1:7">
      <c r="A2297" s="175" t="s">
        <v>5127</v>
      </c>
      <c r="B2297" s="217" t="str">
        <f t="shared" si="35"/>
        <v>301311000[円]</v>
      </c>
      <c r="C2297" s="216">
        <v>301311000</v>
      </c>
      <c r="D2297" s="175" t="s">
        <v>630</v>
      </c>
      <c r="E2297" s="175">
        <v>176480.15806135899</v>
      </c>
      <c r="F2297" s="175" t="s">
        <v>265</v>
      </c>
      <c r="G2297" s="175" t="s">
        <v>1862</v>
      </c>
    </row>
    <row r="2298" spans="1:7">
      <c r="A2298" s="175" t="s">
        <v>5128</v>
      </c>
      <c r="B2298" s="217" t="str">
        <f t="shared" si="35"/>
        <v>301312000[円]</v>
      </c>
      <c r="C2298" s="216">
        <v>301312000</v>
      </c>
      <c r="D2298" s="175" t="s">
        <v>630</v>
      </c>
      <c r="E2298" s="175">
        <v>350670.92788918398</v>
      </c>
      <c r="F2298" s="175" t="s">
        <v>265</v>
      </c>
      <c r="G2298" s="175" t="s">
        <v>1863</v>
      </c>
    </row>
    <row r="2299" spans="1:7">
      <c r="A2299" s="175" t="s">
        <v>5129</v>
      </c>
      <c r="B2299" s="217" t="str">
        <f t="shared" si="35"/>
        <v>301313000[円]</v>
      </c>
      <c r="C2299" s="216">
        <v>301313000</v>
      </c>
      <c r="D2299" s="175" t="s">
        <v>630</v>
      </c>
      <c r="E2299" s="175">
        <v>91550.385967651397</v>
      </c>
      <c r="F2299" s="175" t="s">
        <v>265</v>
      </c>
      <c r="G2299" s="175" t="s">
        <v>1864</v>
      </c>
    </row>
    <row r="2300" spans="1:7">
      <c r="A2300" s="175" t="s">
        <v>5130</v>
      </c>
      <c r="B2300" s="217" t="str">
        <f t="shared" si="35"/>
        <v>301314000[個]</v>
      </c>
      <c r="C2300" s="216">
        <v>301314000</v>
      </c>
      <c r="D2300" s="175" t="s">
        <v>265</v>
      </c>
      <c r="E2300" s="175">
        <v>1.6143227274596601E-3</v>
      </c>
      <c r="F2300" s="175" t="s">
        <v>629</v>
      </c>
      <c r="G2300" s="175" t="s">
        <v>1865</v>
      </c>
    </row>
    <row r="2301" spans="1:7">
      <c r="A2301" s="175" t="s">
        <v>5131</v>
      </c>
      <c r="B2301" s="217" t="str">
        <f t="shared" si="35"/>
        <v>301315000[個]</v>
      </c>
      <c r="C2301" s="216">
        <v>301315000</v>
      </c>
      <c r="D2301" s="175" t="s">
        <v>265</v>
      </c>
      <c r="E2301" s="175">
        <v>1.30469018440041E-4</v>
      </c>
      <c r="F2301" s="175" t="s">
        <v>629</v>
      </c>
      <c r="G2301" s="175" t="s">
        <v>1866</v>
      </c>
    </row>
    <row r="2302" spans="1:7">
      <c r="A2302" s="175" t="s">
        <v>5132</v>
      </c>
      <c r="B2302" s="217" t="str">
        <f t="shared" si="35"/>
        <v>301316000[円]</v>
      </c>
      <c r="C2302" s="216">
        <v>301316000</v>
      </c>
      <c r="D2302" s="175" t="s">
        <v>629</v>
      </c>
      <c r="E2302" s="175">
        <v>1115.20011807828</v>
      </c>
      <c r="F2302" s="175" t="s">
        <v>265</v>
      </c>
      <c r="G2302" s="175" t="s">
        <v>1867</v>
      </c>
    </row>
    <row r="2303" spans="1:7">
      <c r="A2303" s="175" t="s">
        <v>5133</v>
      </c>
      <c r="B2303" s="217" t="str">
        <f t="shared" si="35"/>
        <v>301317000[円]</v>
      </c>
      <c r="C2303" s="216">
        <v>301317000</v>
      </c>
      <c r="D2303" s="175" t="s">
        <v>629</v>
      </c>
      <c r="E2303" s="175">
        <v>1175.2010416087301</v>
      </c>
      <c r="F2303" s="175" t="s">
        <v>265</v>
      </c>
      <c r="G2303" s="175" t="s">
        <v>5134</v>
      </c>
    </row>
    <row r="2304" spans="1:7">
      <c r="A2304" s="175" t="s">
        <v>5135</v>
      </c>
      <c r="B2304" s="217" t="str">
        <f t="shared" si="35"/>
        <v>301318000[台]</v>
      </c>
      <c r="C2304" s="216">
        <v>301318000</v>
      </c>
      <c r="D2304" s="175" t="s">
        <v>265</v>
      </c>
      <c r="E2304" s="175">
        <v>2.6314679937000399E-5</v>
      </c>
      <c r="F2304" s="175" t="s">
        <v>630</v>
      </c>
      <c r="G2304" s="175" t="s">
        <v>1868</v>
      </c>
    </row>
    <row r="2305" spans="1:7">
      <c r="A2305" s="175" t="s">
        <v>5136</v>
      </c>
      <c r="B2305" s="217" t="str">
        <f t="shared" si="35"/>
        <v>301321000[円]</v>
      </c>
      <c r="C2305" s="216">
        <v>301321000</v>
      </c>
      <c r="D2305" s="175" t="s">
        <v>629</v>
      </c>
      <c r="E2305" s="175">
        <v>12634.4044886509</v>
      </c>
      <c r="F2305" s="175" t="s">
        <v>265</v>
      </c>
      <c r="G2305" s="175" t="s">
        <v>1869</v>
      </c>
    </row>
    <row r="2306" spans="1:7">
      <c r="A2306" s="175" t="s">
        <v>5137</v>
      </c>
      <c r="B2306" s="217" t="str">
        <f t="shared" ref="B2306:B2369" si="36">C2306&amp;"["&amp;F2306&amp;"]"</f>
        <v>301322000[円]</v>
      </c>
      <c r="C2306" s="216">
        <v>301322000</v>
      </c>
      <c r="D2306" s="175" t="s">
        <v>629</v>
      </c>
      <c r="E2306" s="175">
        <v>34775.1816560066</v>
      </c>
      <c r="F2306" s="175" t="s">
        <v>265</v>
      </c>
      <c r="G2306" s="175" t="s">
        <v>5138</v>
      </c>
    </row>
    <row r="2307" spans="1:7">
      <c r="A2307" s="175" t="s">
        <v>5139</v>
      </c>
      <c r="B2307" s="217" t="str">
        <f t="shared" si="36"/>
        <v>301329000[個]</v>
      </c>
      <c r="C2307" s="216">
        <v>301329000</v>
      </c>
      <c r="D2307" s="175" t="s">
        <v>265</v>
      </c>
      <c r="E2307" s="175">
        <v>1.3246432313510201E-3</v>
      </c>
      <c r="F2307" s="175" t="s">
        <v>629</v>
      </c>
      <c r="G2307" s="175" t="s">
        <v>5140</v>
      </c>
    </row>
    <row r="2308" spans="1:7">
      <c r="A2308" s="175" t="s">
        <v>5141</v>
      </c>
      <c r="B2308" s="217" t="str">
        <f t="shared" si="36"/>
        <v>301331000[台]</v>
      </c>
      <c r="C2308" s="216">
        <v>301331000</v>
      </c>
      <c r="D2308" s="175" t="s">
        <v>265</v>
      </c>
      <c r="E2308" s="175">
        <v>1.4098286336023201E-6</v>
      </c>
      <c r="F2308" s="175" t="s">
        <v>630</v>
      </c>
      <c r="G2308" s="175" t="s">
        <v>5142</v>
      </c>
    </row>
    <row r="2309" spans="1:7">
      <c r="A2309" s="175" t="s">
        <v>5143</v>
      </c>
      <c r="B2309" s="217" t="str">
        <f t="shared" si="36"/>
        <v>301332000[台]</v>
      </c>
      <c r="C2309" s="216">
        <v>301332000</v>
      </c>
      <c r="D2309" s="175" t="s">
        <v>265</v>
      </c>
      <c r="E2309" s="175">
        <v>8.5215221459762908E-6</v>
      </c>
      <c r="F2309" s="175" t="s">
        <v>630</v>
      </c>
      <c r="G2309" s="175" t="s">
        <v>5144</v>
      </c>
    </row>
    <row r="2310" spans="1:7">
      <c r="A2310" s="175" t="s">
        <v>5145</v>
      </c>
      <c r="B2310" s="217" t="str">
        <f t="shared" si="36"/>
        <v>302100000[台]</v>
      </c>
      <c r="C2310" s="216">
        <v>302100000</v>
      </c>
      <c r="D2310" s="175" t="s">
        <v>265</v>
      </c>
      <c r="E2310" s="175">
        <v>1.21341073130281E-8</v>
      </c>
      <c r="F2310" s="175" t="s">
        <v>630</v>
      </c>
      <c r="G2310" s="175" t="s">
        <v>5146</v>
      </c>
    </row>
    <row r="2311" spans="1:7">
      <c r="A2311" s="175" t="s">
        <v>5147</v>
      </c>
      <c r="B2311" s="217" t="str">
        <f t="shared" si="36"/>
        <v>302111000[円]</v>
      </c>
      <c r="C2311" s="216">
        <v>302111000</v>
      </c>
      <c r="D2311" s="175" t="s">
        <v>630</v>
      </c>
      <c r="E2311" s="175">
        <v>388390434.78260899</v>
      </c>
      <c r="F2311" s="175" t="s">
        <v>265</v>
      </c>
      <c r="G2311" s="175" t="s">
        <v>1870</v>
      </c>
    </row>
    <row r="2312" spans="1:7">
      <c r="A2312" s="175" t="s">
        <v>5148</v>
      </c>
      <c r="B2312" s="217" t="str">
        <f t="shared" si="36"/>
        <v>302112000[円]</v>
      </c>
      <c r="C2312" s="216">
        <v>302112000</v>
      </c>
      <c r="D2312" s="175" t="s">
        <v>630</v>
      </c>
      <c r="E2312" s="175">
        <v>66283165.6184486</v>
      </c>
      <c r="F2312" s="175" t="s">
        <v>265</v>
      </c>
      <c r="G2312" s="175" t="s">
        <v>5149</v>
      </c>
    </row>
    <row r="2313" spans="1:7">
      <c r="A2313" s="175" t="s">
        <v>5150</v>
      </c>
      <c r="B2313" s="217" t="str">
        <f t="shared" si="36"/>
        <v>302113000[円]</v>
      </c>
      <c r="C2313" s="216">
        <v>302113000</v>
      </c>
      <c r="D2313" s="175" t="s">
        <v>630</v>
      </c>
      <c r="E2313" s="175">
        <v>88689873.417721495</v>
      </c>
      <c r="F2313" s="175" t="s">
        <v>265</v>
      </c>
      <c r="G2313" s="175" t="s">
        <v>1871</v>
      </c>
    </row>
    <row r="2314" spans="1:7">
      <c r="A2314" s="175" t="s">
        <v>5151</v>
      </c>
      <c r="B2314" s="217" t="str">
        <f t="shared" si="36"/>
        <v>302114000[円]</v>
      </c>
      <c r="C2314" s="216">
        <v>302114000</v>
      </c>
      <c r="D2314" s="175" t="s">
        <v>630</v>
      </c>
      <c r="E2314" s="175">
        <v>102523766.519824</v>
      </c>
      <c r="F2314" s="175" t="s">
        <v>265</v>
      </c>
      <c r="G2314" s="175" t="s">
        <v>5152</v>
      </c>
    </row>
    <row r="2315" spans="1:7">
      <c r="A2315" s="175" t="s">
        <v>5153</v>
      </c>
      <c r="B2315" s="217" t="str">
        <f t="shared" si="36"/>
        <v>302115000[円]</v>
      </c>
      <c r="C2315" s="216">
        <v>302115000</v>
      </c>
      <c r="D2315" s="175" t="s">
        <v>630</v>
      </c>
      <c r="E2315" s="175">
        <v>21237521.367521401</v>
      </c>
      <c r="F2315" s="175" t="s">
        <v>265</v>
      </c>
      <c r="G2315" s="175" t="s">
        <v>1872</v>
      </c>
    </row>
    <row r="2316" spans="1:7">
      <c r="A2316" s="175" t="s">
        <v>5154</v>
      </c>
      <c r="B2316" s="217" t="str">
        <f t="shared" si="36"/>
        <v>303111000[円]</v>
      </c>
      <c r="C2316" s="216">
        <v>303111000</v>
      </c>
      <c r="D2316" s="175" t="s">
        <v>5155</v>
      </c>
      <c r="E2316" s="175">
        <v>1148542.41338112</v>
      </c>
      <c r="F2316" s="175" t="s">
        <v>265</v>
      </c>
      <c r="G2316" s="175" t="s">
        <v>1876</v>
      </c>
    </row>
    <row r="2317" spans="1:7">
      <c r="A2317" s="175" t="s">
        <v>5156</v>
      </c>
      <c r="B2317" s="217" t="str">
        <f t="shared" si="36"/>
        <v>303112000[円]</v>
      </c>
      <c r="C2317" s="216">
        <v>303112000</v>
      </c>
      <c r="D2317" s="175" t="s">
        <v>5155</v>
      </c>
      <c r="E2317" s="175">
        <v>827529.33507170796</v>
      </c>
      <c r="F2317" s="175" t="s">
        <v>265</v>
      </c>
      <c r="G2317" s="175" t="s">
        <v>5157</v>
      </c>
    </row>
    <row r="2318" spans="1:7">
      <c r="A2318" s="175" t="s">
        <v>5158</v>
      </c>
      <c r="B2318" s="217" t="str">
        <f t="shared" si="36"/>
        <v>303113000[円]</v>
      </c>
      <c r="C2318" s="216">
        <v>303113000</v>
      </c>
      <c r="D2318" s="175" t="s">
        <v>5155</v>
      </c>
      <c r="E2318" s="175">
        <v>113416.343193892</v>
      </c>
      <c r="F2318" s="175" t="s">
        <v>265</v>
      </c>
      <c r="G2318" s="175" t="s">
        <v>5159</v>
      </c>
    </row>
    <row r="2319" spans="1:7">
      <c r="A2319" s="175" t="s">
        <v>5160</v>
      </c>
      <c r="B2319" s="217" t="str">
        <f t="shared" si="36"/>
        <v>303114000[円]</v>
      </c>
      <c r="C2319" s="216">
        <v>303114000</v>
      </c>
      <c r="D2319" s="175" t="s">
        <v>5155</v>
      </c>
      <c r="E2319" s="175">
        <v>133987.88229477801</v>
      </c>
      <c r="F2319" s="175" t="s">
        <v>265</v>
      </c>
      <c r="G2319" s="175" t="s">
        <v>5161</v>
      </c>
    </row>
    <row r="2320" spans="1:7">
      <c r="A2320" s="175" t="s">
        <v>5162</v>
      </c>
      <c r="B2320" s="217" t="str">
        <f t="shared" si="36"/>
        <v>303115000[円]</v>
      </c>
      <c r="C2320" s="216">
        <v>303115000</v>
      </c>
      <c r="D2320" s="175" t="s">
        <v>5155</v>
      </c>
      <c r="E2320" s="175">
        <v>2513489.7451833398</v>
      </c>
      <c r="F2320" s="175" t="s">
        <v>265</v>
      </c>
      <c r="G2320" s="175" t="s">
        <v>5163</v>
      </c>
    </row>
    <row r="2321" spans="1:7">
      <c r="A2321" s="175" t="s">
        <v>5164</v>
      </c>
      <c r="B2321" s="217" t="str">
        <f t="shared" si="36"/>
        <v>303116000[円]</v>
      </c>
      <c r="C2321" s="216">
        <v>303116000</v>
      </c>
      <c r="D2321" s="175" t="s">
        <v>5155</v>
      </c>
      <c r="E2321" s="175">
        <v>336947.57248150703</v>
      </c>
      <c r="F2321" s="175" t="s">
        <v>265</v>
      </c>
      <c r="G2321" s="175" t="s">
        <v>5165</v>
      </c>
    </row>
    <row r="2322" spans="1:7">
      <c r="A2322" s="175" t="s">
        <v>5166</v>
      </c>
      <c r="B2322" s="217" t="str">
        <f t="shared" si="36"/>
        <v>303117000[円]</v>
      </c>
      <c r="C2322" s="216">
        <v>303117000</v>
      </c>
      <c r="D2322" s="175" t="s">
        <v>1877</v>
      </c>
      <c r="E2322" s="175">
        <v>5071106428.5714302</v>
      </c>
      <c r="F2322" s="175" t="s">
        <v>265</v>
      </c>
      <c r="G2322" s="175" t="s">
        <v>5167</v>
      </c>
    </row>
    <row r="2323" spans="1:7">
      <c r="A2323" s="175" t="s">
        <v>5168</v>
      </c>
      <c r="B2323" s="217" t="str">
        <f t="shared" si="36"/>
        <v>303118000[円]</v>
      </c>
      <c r="C2323" s="216">
        <v>303118000</v>
      </c>
      <c r="D2323" s="175" t="s">
        <v>1877</v>
      </c>
      <c r="E2323" s="175">
        <v>134568857.14285699</v>
      </c>
      <c r="F2323" s="175" t="s">
        <v>265</v>
      </c>
      <c r="G2323" s="175" t="s">
        <v>5169</v>
      </c>
    </row>
    <row r="2324" spans="1:7">
      <c r="A2324" s="175" t="s">
        <v>5170</v>
      </c>
      <c r="B2324" s="217" t="str">
        <f t="shared" si="36"/>
        <v>303121000[円]</v>
      </c>
      <c r="C2324" s="216">
        <v>303121000</v>
      </c>
      <c r="D2324" s="175" t="s">
        <v>1877</v>
      </c>
      <c r="E2324" s="175">
        <v>62421538.461538501</v>
      </c>
      <c r="F2324" s="175" t="s">
        <v>265</v>
      </c>
      <c r="G2324" s="175" t="s">
        <v>5171</v>
      </c>
    </row>
    <row r="2325" spans="1:7">
      <c r="A2325" s="175" t="s">
        <v>5172</v>
      </c>
      <c r="B2325" s="217" t="str">
        <f t="shared" si="36"/>
        <v>303300000[円]</v>
      </c>
      <c r="C2325" s="216">
        <v>303300000</v>
      </c>
      <c r="D2325" s="175" t="s">
        <v>1877</v>
      </c>
      <c r="E2325" s="175">
        <v>1689988.8220120401</v>
      </c>
      <c r="F2325" s="175" t="s">
        <v>265</v>
      </c>
      <c r="G2325" s="175" t="s">
        <v>5173</v>
      </c>
    </row>
    <row r="2326" spans="1:7">
      <c r="A2326" s="175" t="s">
        <v>5174</v>
      </c>
      <c r="B2326" s="217" t="str">
        <f t="shared" si="36"/>
        <v>303311000[円]</v>
      </c>
      <c r="C2326" s="216">
        <v>303311000</v>
      </c>
      <c r="D2326" s="175" t="s">
        <v>1877</v>
      </c>
      <c r="E2326" s="175">
        <v>2792415.5995343402</v>
      </c>
      <c r="F2326" s="175" t="s">
        <v>265</v>
      </c>
      <c r="G2326" s="175" t="s">
        <v>5175</v>
      </c>
    </row>
    <row r="2327" spans="1:7">
      <c r="A2327" s="175" t="s">
        <v>5176</v>
      </c>
      <c r="B2327" s="217" t="str">
        <f t="shared" si="36"/>
        <v>303312000[円]</v>
      </c>
      <c r="C2327" s="216">
        <v>303312000</v>
      </c>
      <c r="D2327" s="175" t="s">
        <v>1877</v>
      </c>
      <c r="E2327" s="175">
        <v>1498910.41162228</v>
      </c>
      <c r="F2327" s="175" t="s">
        <v>265</v>
      </c>
      <c r="G2327" s="175" t="s">
        <v>5177</v>
      </c>
    </row>
    <row r="2328" spans="1:7">
      <c r="A2328" s="175" t="s">
        <v>5178</v>
      </c>
      <c r="B2328" s="217" t="str">
        <f t="shared" si="36"/>
        <v>303411000[円]</v>
      </c>
      <c r="C2328" s="216">
        <v>303411000</v>
      </c>
      <c r="D2328" s="175" t="s">
        <v>630</v>
      </c>
      <c r="E2328" s="175">
        <v>15298175.3674607</v>
      </c>
      <c r="F2328" s="175" t="s">
        <v>265</v>
      </c>
      <c r="G2328" s="175" t="s">
        <v>1880</v>
      </c>
    </row>
    <row r="2329" spans="1:7">
      <c r="A2329" s="175" t="s">
        <v>5179</v>
      </c>
      <c r="B2329" s="217" t="str">
        <f t="shared" si="36"/>
        <v>304100000[円]</v>
      </c>
      <c r="C2329" s="216">
        <v>304100000</v>
      </c>
      <c r="D2329" s="175" t="s">
        <v>1882</v>
      </c>
      <c r="E2329" s="175">
        <v>3869187500</v>
      </c>
      <c r="F2329" s="175" t="s">
        <v>265</v>
      </c>
      <c r="G2329" s="175" t="s">
        <v>5180</v>
      </c>
    </row>
    <row r="2330" spans="1:7">
      <c r="A2330" s="175" t="s">
        <v>5181</v>
      </c>
      <c r="B2330" s="217" t="str">
        <f t="shared" si="36"/>
        <v>304111000[円]</v>
      </c>
      <c r="C2330" s="216">
        <v>304111000</v>
      </c>
      <c r="D2330" s="175" t="s">
        <v>1882</v>
      </c>
      <c r="E2330" s="175">
        <v>7229607777.7777796</v>
      </c>
      <c r="F2330" s="175" t="s">
        <v>265</v>
      </c>
      <c r="G2330" s="175" t="s">
        <v>1883</v>
      </c>
    </row>
    <row r="2331" spans="1:7">
      <c r="A2331" s="175" t="s">
        <v>5182</v>
      </c>
      <c r="B2331" s="217" t="str">
        <f t="shared" si="36"/>
        <v>304112000[円]</v>
      </c>
      <c r="C2331" s="216">
        <v>304112000</v>
      </c>
      <c r="D2331" s="175" t="s">
        <v>1882</v>
      </c>
      <c r="E2331" s="175">
        <v>2277409473.6842098</v>
      </c>
      <c r="F2331" s="175" t="s">
        <v>265</v>
      </c>
      <c r="G2331" s="175" t="s">
        <v>1884</v>
      </c>
    </row>
    <row r="2332" spans="1:7">
      <c r="A2332" s="175" t="s">
        <v>5183</v>
      </c>
      <c r="B2332" s="217" t="str">
        <f t="shared" si="36"/>
        <v>304200000[円]</v>
      </c>
      <c r="C2332" s="216">
        <v>304200000</v>
      </c>
      <c r="D2332" s="175" t="s">
        <v>630</v>
      </c>
      <c r="E2332" s="175">
        <v>186796363.63636401</v>
      </c>
      <c r="F2332" s="175" t="s">
        <v>265</v>
      </c>
      <c r="G2332" s="175" t="s">
        <v>5184</v>
      </c>
    </row>
    <row r="2333" spans="1:7">
      <c r="A2333" s="175" t="s">
        <v>5185</v>
      </c>
      <c r="B2333" s="217" t="str">
        <f t="shared" si="36"/>
        <v>304211000[円]</v>
      </c>
      <c r="C2333" s="216">
        <v>304211000</v>
      </c>
      <c r="D2333" s="175" t="s">
        <v>630</v>
      </c>
      <c r="E2333" s="175">
        <v>186796363.63636401</v>
      </c>
      <c r="F2333" s="175" t="s">
        <v>265</v>
      </c>
      <c r="G2333" s="175" t="s">
        <v>1885</v>
      </c>
    </row>
    <row r="2334" spans="1:7">
      <c r="A2334" s="175" t="s">
        <v>5186</v>
      </c>
      <c r="B2334" s="217" t="str">
        <f t="shared" si="36"/>
        <v>305100000[円]</v>
      </c>
      <c r="C2334" s="216">
        <v>305100000</v>
      </c>
      <c r="D2334" s="175" t="s">
        <v>630</v>
      </c>
      <c r="E2334" s="175">
        <v>2210447.08267581</v>
      </c>
      <c r="F2334" s="175" t="s">
        <v>265</v>
      </c>
      <c r="G2334" s="175" t="s">
        <v>5187</v>
      </c>
    </row>
    <row r="2335" spans="1:7">
      <c r="A2335" s="175" t="s">
        <v>5188</v>
      </c>
      <c r="B2335" s="217" t="str">
        <f t="shared" si="36"/>
        <v>305111000[円]</v>
      </c>
      <c r="C2335" s="216">
        <v>305111000</v>
      </c>
      <c r="D2335" s="175" t="s">
        <v>630</v>
      </c>
      <c r="E2335" s="175">
        <v>2210447.08267581</v>
      </c>
      <c r="F2335" s="175" t="s">
        <v>265</v>
      </c>
      <c r="G2335" s="175" t="s">
        <v>1887</v>
      </c>
    </row>
    <row r="2336" spans="1:7">
      <c r="A2336" s="175" t="s">
        <v>5189</v>
      </c>
      <c r="B2336" s="217" t="str">
        <f t="shared" si="36"/>
        <v>305911000[円]</v>
      </c>
      <c r="C2336" s="216">
        <v>305911000</v>
      </c>
      <c r="D2336" s="175" t="s">
        <v>630</v>
      </c>
      <c r="E2336" s="175">
        <v>939966.15422256698</v>
      </c>
      <c r="F2336" s="175" t="s">
        <v>265</v>
      </c>
      <c r="G2336" s="175" t="s">
        <v>5190</v>
      </c>
    </row>
    <row r="2337" spans="1:7">
      <c r="A2337" s="175" t="s">
        <v>5191</v>
      </c>
      <c r="B2337" s="217" t="str">
        <f t="shared" si="36"/>
        <v>309111000[円]</v>
      </c>
      <c r="C2337" s="216">
        <v>309111000</v>
      </c>
      <c r="D2337" s="175" t="s">
        <v>630</v>
      </c>
      <c r="E2337" s="175">
        <v>32058.318007839302</v>
      </c>
      <c r="F2337" s="175" t="s">
        <v>265</v>
      </c>
      <c r="G2337" s="175" t="s">
        <v>5192</v>
      </c>
    </row>
    <row r="2338" spans="1:7">
      <c r="A2338" s="175" t="s">
        <v>5193</v>
      </c>
      <c r="B2338" s="217" t="str">
        <f t="shared" si="36"/>
        <v>309112000[円]</v>
      </c>
      <c r="C2338" s="216">
        <v>309112000</v>
      </c>
      <c r="D2338" s="175" t="s">
        <v>630</v>
      </c>
      <c r="E2338" s="175">
        <v>13058.352505303401</v>
      </c>
      <c r="F2338" s="175" t="s">
        <v>265</v>
      </c>
      <c r="G2338" s="175" t="s">
        <v>1889</v>
      </c>
    </row>
    <row r="2339" spans="1:7">
      <c r="A2339" s="175" t="s">
        <v>5194</v>
      </c>
      <c r="B2339" s="217" t="str">
        <f t="shared" si="36"/>
        <v>309113000[円]</v>
      </c>
      <c r="C2339" s="216">
        <v>309113000</v>
      </c>
      <c r="D2339" s="175" t="s">
        <v>630</v>
      </c>
      <c r="E2339" s="175">
        <v>68463.822651486698</v>
      </c>
      <c r="F2339" s="175" t="s">
        <v>265</v>
      </c>
      <c r="G2339" s="175" t="s">
        <v>5195</v>
      </c>
    </row>
    <row r="2340" spans="1:7">
      <c r="A2340" s="175" t="s">
        <v>5196</v>
      </c>
      <c r="B2340" s="217" t="str">
        <f t="shared" si="36"/>
        <v>309114000[円]</v>
      </c>
      <c r="C2340" s="216">
        <v>309114000</v>
      </c>
      <c r="D2340" s="175" t="s">
        <v>630</v>
      </c>
      <c r="E2340" s="175">
        <v>83441.925779622194</v>
      </c>
      <c r="F2340" s="175" t="s">
        <v>265</v>
      </c>
      <c r="G2340" s="175" t="s">
        <v>5197</v>
      </c>
    </row>
    <row r="2341" spans="1:7">
      <c r="A2341" s="175" t="s">
        <v>5198</v>
      </c>
      <c r="B2341" s="217" t="str">
        <f t="shared" si="36"/>
        <v>309115000[円]</v>
      </c>
      <c r="C2341" s="216">
        <v>309115000</v>
      </c>
      <c r="D2341" s="175" t="s">
        <v>630</v>
      </c>
      <c r="E2341" s="175">
        <v>4619.0210977178403</v>
      </c>
      <c r="F2341" s="175" t="s">
        <v>265</v>
      </c>
      <c r="G2341" s="175" t="s">
        <v>5199</v>
      </c>
    </row>
    <row r="2342" spans="1:7">
      <c r="A2342" s="175" t="s">
        <v>5200</v>
      </c>
      <c r="B2342" s="217" t="str">
        <f t="shared" si="36"/>
        <v>311200000[台]</v>
      </c>
      <c r="C2342" s="216">
        <v>311200000</v>
      </c>
      <c r="D2342" s="175" t="s">
        <v>265</v>
      </c>
      <c r="E2342" s="175">
        <v>6.2072513720537299E-5</v>
      </c>
      <c r="F2342" s="175" t="s">
        <v>630</v>
      </c>
      <c r="G2342" s="175" t="s">
        <v>5201</v>
      </c>
    </row>
    <row r="2343" spans="1:7">
      <c r="A2343" s="175" t="s">
        <v>5202</v>
      </c>
      <c r="B2343" s="217" t="str">
        <f t="shared" si="36"/>
        <v>311211000[円]</v>
      </c>
      <c r="C2343" s="216">
        <v>311211000</v>
      </c>
      <c r="D2343" s="175" t="s">
        <v>629</v>
      </c>
      <c r="E2343" s="175">
        <v>8415.3027805498405</v>
      </c>
      <c r="F2343" s="175" t="s">
        <v>265</v>
      </c>
      <c r="G2343" s="175" t="s">
        <v>1689</v>
      </c>
    </row>
    <row r="2344" spans="1:7">
      <c r="A2344" s="175" t="s">
        <v>5203</v>
      </c>
      <c r="B2344" s="217" t="str">
        <f t="shared" si="36"/>
        <v>311411000[個]</v>
      </c>
      <c r="C2344" s="216">
        <v>311411000</v>
      </c>
      <c r="D2344" s="175" t="s">
        <v>265</v>
      </c>
      <c r="E2344" s="175">
        <v>5.6946859503184796E-4</v>
      </c>
      <c r="F2344" s="175" t="s">
        <v>629</v>
      </c>
      <c r="G2344" s="175" t="s">
        <v>1692</v>
      </c>
    </row>
    <row r="2345" spans="1:7">
      <c r="A2345" s="175" t="s">
        <v>5204</v>
      </c>
      <c r="B2345" s="217" t="str">
        <f t="shared" si="36"/>
        <v>311500000[台]</v>
      </c>
      <c r="C2345" s="216">
        <v>311500000</v>
      </c>
      <c r="D2345" s="175" t="s">
        <v>265</v>
      </c>
      <c r="E2345" s="175">
        <v>9.0252174182731104E-6</v>
      </c>
      <c r="F2345" s="175" t="s">
        <v>630</v>
      </c>
      <c r="G2345" s="175" t="s">
        <v>5205</v>
      </c>
    </row>
    <row r="2346" spans="1:7">
      <c r="A2346" s="175" t="s">
        <v>5206</v>
      </c>
      <c r="B2346" s="217" t="str">
        <f t="shared" si="36"/>
        <v>311511000[個]</v>
      </c>
      <c r="C2346" s="216">
        <v>311511000</v>
      </c>
      <c r="D2346" s="175" t="s">
        <v>265</v>
      </c>
      <c r="E2346" s="175">
        <v>2.0011336951359599E-4</v>
      </c>
      <c r="F2346" s="175" t="s">
        <v>629</v>
      </c>
      <c r="G2346" s="175" t="s">
        <v>1895</v>
      </c>
    </row>
    <row r="2347" spans="1:7">
      <c r="A2347" s="175" t="s">
        <v>5207</v>
      </c>
      <c r="B2347" s="217" t="str">
        <f t="shared" si="36"/>
        <v>311512000[円]</v>
      </c>
      <c r="C2347" s="216">
        <v>311512000</v>
      </c>
      <c r="D2347" s="175" t="s">
        <v>630</v>
      </c>
      <c r="E2347" s="175">
        <v>204974.951159597</v>
      </c>
      <c r="F2347" s="175" t="s">
        <v>265</v>
      </c>
      <c r="G2347" s="175" t="s">
        <v>1896</v>
      </c>
    </row>
    <row r="2348" spans="1:7">
      <c r="A2348" s="175" t="s">
        <v>5208</v>
      </c>
      <c r="B2348" s="217" t="str">
        <f t="shared" si="36"/>
        <v>311600000[台]</v>
      </c>
      <c r="C2348" s="216">
        <v>311600000</v>
      </c>
      <c r="D2348" s="175" t="s">
        <v>265</v>
      </c>
      <c r="E2348" s="175">
        <v>2.0605910289279301E-7</v>
      </c>
      <c r="F2348" s="175" t="s">
        <v>630</v>
      </c>
      <c r="G2348" s="175" t="s">
        <v>5209</v>
      </c>
    </row>
    <row r="2349" spans="1:7">
      <c r="A2349" s="175" t="s">
        <v>5210</v>
      </c>
      <c r="B2349" s="217" t="str">
        <f t="shared" si="36"/>
        <v>311611000[円]</v>
      </c>
      <c r="C2349" s="216">
        <v>311611000</v>
      </c>
      <c r="D2349" s="175" t="s">
        <v>630</v>
      </c>
      <c r="E2349" s="175">
        <v>290363.93899860501</v>
      </c>
      <c r="F2349" s="175" t="s">
        <v>265</v>
      </c>
      <c r="G2349" s="175" t="s">
        <v>1897</v>
      </c>
    </row>
    <row r="2350" spans="1:7">
      <c r="A2350" s="175" t="s">
        <v>5211</v>
      </c>
      <c r="B2350" s="217" t="str">
        <f t="shared" si="36"/>
        <v>311619000[台]</v>
      </c>
      <c r="C2350" s="216">
        <v>311619000</v>
      </c>
      <c r="D2350" s="175" t="s">
        <v>265</v>
      </c>
      <c r="E2350" s="175">
        <v>1.56749559662016E-6</v>
      </c>
      <c r="F2350" s="175" t="s">
        <v>630</v>
      </c>
      <c r="G2350" s="175" t="s">
        <v>1898</v>
      </c>
    </row>
    <row r="2351" spans="1:7">
      <c r="A2351" s="175" t="s">
        <v>5212</v>
      </c>
      <c r="B2351" s="217" t="str">
        <f t="shared" si="36"/>
        <v>311700000[台]</v>
      </c>
      <c r="C2351" s="216">
        <v>311700000</v>
      </c>
      <c r="D2351" s="175" t="s">
        <v>265</v>
      </c>
      <c r="E2351" s="175">
        <v>3.8968145909589999E-7</v>
      </c>
      <c r="F2351" s="175" t="s">
        <v>630</v>
      </c>
      <c r="G2351" s="175" t="s">
        <v>5213</v>
      </c>
    </row>
    <row r="2352" spans="1:7">
      <c r="A2352" s="175" t="s">
        <v>5214</v>
      </c>
      <c r="B2352" s="217" t="str">
        <f t="shared" si="36"/>
        <v>311711000[円]</v>
      </c>
      <c r="C2352" s="216">
        <v>311711000</v>
      </c>
      <c r="D2352" s="175" t="s">
        <v>630</v>
      </c>
      <c r="E2352" s="175">
        <v>3054462.3335321001</v>
      </c>
      <c r="F2352" s="175" t="s">
        <v>265</v>
      </c>
      <c r="G2352" s="175" t="s">
        <v>1899</v>
      </c>
    </row>
    <row r="2353" spans="1:7">
      <c r="A2353" s="175" t="s">
        <v>5215</v>
      </c>
      <c r="B2353" s="217" t="str">
        <f t="shared" si="36"/>
        <v>315112000[円]</v>
      </c>
      <c r="C2353" s="216">
        <v>315112000</v>
      </c>
      <c r="D2353" s="175" t="s">
        <v>629</v>
      </c>
      <c r="E2353" s="175">
        <v>7230.1252722223298</v>
      </c>
      <c r="F2353" s="175" t="s">
        <v>265</v>
      </c>
      <c r="G2353" s="175" t="s">
        <v>1911</v>
      </c>
    </row>
    <row r="2354" spans="1:7">
      <c r="A2354" s="175" t="s">
        <v>5216</v>
      </c>
      <c r="B2354" s="217" t="str">
        <f t="shared" si="36"/>
        <v>315113000[円]</v>
      </c>
      <c r="C2354" s="216">
        <v>315113000</v>
      </c>
      <c r="D2354" s="175" t="s">
        <v>629</v>
      </c>
      <c r="E2354" s="175">
        <v>66544.296358636901</v>
      </c>
      <c r="F2354" s="175" t="s">
        <v>265</v>
      </c>
      <c r="G2354" s="175" t="s">
        <v>5217</v>
      </c>
    </row>
    <row r="2355" spans="1:7">
      <c r="A2355" s="175" t="s">
        <v>5218</v>
      </c>
      <c r="B2355" s="217" t="str">
        <f t="shared" si="36"/>
        <v>315200000[台]</v>
      </c>
      <c r="C2355" s="216">
        <v>315200000</v>
      </c>
      <c r="D2355" s="175" t="s">
        <v>265</v>
      </c>
      <c r="E2355" s="175">
        <v>6.4327229572214899E-5</v>
      </c>
      <c r="F2355" s="175" t="s">
        <v>630</v>
      </c>
      <c r="G2355" s="175" t="s">
        <v>5219</v>
      </c>
    </row>
    <row r="2356" spans="1:7">
      <c r="A2356" s="175" t="s">
        <v>5220</v>
      </c>
      <c r="B2356" s="217" t="str">
        <f t="shared" si="36"/>
        <v>315211000[円]</v>
      </c>
      <c r="C2356" s="216">
        <v>315211000</v>
      </c>
      <c r="D2356" s="175" t="s">
        <v>630</v>
      </c>
      <c r="E2356" s="175">
        <v>56011.291929591498</v>
      </c>
      <c r="F2356" s="175" t="s">
        <v>265</v>
      </c>
      <c r="G2356" s="175" t="s">
        <v>1912</v>
      </c>
    </row>
    <row r="2357" spans="1:7">
      <c r="A2357" s="175" t="s">
        <v>5221</v>
      </c>
      <c r="B2357" s="217" t="str">
        <f t="shared" si="36"/>
        <v>315212000[円]</v>
      </c>
      <c r="C2357" s="216">
        <v>315212000</v>
      </c>
      <c r="D2357" s="175" t="s">
        <v>630</v>
      </c>
      <c r="E2357" s="175">
        <v>1088757.30951192</v>
      </c>
      <c r="F2357" s="175" t="s">
        <v>265</v>
      </c>
      <c r="G2357" s="175" t="s">
        <v>1913</v>
      </c>
    </row>
    <row r="2358" spans="1:7">
      <c r="A2358" s="175" t="s">
        <v>5222</v>
      </c>
      <c r="B2358" s="217" t="str">
        <f t="shared" si="36"/>
        <v>315213000[台]</v>
      </c>
      <c r="C2358" s="216">
        <v>315213000</v>
      </c>
      <c r="D2358" s="175" t="s">
        <v>265</v>
      </c>
      <c r="E2358" s="175">
        <v>2.5052910052910099E-5</v>
      </c>
      <c r="F2358" s="175" t="s">
        <v>630</v>
      </c>
      <c r="G2358" s="175" t="s">
        <v>5223</v>
      </c>
    </row>
    <row r="2359" spans="1:7">
      <c r="A2359" s="175" t="s">
        <v>5224</v>
      </c>
      <c r="B2359" s="217" t="str">
        <f t="shared" si="36"/>
        <v>315214000[円]</v>
      </c>
      <c r="C2359" s="216">
        <v>315214000</v>
      </c>
      <c r="D2359" s="175" t="s">
        <v>629</v>
      </c>
      <c r="E2359" s="175">
        <v>2747.6082275785002</v>
      </c>
      <c r="F2359" s="175" t="s">
        <v>265</v>
      </c>
      <c r="G2359" s="175" t="s">
        <v>1914</v>
      </c>
    </row>
    <row r="2360" spans="1:7">
      <c r="A2360" s="175" t="s">
        <v>5225</v>
      </c>
      <c r="B2360" s="217" t="str">
        <f t="shared" si="36"/>
        <v>315412000[円]</v>
      </c>
      <c r="C2360" s="216">
        <v>315412000</v>
      </c>
      <c r="D2360" s="175" t="s">
        <v>629</v>
      </c>
      <c r="E2360" s="175">
        <v>35340.992229055002</v>
      </c>
      <c r="F2360" s="175" t="s">
        <v>265</v>
      </c>
      <c r="G2360" s="175" t="s">
        <v>1917</v>
      </c>
    </row>
    <row r="2361" spans="1:7">
      <c r="A2361" s="175" t="s">
        <v>5226</v>
      </c>
      <c r="B2361" s="217" t="str">
        <f t="shared" si="36"/>
        <v>317100000[個]</v>
      </c>
      <c r="C2361" s="216">
        <v>317100000</v>
      </c>
      <c r="D2361" s="175" t="s">
        <v>265</v>
      </c>
      <c r="E2361" s="175">
        <v>3.3617075258768098E-4</v>
      </c>
      <c r="F2361" s="175" t="s">
        <v>629</v>
      </c>
      <c r="G2361" s="175" t="s">
        <v>5227</v>
      </c>
    </row>
    <row r="2362" spans="1:7">
      <c r="A2362" s="175" t="s">
        <v>5228</v>
      </c>
      <c r="B2362" s="217" t="str">
        <f t="shared" si="36"/>
        <v>317111000[個]</v>
      </c>
      <c r="C2362" s="216">
        <v>317111000</v>
      </c>
      <c r="D2362" s="175" t="s">
        <v>265</v>
      </c>
      <c r="E2362" s="175">
        <v>3.5386782553919098E-3</v>
      </c>
      <c r="F2362" s="175" t="s">
        <v>629</v>
      </c>
      <c r="G2362" s="175" t="s">
        <v>5229</v>
      </c>
    </row>
    <row r="2363" spans="1:7">
      <c r="A2363" s="175" t="s">
        <v>5230</v>
      </c>
      <c r="B2363" s="217" t="str">
        <f t="shared" si="36"/>
        <v>317112000[個]</v>
      </c>
      <c r="C2363" s="216">
        <v>317112000</v>
      </c>
      <c r="D2363" s="175" t="s">
        <v>265</v>
      </c>
      <c r="E2363" s="175">
        <v>6.1192781811371497E-4</v>
      </c>
      <c r="F2363" s="175" t="s">
        <v>629</v>
      </c>
      <c r="G2363" s="175" t="s">
        <v>5231</v>
      </c>
    </row>
    <row r="2364" spans="1:7">
      <c r="A2364" s="175" t="s">
        <v>5232</v>
      </c>
      <c r="B2364" s="217" t="str">
        <f t="shared" si="36"/>
        <v>322100000[円]</v>
      </c>
      <c r="C2364" s="216">
        <v>322100000</v>
      </c>
      <c r="D2364" s="175" t="s">
        <v>630</v>
      </c>
      <c r="E2364" s="175">
        <v>708813.05637982197</v>
      </c>
      <c r="F2364" s="175" t="s">
        <v>265</v>
      </c>
      <c r="G2364" s="175" t="s">
        <v>5233</v>
      </c>
    </row>
    <row r="2365" spans="1:7">
      <c r="A2365" s="175" t="s">
        <v>5234</v>
      </c>
      <c r="B2365" s="217" t="str">
        <f t="shared" si="36"/>
        <v>322111000[円]</v>
      </c>
      <c r="C2365" s="216">
        <v>322111000</v>
      </c>
      <c r="D2365" s="175" t="s">
        <v>630</v>
      </c>
      <c r="E2365" s="175">
        <v>708813.05637982197</v>
      </c>
      <c r="F2365" s="175" t="s">
        <v>265</v>
      </c>
      <c r="G2365" s="175" t="s">
        <v>1928</v>
      </c>
    </row>
    <row r="2366" spans="1:7">
      <c r="A2366" s="175" t="s">
        <v>5235</v>
      </c>
      <c r="B2366" s="217" t="str">
        <f t="shared" si="36"/>
        <v>322200000[円]</v>
      </c>
      <c r="C2366" s="216">
        <v>322200000</v>
      </c>
      <c r="D2366" s="175" t="s">
        <v>629</v>
      </c>
      <c r="E2366" s="175">
        <v>40279.612057942097</v>
      </c>
      <c r="F2366" s="175" t="s">
        <v>265</v>
      </c>
      <c r="G2366" s="175" t="s">
        <v>5236</v>
      </c>
    </row>
    <row r="2367" spans="1:7">
      <c r="A2367" s="175" t="s">
        <v>5237</v>
      </c>
      <c r="B2367" s="217" t="str">
        <f t="shared" si="36"/>
        <v>322211000[円]</v>
      </c>
      <c r="C2367" s="216">
        <v>322211000</v>
      </c>
      <c r="D2367" s="175" t="s">
        <v>629</v>
      </c>
      <c r="E2367" s="175">
        <v>40279.612057942097</v>
      </c>
      <c r="F2367" s="175" t="s">
        <v>265</v>
      </c>
      <c r="G2367" s="175" t="s">
        <v>5238</v>
      </c>
    </row>
    <row r="2368" spans="1:7">
      <c r="A2368" s="175" t="s">
        <v>5239</v>
      </c>
      <c r="B2368" s="217" t="str">
        <f t="shared" si="36"/>
        <v>322900000[台]</v>
      </c>
      <c r="C2368" s="216">
        <v>322900000</v>
      </c>
      <c r="D2368" s="175" t="s">
        <v>265</v>
      </c>
      <c r="E2368" s="175">
        <v>1.51025045704576E-5</v>
      </c>
      <c r="F2368" s="175" t="s">
        <v>630</v>
      </c>
      <c r="G2368" s="175" t="s">
        <v>5240</v>
      </c>
    </row>
    <row r="2369" spans="1:7">
      <c r="A2369" s="175" t="s">
        <v>5241</v>
      </c>
      <c r="B2369" s="217" t="str">
        <f t="shared" si="36"/>
        <v>322911000[円]</v>
      </c>
      <c r="C2369" s="216">
        <v>322911000</v>
      </c>
      <c r="D2369" s="175" t="s">
        <v>630</v>
      </c>
      <c r="E2369" s="175">
        <v>73832.826747720406</v>
      </c>
      <c r="F2369" s="175" t="s">
        <v>265</v>
      </c>
      <c r="G2369" s="175" t="s">
        <v>1929</v>
      </c>
    </row>
    <row r="2370" spans="1:7">
      <c r="A2370" s="175" t="s">
        <v>5242</v>
      </c>
      <c r="B2370" s="217" t="str">
        <f t="shared" ref="B2370:B2433" si="37">C2370&amp;"["&amp;F2370&amp;"]"</f>
        <v>322919000[本]</v>
      </c>
      <c r="C2370" s="216">
        <v>322919000</v>
      </c>
      <c r="D2370" s="175" t="s">
        <v>265</v>
      </c>
      <c r="E2370" s="175">
        <v>1.46726971043194E-5</v>
      </c>
      <c r="F2370" s="175" t="s">
        <v>266</v>
      </c>
      <c r="G2370" s="175" t="s">
        <v>1930</v>
      </c>
    </row>
    <row r="2371" spans="1:7">
      <c r="A2371" s="175" t="s">
        <v>5243</v>
      </c>
      <c r="B2371" s="217" t="str">
        <f t="shared" si="37"/>
        <v>323100000[個]</v>
      </c>
      <c r="C2371" s="216">
        <v>323100000</v>
      </c>
      <c r="D2371" s="175" t="s">
        <v>265</v>
      </c>
      <c r="E2371" s="175">
        <v>1.47385758476822E-4</v>
      </c>
      <c r="F2371" s="175" t="s">
        <v>629</v>
      </c>
      <c r="G2371" s="175" t="s">
        <v>5244</v>
      </c>
    </row>
    <row r="2372" spans="1:7">
      <c r="A2372" s="175" t="s">
        <v>5245</v>
      </c>
      <c r="B2372" s="217" t="str">
        <f t="shared" si="37"/>
        <v>323113000[個]</v>
      </c>
      <c r="C2372" s="216">
        <v>323113000</v>
      </c>
      <c r="D2372" s="175" t="s">
        <v>265</v>
      </c>
      <c r="E2372" s="175">
        <v>2.5252770179840802E-4</v>
      </c>
      <c r="F2372" s="175" t="s">
        <v>629</v>
      </c>
      <c r="G2372" s="175" t="s">
        <v>1931</v>
      </c>
    </row>
    <row r="2373" spans="1:7">
      <c r="A2373" s="175" t="s">
        <v>5246</v>
      </c>
      <c r="B2373" s="217" t="str">
        <f t="shared" si="37"/>
        <v>323114000[個]</v>
      </c>
      <c r="C2373" s="216">
        <v>323114000</v>
      </c>
      <c r="D2373" s="175" t="s">
        <v>265</v>
      </c>
      <c r="E2373" s="175">
        <v>1.3130763546797999E-3</v>
      </c>
      <c r="F2373" s="175" t="s">
        <v>629</v>
      </c>
      <c r="G2373" s="175" t="s">
        <v>1932</v>
      </c>
    </row>
    <row r="2374" spans="1:7">
      <c r="A2374" s="175" t="s">
        <v>5247</v>
      </c>
      <c r="B2374" s="217" t="str">
        <f t="shared" si="37"/>
        <v>323115000[円]</v>
      </c>
      <c r="C2374" s="216">
        <v>323115000</v>
      </c>
      <c r="D2374" s="175" t="s">
        <v>629</v>
      </c>
      <c r="E2374" s="175">
        <v>467.58022279765299</v>
      </c>
      <c r="F2374" s="175" t="s">
        <v>265</v>
      </c>
      <c r="G2374" s="175" t="s">
        <v>1933</v>
      </c>
    </row>
    <row r="2375" spans="1:7">
      <c r="A2375" s="175" t="s">
        <v>5248</v>
      </c>
      <c r="B2375" s="217" t="str">
        <f t="shared" si="37"/>
        <v>323129000[個]</v>
      </c>
      <c r="C2375" s="216">
        <v>323129000</v>
      </c>
      <c r="D2375" s="175" t="s">
        <v>265</v>
      </c>
      <c r="E2375" s="175">
        <v>7.2613384638907296E-3</v>
      </c>
      <c r="F2375" s="175" t="s">
        <v>629</v>
      </c>
      <c r="G2375" s="175" t="s">
        <v>1934</v>
      </c>
    </row>
    <row r="2376" spans="1:7">
      <c r="A2376" s="175" t="s">
        <v>5249</v>
      </c>
      <c r="B2376" s="217" t="str">
        <f t="shared" si="37"/>
        <v>324100000[円]</v>
      </c>
      <c r="C2376" s="216">
        <v>324100000</v>
      </c>
      <c r="D2376" s="175" t="s">
        <v>266</v>
      </c>
      <c r="E2376" s="175">
        <v>107.38641914997601</v>
      </c>
      <c r="F2376" s="175" t="s">
        <v>265</v>
      </c>
      <c r="G2376" s="175" t="s">
        <v>5250</v>
      </c>
    </row>
    <row r="2377" spans="1:7">
      <c r="A2377" s="175" t="s">
        <v>5251</v>
      </c>
      <c r="B2377" s="217" t="str">
        <f t="shared" si="37"/>
        <v>324111000[円]</v>
      </c>
      <c r="C2377" s="216">
        <v>324111000</v>
      </c>
      <c r="D2377" s="175" t="s">
        <v>266</v>
      </c>
      <c r="E2377" s="175">
        <v>107.38641914997601</v>
      </c>
      <c r="F2377" s="175" t="s">
        <v>265</v>
      </c>
      <c r="G2377" s="175" t="s">
        <v>1937</v>
      </c>
    </row>
    <row r="2378" spans="1:7">
      <c r="A2378" s="175" t="s">
        <v>5252</v>
      </c>
      <c r="B2378" s="217" t="str">
        <f t="shared" si="37"/>
        <v>324200000[円]</v>
      </c>
      <c r="C2378" s="216">
        <v>324200000</v>
      </c>
      <c r="D2378" s="175" t="s">
        <v>266</v>
      </c>
      <c r="E2378" s="175">
        <v>45.494850708988203</v>
      </c>
      <c r="F2378" s="175" t="s">
        <v>265</v>
      </c>
      <c r="G2378" s="175" t="s">
        <v>5253</v>
      </c>
    </row>
    <row r="2379" spans="1:7">
      <c r="A2379" s="175" t="s">
        <v>5254</v>
      </c>
      <c r="B2379" s="217" t="str">
        <f t="shared" si="37"/>
        <v>324211000[円]</v>
      </c>
      <c r="C2379" s="216">
        <v>324211000</v>
      </c>
      <c r="D2379" s="175" t="s">
        <v>266</v>
      </c>
      <c r="E2379" s="175">
        <v>45.494850708988203</v>
      </c>
      <c r="F2379" s="175" t="s">
        <v>265</v>
      </c>
      <c r="G2379" s="175" t="s">
        <v>1938</v>
      </c>
    </row>
    <row r="2380" spans="1:7">
      <c r="A2380" s="175" t="s">
        <v>5255</v>
      </c>
      <c r="B2380" s="217" t="str">
        <f t="shared" si="37"/>
        <v>324300000[円]</v>
      </c>
      <c r="C2380" s="216">
        <v>324300000</v>
      </c>
      <c r="D2380" s="175" t="s">
        <v>266</v>
      </c>
      <c r="E2380" s="175">
        <v>17.476851851851901</v>
      </c>
      <c r="F2380" s="175" t="s">
        <v>265</v>
      </c>
      <c r="G2380" s="175" t="s">
        <v>5256</v>
      </c>
    </row>
    <row r="2381" spans="1:7">
      <c r="A2381" s="175" t="s">
        <v>5257</v>
      </c>
      <c r="B2381" s="217" t="str">
        <f t="shared" si="37"/>
        <v>324311000[円]</v>
      </c>
      <c r="C2381" s="216">
        <v>324311000</v>
      </c>
      <c r="D2381" s="175" t="s">
        <v>266</v>
      </c>
      <c r="E2381" s="175">
        <v>17.476851851851901</v>
      </c>
      <c r="F2381" s="175" t="s">
        <v>265</v>
      </c>
      <c r="G2381" s="175" t="s">
        <v>1939</v>
      </c>
    </row>
    <row r="2382" spans="1:7">
      <c r="A2382" s="175" t="s">
        <v>5258</v>
      </c>
      <c r="B2382" s="217" t="str">
        <f t="shared" si="37"/>
        <v>327200000[円]</v>
      </c>
      <c r="C2382" s="216">
        <v>327200000</v>
      </c>
      <c r="D2382" s="175" t="s">
        <v>1945</v>
      </c>
      <c r="E2382" s="175">
        <v>5276.2173290435103</v>
      </c>
      <c r="F2382" s="175" t="s">
        <v>265</v>
      </c>
      <c r="G2382" s="175" t="s">
        <v>5259</v>
      </c>
    </row>
    <row r="2383" spans="1:7">
      <c r="A2383" s="175" t="s">
        <v>5260</v>
      </c>
      <c r="B2383" s="217" t="str">
        <f t="shared" si="37"/>
        <v>327211000[円]</v>
      </c>
      <c r="C2383" s="216">
        <v>327211000</v>
      </c>
      <c r="D2383" s="175" t="s">
        <v>1945</v>
      </c>
      <c r="E2383" s="175">
        <v>5276.2173290435103</v>
      </c>
      <c r="F2383" s="175" t="s">
        <v>265</v>
      </c>
      <c r="G2383" s="175" t="s">
        <v>1945</v>
      </c>
    </row>
    <row r="2384" spans="1:7">
      <c r="A2384" s="175" t="s">
        <v>5260</v>
      </c>
      <c r="B2384" s="217" t="str">
        <f t="shared" si="37"/>
        <v>327211000[kg]</v>
      </c>
      <c r="C2384" s="216">
        <v>327211000</v>
      </c>
      <c r="D2384" s="175" t="s">
        <v>1945</v>
      </c>
      <c r="E2384" s="175">
        <v>30</v>
      </c>
      <c r="F2384" s="175" t="s">
        <v>235</v>
      </c>
      <c r="G2384" s="175" t="s">
        <v>1945</v>
      </c>
    </row>
    <row r="2385" spans="1:7">
      <c r="A2385" s="175" t="s">
        <v>5261</v>
      </c>
      <c r="B2385" s="217" t="str">
        <f t="shared" si="37"/>
        <v>327500000[円]</v>
      </c>
      <c r="C2385" s="216">
        <v>327500000</v>
      </c>
      <c r="D2385" s="175" t="s">
        <v>266</v>
      </c>
      <c r="E2385" s="175">
        <v>1964.4029475114901</v>
      </c>
      <c r="F2385" s="175" t="s">
        <v>265</v>
      </c>
      <c r="G2385" s="175" t="s">
        <v>5262</v>
      </c>
    </row>
    <row r="2386" spans="1:7">
      <c r="A2386" s="175" t="s">
        <v>5263</v>
      </c>
      <c r="B2386" s="217" t="str">
        <f t="shared" si="37"/>
        <v>327511000[円]</v>
      </c>
      <c r="C2386" s="216">
        <v>327511000</v>
      </c>
      <c r="D2386" s="175" t="s">
        <v>266</v>
      </c>
      <c r="E2386" s="175">
        <v>1964.4029475114901</v>
      </c>
      <c r="F2386" s="175" t="s">
        <v>265</v>
      </c>
      <c r="G2386" s="175" t="s">
        <v>1948</v>
      </c>
    </row>
    <row r="2387" spans="1:7">
      <c r="A2387" s="175" t="s">
        <v>5264</v>
      </c>
      <c r="B2387" s="217" t="str">
        <f t="shared" si="37"/>
        <v>331111011[MJ]</v>
      </c>
      <c r="C2387" s="216">
        <v>331111011</v>
      </c>
      <c r="D2387" s="175" t="s">
        <v>1958</v>
      </c>
      <c r="E2387" s="175">
        <v>3.6</v>
      </c>
      <c r="F2387" s="175" t="s">
        <v>279</v>
      </c>
      <c r="G2387" s="175" t="s">
        <v>6952</v>
      </c>
    </row>
    <row r="2388" spans="1:7">
      <c r="A2388" s="175" t="s">
        <v>5264</v>
      </c>
      <c r="B2388" s="217" t="str">
        <f t="shared" si="37"/>
        <v>331111011[円]</v>
      </c>
      <c r="C2388" s="216">
        <v>331111011</v>
      </c>
      <c r="D2388" s="175" t="s">
        <v>1958</v>
      </c>
      <c r="E2388" s="175">
        <v>17.004865379999998</v>
      </c>
      <c r="F2388" s="175" t="s">
        <v>265</v>
      </c>
      <c r="G2388" s="175" t="s">
        <v>6952</v>
      </c>
    </row>
    <row r="2389" spans="1:7">
      <c r="A2389" s="175" t="s">
        <v>5266</v>
      </c>
      <c r="B2389" s="217" t="str">
        <f t="shared" si="37"/>
        <v>331111012[MJ]</v>
      </c>
      <c r="C2389" s="216">
        <v>331111012</v>
      </c>
      <c r="D2389" s="175" t="s">
        <v>1958</v>
      </c>
      <c r="E2389" s="175">
        <v>3.6</v>
      </c>
      <c r="F2389" s="175" t="s">
        <v>279</v>
      </c>
      <c r="G2389" s="175" t="s">
        <v>6953</v>
      </c>
    </row>
    <row r="2390" spans="1:7">
      <c r="A2390" s="175" t="s">
        <v>5268</v>
      </c>
      <c r="B2390" s="217" t="str">
        <f t="shared" si="37"/>
        <v>331111014[MJ]</v>
      </c>
      <c r="C2390" s="216">
        <v>331111014</v>
      </c>
      <c r="D2390" s="175" t="s">
        <v>1958</v>
      </c>
      <c r="E2390" s="175">
        <v>3.6</v>
      </c>
      <c r="F2390" s="175" t="s">
        <v>279</v>
      </c>
      <c r="G2390" s="175" t="s">
        <v>5269</v>
      </c>
    </row>
    <row r="2391" spans="1:7">
      <c r="A2391" s="175" t="s">
        <v>5270</v>
      </c>
      <c r="B2391" s="217" t="str">
        <f t="shared" si="37"/>
        <v>332024011[MJ]</v>
      </c>
      <c r="C2391" s="216">
        <v>332024011</v>
      </c>
      <c r="D2391" s="175" t="s">
        <v>1958</v>
      </c>
      <c r="E2391" s="175">
        <v>3.6</v>
      </c>
      <c r="F2391" s="175" t="s">
        <v>279</v>
      </c>
      <c r="G2391" s="175" t="s">
        <v>6954</v>
      </c>
    </row>
    <row r="2392" spans="1:7">
      <c r="A2392" s="175" t="s">
        <v>5272</v>
      </c>
      <c r="B2392" s="217" t="str">
        <f t="shared" si="37"/>
        <v>332059011[MJ]</v>
      </c>
      <c r="C2392" s="216">
        <v>332059011</v>
      </c>
      <c r="D2392" s="175" t="s">
        <v>1958</v>
      </c>
      <c r="E2392" s="175">
        <v>3.6</v>
      </c>
      <c r="F2392" s="175" t="s">
        <v>279</v>
      </c>
      <c r="G2392" s="175" t="s">
        <v>6955</v>
      </c>
    </row>
    <row r="2393" spans="1:7">
      <c r="A2393" s="175" t="s">
        <v>5274</v>
      </c>
      <c r="B2393" s="217" t="str">
        <f t="shared" si="37"/>
        <v>332070011[MJ]</v>
      </c>
      <c r="C2393" s="216">
        <v>332070011</v>
      </c>
      <c r="D2393" s="175" t="s">
        <v>1958</v>
      </c>
      <c r="E2393" s="175">
        <v>3.6</v>
      </c>
      <c r="F2393" s="175" t="s">
        <v>279</v>
      </c>
      <c r="G2393" s="175" t="s">
        <v>6956</v>
      </c>
    </row>
    <row r="2394" spans="1:7">
      <c r="A2394" s="175" t="s">
        <v>5276</v>
      </c>
      <c r="B2394" s="217" t="str">
        <f t="shared" si="37"/>
        <v>332079011[MJ]</v>
      </c>
      <c r="C2394" s="216">
        <v>332079011</v>
      </c>
      <c r="D2394" s="175" t="s">
        <v>1958</v>
      </c>
      <c r="E2394" s="175">
        <v>3.6</v>
      </c>
      <c r="F2394" s="175" t="s">
        <v>279</v>
      </c>
      <c r="G2394" s="175" t="s">
        <v>6957</v>
      </c>
    </row>
    <row r="2395" spans="1:7">
      <c r="A2395" s="175" t="s">
        <v>5278</v>
      </c>
      <c r="B2395" s="217" t="str">
        <f t="shared" si="37"/>
        <v>332103011[MJ]</v>
      </c>
      <c r="C2395" s="216">
        <v>332103011</v>
      </c>
      <c r="D2395" s="175" t="s">
        <v>1958</v>
      </c>
      <c r="E2395" s="175">
        <v>3.6</v>
      </c>
      <c r="F2395" s="175" t="s">
        <v>279</v>
      </c>
      <c r="G2395" s="175" t="s">
        <v>6958</v>
      </c>
    </row>
    <row r="2396" spans="1:7">
      <c r="A2396" s="175" t="s">
        <v>5280</v>
      </c>
      <c r="B2396" s="217" t="str">
        <f t="shared" si="37"/>
        <v>332106011[MJ]</v>
      </c>
      <c r="C2396" s="216">
        <v>332106011</v>
      </c>
      <c r="D2396" s="175" t="s">
        <v>1958</v>
      </c>
      <c r="E2396" s="175">
        <v>3.6</v>
      </c>
      <c r="F2396" s="175" t="s">
        <v>279</v>
      </c>
      <c r="G2396" s="175" t="s">
        <v>6959</v>
      </c>
    </row>
    <row r="2397" spans="1:7">
      <c r="A2397" s="175" t="s">
        <v>5282</v>
      </c>
      <c r="B2397" s="217" t="str">
        <f t="shared" si="37"/>
        <v>332126011[MJ]</v>
      </c>
      <c r="C2397" s="216">
        <v>332126011</v>
      </c>
      <c r="D2397" s="175" t="s">
        <v>1958</v>
      </c>
      <c r="E2397" s="175">
        <v>3.6</v>
      </c>
      <c r="F2397" s="175" t="s">
        <v>279</v>
      </c>
      <c r="G2397" s="175" t="s">
        <v>6960</v>
      </c>
    </row>
    <row r="2398" spans="1:7">
      <c r="A2398" s="175" t="s">
        <v>5284</v>
      </c>
      <c r="B2398" s="217" t="str">
        <f t="shared" si="37"/>
        <v>332139011[MJ]</v>
      </c>
      <c r="C2398" s="216">
        <v>332139011</v>
      </c>
      <c r="D2398" s="175" t="s">
        <v>1958</v>
      </c>
      <c r="E2398" s="175">
        <v>3.6</v>
      </c>
      <c r="F2398" s="175" t="s">
        <v>279</v>
      </c>
      <c r="G2398" s="175" t="s">
        <v>6961</v>
      </c>
    </row>
    <row r="2399" spans="1:7">
      <c r="A2399" s="175" t="s">
        <v>5286</v>
      </c>
      <c r="B2399" s="217" t="str">
        <f t="shared" si="37"/>
        <v>333112202[MJ]</v>
      </c>
      <c r="C2399" s="216">
        <v>333112202</v>
      </c>
      <c r="D2399" s="175" t="s">
        <v>1958</v>
      </c>
      <c r="E2399" s="175">
        <v>3.6</v>
      </c>
      <c r="F2399" s="175" t="s">
        <v>279</v>
      </c>
      <c r="G2399" s="175" t="s">
        <v>6962</v>
      </c>
    </row>
    <row r="2400" spans="1:7">
      <c r="A2400" s="175" t="s">
        <v>5288</v>
      </c>
      <c r="B2400" s="217" t="str">
        <f t="shared" si="37"/>
        <v>338112000[kWh]</v>
      </c>
      <c r="C2400" s="216">
        <v>338112000</v>
      </c>
      <c r="D2400" s="175" t="s">
        <v>279</v>
      </c>
      <c r="E2400" s="175">
        <v>0.27777777799999998</v>
      </c>
      <c r="F2400" s="175" t="s">
        <v>1958</v>
      </c>
      <c r="G2400" s="175" t="s">
        <v>5289</v>
      </c>
    </row>
    <row r="2401" spans="1:7">
      <c r="A2401" s="175" t="s">
        <v>5290</v>
      </c>
      <c r="B2401" s="217" t="str">
        <f t="shared" si="37"/>
        <v>338116000[kWh]</v>
      </c>
      <c r="C2401" s="216">
        <v>338116000</v>
      </c>
      <c r="D2401" s="175" t="s">
        <v>279</v>
      </c>
      <c r="E2401" s="175">
        <v>0.27777777799999998</v>
      </c>
      <c r="F2401" s="175" t="s">
        <v>1958</v>
      </c>
      <c r="G2401" s="175" t="s">
        <v>5291</v>
      </c>
    </row>
    <row r="2402" spans="1:7">
      <c r="A2402" s="175" t="s">
        <v>5292</v>
      </c>
      <c r="B2402" s="217" t="str">
        <f t="shared" si="37"/>
        <v>338117000[kWh]</v>
      </c>
      <c r="C2402" s="216">
        <v>338117000</v>
      </c>
      <c r="D2402" s="175" t="s">
        <v>279</v>
      </c>
      <c r="E2402" s="175">
        <v>0.27777777799999998</v>
      </c>
      <c r="F2402" s="175" t="s">
        <v>1958</v>
      </c>
      <c r="G2402" s="175" t="s">
        <v>5293</v>
      </c>
    </row>
    <row r="2403" spans="1:7">
      <c r="A2403" s="175" t="s">
        <v>5294</v>
      </c>
      <c r="B2403" s="217" t="str">
        <f t="shared" si="37"/>
        <v>338119000[kWh]</v>
      </c>
      <c r="C2403" s="216">
        <v>338119000</v>
      </c>
      <c r="D2403" s="175" t="s">
        <v>279</v>
      </c>
      <c r="E2403" s="175">
        <v>0.27777777799999998</v>
      </c>
      <c r="F2403" s="175" t="s">
        <v>1958</v>
      </c>
      <c r="G2403" s="175" t="s">
        <v>5295</v>
      </c>
    </row>
    <row r="2404" spans="1:7">
      <c r="A2404" s="175" t="s">
        <v>5296</v>
      </c>
      <c r="B2404" s="217" t="str">
        <f t="shared" si="37"/>
        <v>341111000[kg]</v>
      </c>
      <c r="C2404" s="216">
        <v>341111000</v>
      </c>
      <c r="D2404" s="175" t="s">
        <v>402</v>
      </c>
      <c r="E2404" s="175">
        <v>0.84699999999999998</v>
      </c>
      <c r="F2404" s="175" t="s">
        <v>235</v>
      </c>
      <c r="G2404" s="175" t="s">
        <v>118</v>
      </c>
    </row>
    <row r="2405" spans="1:7">
      <c r="A2405" s="175" t="s">
        <v>5296</v>
      </c>
      <c r="B2405" s="217" t="str">
        <f t="shared" si="37"/>
        <v>341111000[円]</v>
      </c>
      <c r="C2405" s="216">
        <v>341111000</v>
      </c>
      <c r="D2405" s="175" t="s">
        <v>402</v>
      </c>
      <c r="E2405" s="175">
        <v>80.36417745</v>
      </c>
      <c r="F2405" s="175" t="s">
        <v>265</v>
      </c>
      <c r="G2405" s="175" t="s">
        <v>118</v>
      </c>
    </row>
    <row r="2406" spans="1:7">
      <c r="A2406" s="175" t="s">
        <v>5296</v>
      </c>
      <c r="B2406" s="217" t="str">
        <f t="shared" si="37"/>
        <v>341111000[MJ]</v>
      </c>
      <c r="C2406" s="216">
        <v>341111000</v>
      </c>
      <c r="D2406" s="175" t="s">
        <v>402</v>
      </c>
      <c r="E2406" s="175">
        <v>46.1</v>
      </c>
      <c r="F2406" s="175" t="s">
        <v>279</v>
      </c>
      <c r="G2406" s="175" t="s">
        <v>118</v>
      </c>
    </row>
    <row r="2407" spans="1:7">
      <c r="A2407" s="175" t="s">
        <v>5296</v>
      </c>
      <c r="B2407" s="217" t="str">
        <f t="shared" si="37"/>
        <v>341111000[L]</v>
      </c>
      <c r="C2407" s="216">
        <v>341111000</v>
      </c>
      <c r="D2407" s="175" t="s">
        <v>402</v>
      </c>
      <c r="E2407" s="175">
        <v>1000</v>
      </c>
      <c r="F2407" s="175" t="s">
        <v>400</v>
      </c>
      <c r="G2407" s="175" t="s">
        <v>118</v>
      </c>
    </row>
    <row r="2408" spans="1:7">
      <c r="A2408" s="175" t="s">
        <v>5297</v>
      </c>
      <c r="B2408" s="217" t="str">
        <f t="shared" si="37"/>
        <v>341111801[kg]</v>
      </c>
      <c r="C2408" s="216">
        <v>341111801</v>
      </c>
      <c r="D2408" s="175" t="s">
        <v>279</v>
      </c>
      <c r="E2408" s="175">
        <v>1.8574561403508799E-2</v>
      </c>
      <c r="F2408" s="175" t="s">
        <v>235</v>
      </c>
      <c r="G2408" s="175" t="s">
        <v>5298</v>
      </c>
    </row>
    <row r="2409" spans="1:7">
      <c r="A2409" s="175" t="s">
        <v>5297</v>
      </c>
      <c r="B2409" s="217" t="str">
        <f t="shared" si="37"/>
        <v>341111801[Nm3]</v>
      </c>
      <c r="C2409" s="216">
        <v>341111801</v>
      </c>
      <c r="D2409" s="175" t="s">
        <v>279</v>
      </c>
      <c r="E2409" s="175">
        <v>2.1929824561403501E-2</v>
      </c>
      <c r="F2409" s="175" t="s">
        <v>402</v>
      </c>
      <c r="G2409" s="175" t="s">
        <v>5298</v>
      </c>
    </row>
    <row r="2410" spans="1:7">
      <c r="A2410" s="175" t="s">
        <v>5299</v>
      </c>
      <c r="B2410" s="217" t="str">
        <f t="shared" si="37"/>
        <v>351111000[円]</v>
      </c>
      <c r="C2410" s="216">
        <v>351111000</v>
      </c>
      <c r="D2410" s="175" t="s">
        <v>279</v>
      </c>
      <c r="E2410" s="175">
        <v>6.14776186346527</v>
      </c>
      <c r="F2410" s="175" t="s">
        <v>265</v>
      </c>
      <c r="G2410" s="175" t="s">
        <v>1968</v>
      </c>
    </row>
    <row r="2411" spans="1:7">
      <c r="A2411" s="175" t="s">
        <v>5300</v>
      </c>
      <c r="B2411" s="217" t="str">
        <f t="shared" si="37"/>
        <v>351200000[kg]</v>
      </c>
      <c r="C2411" s="216">
        <v>351200000</v>
      </c>
      <c r="D2411" s="175" t="s">
        <v>279</v>
      </c>
      <c r="E2411" s="175">
        <v>0.37309999999999999</v>
      </c>
      <c r="F2411" s="175" t="s">
        <v>235</v>
      </c>
      <c r="G2411" s="175" t="s">
        <v>5301</v>
      </c>
    </row>
    <row r="2412" spans="1:7">
      <c r="A2412" s="175" t="s">
        <v>5302</v>
      </c>
      <c r="B2412" s="217" t="str">
        <f t="shared" si="37"/>
        <v>351211000[kg]</v>
      </c>
      <c r="C2412" s="216">
        <v>351211000</v>
      </c>
      <c r="D2412" s="175" t="s">
        <v>279</v>
      </c>
      <c r="E2412" s="175">
        <v>0.37309999999999999</v>
      </c>
      <c r="F2412" s="175" t="s">
        <v>235</v>
      </c>
      <c r="G2412" s="175" t="s">
        <v>5303</v>
      </c>
    </row>
    <row r="2413" spans="1:7">
      <c r="A2413" s="175" t="s">
        <v>5304</v>
      </c>
      <c r="B2413" s="217" t="str">
        <f t="shared" si="37"/>
        <v>351211100[MJ]</v>
      </c>
      <c r="C2413" s="216">
        <v>351211100</v>
      </c>
      <c r="D2413" s="175" t="s">
        <v>235</v>
      </c>
      <c r="E2413" s="175">
        <v>2.68</v>
      </c>
      <c r="F2413" s="175" t="s">
        <v>279</v>
      </c>
      <c r="G2413" s="175" t="s">
        <v>1969</v>
      </c>
    </row>
    <row r="2414" spans="1:7">
      <c r="A2414" s="175" t="s">
        <v>5305</v>
      </c>
      <c r="B2414" s="217" t="str">
        <f t="shared" si="37"/>
        <v>351211101[MJ]</v>
      </c>
      <c r="C2414" s="216">
        <v>351211101</v>
      </c>
      <c r="D2414" s="175" t="s">
        <v>235</v>
      </c>
      <c r="E2414" s="175">
        <v>2.68</v>
      </c>
      <c r="F2414" s="175" t="s">
        <v>279</v>
      </c>
      <c r="G2414" s="175" t="s">
        <v>5306</v>
      </c>
    </row>
    <row r="2415" spans="1:7">
      <c r="A2415" s="175" t="s">
        <v>5307</v>
      </c>
      <c r="B2415" s="217" t="str">
        <f t="shared" si="37"/>
        <v>361100000[kg]</v>
      </c>
      <c r="C2415" s="216">
        <v>361100000</v>
      </c>
      <c r="D2415" s="175" t="s">
        <v>278</v>
      </c>
      <c r="E2415" s="175">
        <v>1000</v>
      </c>
      <c r="F2415" s="175" t="s">
        <v>235</v>
      </c>
      <c r="G2415" s="175" t="s">
        <v>5308</v>
      </c>
    </row>
    <row r="2416" spans="1:7">
      <c r="A2416" s="175" t="s">
        <v>5309</v>
      </c>
      <c r="B2416" s="217" t="str">
        <f t="shared" si="37"/>
        <v>361111000[円]</v>
      </c>
      <c r="C2416" s="216">
        <v>361111000</v>
      </c>
      <c r="D2416" s="175" t="s">
        <v>278</v>
      </c>
      <c r="E2416" s="175">
        <v>171.7</v>
      </c>
      <c r="F2416" s="175" t="s">
        <v>265</v>
      </c>
      <c r="G2416" s="175" t="s">
        <v>1970</v>
      </c>
    </row>
    <row r="2417" spans="1:7">
      <c r="A2417" s="175" t="s">
        <v>5309</v>
      </c>
      <c r="B2417" s="217" t="str">
        <f t="shared" si="37"/>
        <v>361111000[L]</v>
      </c>
      <c r="C2417" s="216">
        <v>361111000</v>
      </c>
      <c r="D2417" s="175" t="s">
        <v>278</v>
      </c>
      <c r="E2417" s="175">
        <v>1000</v>
      </c>
      <c r="F2417" s="175" t="s">
        <v>400</v>
      </c>
      <c r="G2417" s="175" t="s">
        <v>1970</v>
      </c>
    </row>
    <row r="2418" spans="1:7">
      <c r="A2418" s="175" t="s">
        <v>5309</v>
      </c>
      <c r="B2418" s="217" t="str">
        <f t="shared" si="37"/>
        <v>361111000[kg]</v>
      </c>
      <c r="C2418" s="216">
        <v>361111000</v>
      </c>
      <c r="D2418" s="175" t="s">
        <v>278</v>
      </c>
      <c r="E2418" s="175">
        <v>1000</v>
      </c>
      <c r="F2418" s="175" t="s">
        <v>235</v>
      </c>
      <c r="G2418" s="175" t="s">
        <v>1970</v>
      </c>
    </row>
    <row r="2419" spans="1:7">
      <c r="A2419" s="175" t="s">
        <v>5310</v>
      </c>
      <c r="B2419" s="217" t="str">
        <f t="shared" si="37"/>
        <v>361111200[kg]</v>
      </c>
      <c r="C2419" s="216">
        <v>361111200</v>
      </c>
      <c r="D2419" s="175" t="s">
        <v>278</v>
      </c>
      <c r="E2419" s="175">
        <v>1000</v>
      </c>
      <c r="F2419" s="175" t="s">
        <v>235</v>
      </c>
      <c r="G2419" s="175" t="s">
        <v>5311</v>
      </c>
    </row>
    <row r="2420" spans="1:7">
      <c r="A2420" s="175" t="s">
        <v>5310</v>
      </c>
      <c r="B2420" s="217" t="str">
        <f t="shared" si="37"/>
        <v>361111200[L]</v>
      </c>
      <c r="C2420" s="216">
        <v>361111200</v>
      </c>
      <c r="D2420" s="175" t="s">
        <v>278</v>
      </c>
      <c r="E2420" s="175">
        <v>1000</v>
      </c>
      <c r="F2420" s="175" t="s">
        <v>400</v>
      </c>
      <c r="G2420" s="175" t="s">
        <v>5311</v>
      </c>
    </row>
    <row r="2421" spans="1:7">
      <c r="A2421" s="175" t="s">
        <v>5310</v>
      </c>
      <c r="B2421" s="217" t="str">
        <f t="shared" si="37"/>
        <v>361111200[円]</v>
      </c>
      <c r="C2421" s="216">
        <v>361111200</v>
      </c>
      <c r="D2421" s="175" t="s">
        <v>278</v>
      </c>
      <c r="E2421" s="175">
        <v>171.7</v>
      </c>
      <c r="F2421" s="175" t="s">
        <v>265</v>
      </c>
      <c r="G2421" s="175" t="s">
        <v>5311</v>
      </c>
    </row>
    <row r="2422" spans="1:7">
      <c r="A2422" s="175" t="s">
        <v>5312</v>
      </c>
      <c r="B2422" s="217" t="str">
        <f t="shared" si="37"/>
        <v>361111400[kg]</v>
      </c>
      <c r="C2422" s="216">
        <v>361111400</v>
      </c>
      <c r="D2422" s="175" t="s">
        <v>278</v>
      </c>
      <c r="E2422" s="175">
        <v>1000</v>
      </c>
      <c r="F2422" s="175" t="s">
        <v>235</v>
      </c>
      <c r="G2422" s="175" t="s">
        <v>5313</v>
      </c>
    </row>
    <row r="2423" spans="1:7">
      <c r="A2423" s="175" t="s">
        <v>5312</v>
      </c>
      <c r="B2423" s="217" t="str">
        <f t="shared" si="37"/>
        <v>361111400[L]</v>
      </c>
      <c r="C2423" s="216">
        <v>361111400</v>
      </c>
      <c r="D2423" s="175" t="s">
        <v>278</v>
      </c>
      <c r="E2423" s="175">
        <v>1000</v>
      </c>
      <c r="F2423" s="175" t="s">
        <v>400</v>
      </c>
      <c r="G2423" s="175" t="s">
        <v>5313</v>
      </c>
    </row>
    <row r="2424" spans="1:7">
      <c r="A2424" s="175" t="s">
        <v>5312</v>
      </c>
      <c r="B2424" s="217" t="str">
        <f t="shared" si="37"/>
        <v>361111400[円]</v>
      </c>
      <c r="C2424" s="216">
        <v>361111400</v>
      </c>
      <c r="D2424" s="175" t="s">
        <v>278</v>
      </c>
      <c r="E2424" s="175">
        <v>171.7</v>
      </c>
      <c r="F2424" s="175" t="s">
        <v>265</v>
      </c>
      <c r="G2424" s="175" t="s">
        <v>5313</v>
      </c>
    </row>
    <row r="2425" spans="1:7">
      <c r="A2425" s="175" t="s">
        <v>5314</v>
      </c>
      <c r="B2425" s="217" t="str">
        <f t="shared" si="37"/>
        <v>362100000[kg]</v>
      </c>
      <c r="C2425" s="216">
        <v>362100000</v>
      </c>
      <c r="D2425" s="175" t="s">
        <v>278</v>
      </c>
      <c r="E2425" s="175">
        <v>1000</v>
      </c>
      <c r="F2425" s="175" t="s">
        <v>235</v>
      </c>
      <c r="G2425" s="175" t="s">
        <v>5315</v>
      </c>
    </row>
    <row r="2426" spans="1:7">
      <c r="A2426" s="175" t="s">
        <v>5316</v>
      </c>
      <c r="B2426" s="217" t="str">
        <f t="shared" si="37"/>
        <v>362111000[kg]</v>
      </c>
      <c r="C2426" s="216">
        <v>362111000</v>
      </c>
      <c r="D2426" s="175" t="s">
        <v>278</v>
      </c>
      <c r="E2426" s="175">
        <v>1000</v>
      </c>
      <c r="F2426" s="175" t="s">
        <v>235</v>
      </c>
      <c r="G2426" s="175" t="s">
        <v>1971</v>
      </c>
    </row>
    <row r="2427" spans="1:7">
      <c r="A2427" s="175" t="s">
        <v>5316</v>
      </c>
      <c r="B2427" s="217" t="str">
        <f t="shared" si="37"/>
        <v>362111000[円]</v>
      </c>
      <c r="C2427" s="216">
        <v>362111000</v>
      </c>
      <c r="D2427" s="175" t="s">
        <v>278</v>
      </c>
      <c r="E2427" s="175">
        <v>30.4</v>
      </c>
      <c r="F2427" s="175" t="s">
        <v>265</v>
      </c>
      <c r="G2427" s="175" t="s">
        <v>1971</v>
      </c>
    </row>
    <row r="2428" spans="1:7">
      <c r="A2428" s="175" t="s">
        <v>5316</v>
      </c>
      <c r="B2428" s="217" t="str">
        <f t="shared" si="37"/>
        <v>362111000[L]</v>
      </c>
      <c r="C2428" s="216">
        <v>362111000</v>
      </c>
      <c r="D2428" s="175" t="s">
        <v>278</v>
      </c>
      <c r="E2428" s="175">
        <v>1000</v>
      </c>
      <c r="F2428" s="175" t="s">
        <v>400</v>
      </c>
      <c r="G2428" s="175" t="s">
        <v>1971</v>
      </c>
    </row>
    <row r="2429" spans="1:7">
      <c r="A2429" s="175" t="s">
        <v>5317</v>
      </c>
      <c r="B2429" s="217" t="str">
        <f t="shared" si="37"/>
        <v>362111200[L]</v>
      </c>
      <c r="C2429" s="216">
        <v>362111200</v>
      </c>
      <c r="D2429" s="175" t="s">
        <v>278</v>
      </c>
      <c r="E2429" s="175">
        <v>1000</v>
      </c>
      <c r="F2429" s="175" t="s">
        <v>400</v>
      </c>
      <c r="G2429" s="175" t="s">
        <v>5318</v>
      </c>
    </row>
    <row r="2430" spans="1:7">
      <c r="A2430" s="175" t="s">
        <v>5317</v>
      </c>
      <c r="B2430" s="217" t="str">
        <f t="shared" si="37"/>
        <v>362111200[kg]</v>
      </c>
      <c r="C2430" s="216">
        <v>362111200</v>
      </c>
      <c r="D2430" s="175" t="s">
        <v>278</v>
      </c>
      <c r="E2430" s="175">
        <v>1000</v>
      </c>
      <c r="F2430" s="175" t="s">
        <v>235</v>
      </c>
      <c r="G2430" s="175" t="s">
        <v>5318</v>
      </c>
    </row>
    <row r="2431" spans="1:7">
      <c r="A2431" s="175" t="s">
        <v>5319</v>
      </c>
      <c r="B2431" s="217" t="str">
        <f t="shared" si="37"/>
        <v>362111400[L]</v>
      </c>
      <c r="C2431" s="216">
        <v>362111400</v>
      </c>
      <c r="D2431" s="175" t="s">
        <v>278</v>
      </c>
      <c r="E2431" s="175">
        <v>1000</v>
      </c>
      <c r="F2431" s="175" t="s">
        <v>400</v>
      </c>
      <c r="G2431" s="175" t="s">
        <v>5320</v>
      </c>
    </row>
    <row r="2432" spans="1:7">
      <c r="A2432" s="175" t="s">
        <v>5319</v>
      </c>
      <c r="B2432" s="217" t="str">
        <f t="shared" si="37"/>
        <v>362111400[kg]</v>
      </c>
      <c r="C2432" s="216">
        <v>362111400</v>
      </c>
      <c r="D2432" s="175" t="s">
        <v>278</v>
      </c>
      <c r="E2432" s="175">
        <v>1000</v>
      </c>
      <c r="F2432" s="175" t="s">
        <v>235</v>
      </c>
      <c r="G2432" s="175" t="s">
        <v>5320</v>
      </c>
    </row>
    <row r="2433" spans="1:7">
      <c r="A2433" s="175" t="s">
        <v>5321</v>
      </c>
      <c r="B2433" s="217" t="str">
        <f t="shared" si="37"/>
        <v>365111000[L]</v>
      </c>
      <c r="C2433" s="216">
        <v>365111000</v>
      </c>
      <c r="D2433" s="175" t="s">
        <v>278</v>
      </c>
      <c r="E2433" s="175">
        <v>1000</v>
      </c>
      <c r="F2433" s="175" t="s">
        <v>400</v>
      </c>
      <c r="G2433" s="175" t="s">
        <v>5322</v>
      </c>
    </row>
    <row r="2434" spans="1:7">
      <c r="A2434" s="175" t="s">
        <v>5321</v>
      </c>
      <c r="B2434" s="217" t="str">
        <f t="shared" ref="B2434:B2466" si="38">C2434&amp;"["&amp;F2434&amp;"]"</f>
        <v>365111000[kg]</v>
      </c>
      <c r="C2434" s="216">
        <v>365111000</v>
      </c>
      <c r="D2434" s="175" t="s">
        <v>278</v>
      </c>
      <c r="E2434" s="175">
        <v>1000</v>
      </c>
      <c r="F2434" s="175" t="s">
        <v>235</v>
      </c>
      <c r="G2434" s="175" t="s">
        <v>5322</v>
      </c>
    </row>
    <row r="2435" spans="1:7">
      <c r="A2435" s="175" t="s">
        <v>5323</v>
      </c>
      <c r="B2435" s="217" t="str">
        <f t="shared" si="38"/>
        <v>365111200[kg]</v>
      </c>
      <c r="C2435" s="216">
        <v>365111200</v>
      </c>
      <c r="D2435" s="175" t="s">
        <v>278</v>
      </c>
      <c r="E2435" s="175">
        <v>1000</v>
      </c>
      <c r="F2435" s="175" t="s">
        <v>235</v>
      </c>
      <c r="G2435" s="175" t="s">
        <v>5324</v>
      </c>
    </row>
    <row r="2436" spans="1:7">
      <c r="A2436" s="175" t="s">
        <v>5323</v>
      </c>
      <c r="B2436" s="217" t="str">
        <f t="shared" si="38"/>
        <v>365111200[L]</v>
      </c>
      <c r="C2436" s="216">
        <v>365111200</v>
      </c>
      <c r="D2436" s="175" t="s">
        <v>278</v>
      </c>
      <c r="E2436" s="175">
        <v>1000</v>
      </c>
      <c r="F2436" s="175" t="s">
        <v>400</v>
      </c>
      <c r="G2436" s="175" t="s">
        <v>5324</v>
      </c>
    </row>
    <row r="2437" spans="1:7">
      <c r="A2437" s="175" t="s">
        <v>5325</v>
      </c>
      <c r="B2437" s="217" t="str">
        <f t="shared" si="38"/>
        <v>365111400[L]</v>
      </c>
      <c r="C2437" s="216">
        <v>365111400</v>
      </c>
      <c r="D2437" s="175" t="s">
        <v>278</v>
      </c>
      <c r="E2437" s="175">
        <v>1000</v>
      </c>
      <c r="F2437" s="175" t="s">
        <v>400</v>
      </c>
      <c r="G2437" s="175" t="s">
        <v>5326</v>
      </c>
    </row>
    <row r="2438" spans="1:7">
      <c r="A2438" s="175" t="s">
        <v>5325</v>
      </c>
      <c r="B2438" s="217" t="str">
        <f t="shared" si="38"/>
        <v>365111400[kg]</v>
      </c>
      <c r="C2438" s="216">
        <v>365111400</v>
      </c>
      <c r="D2438" s="175" t="s">
        <v>278</v>
      </c>
      <c r="E2438" s="175">
        <v>1000</v>
      </c>
      <c r="F2438" s="175" t="s">
        <v>235</v>
      </c>
      <c r="G2438" s="175" t="s">
        <v>5326</v>
      </c>
    </row>
    <row r="2439" spans="1:7">
      <c r="A2439" s="175" t="s">
        <v>5327</v>
      </c>
      <c r="B2439" s="217" t="str">
        <f t="shared" si="38"/>
        <v>366111000[L]</v>
      </c>
      <c r="C2439" s="216">
        <v>366111000</v>
      </c>
      <c r="D2439" s="175" t="s">
        <v>278</v>
      </c>
      <c r="E2439" s="175">
        <v>1000</v>
      </c>
      <c r="F2439" s="175" t="s">
        <v>400</v>
      </c>
      <c r="G2439" s="175" t="s">
        <v>5328</v>
      </c>
    </row>
    <row r="2440" spans="1:7">
      <c r="A2440" s="175" t="s">
        <v>5327</v>
      </c>
      <c r="B2440" s="217" t="str">
        <f t="shared" si="38"/>
        <v>366111000[kg]</v>
      </c>
      <c r="C2440" s="216">
        <v>366111000</v>
      </c>
      <c r="D2440" s="175" t="s">
        <v>278</v>
      </c>
      <c r="E2440" s="175">
        <v>1000</v>
      </c>
      <c r="F2440" s="175" t="s">
        <v>235</v>
      </c>
      <c r="G2440" s="175" t="s">
        <v>5328</v>
      </c>
    </row>
    <row r="2441" spans="1:7">
      <c r="A2441" s="175" t="s">
        <v>5329</v>
      </c>
      <c r="B2441" s="217" t="str">
        <f t="shared" si="38"/>
        <v>366111200[kg]</v>
      </c>
      <c r="C2441" s="216">
        <v>366111200</v>
      </c>
      <c r="D2441" s="175" t="s">
        <v>278</v>
      </c>
      <c r="E2441" s="175">
        <v>1000</v>
      </c>
      <c r="F2441" s="175" t="s">
        <v>235</v>
      </c>
      <c r="G2441" s="175" t="s">
        <v>5330</v>
      </c>
    </row>
    <row r="2442" spans="1:7">
      <c r="A2442" s="175" t="s">
        <v>5329</v>
      </c>
      <c r="B2442" s="217" t="str">
        <f t="shared" si="38"/>
        <v>366111200[L]</v>
      </c>
      <c r="C2442" s="216">
        <v>366111200</v>
      </c>
      <c r="D2442" s="175" t="s">
        <v>278</v>
      </c>
      <c r="E2442" s="175">
        <v>1000</v>
      </c>
      <c r="F2442" s="175" t="s">
        <v>400</v>
      </c>
      <c r="G2442" s="175" t="s">
        <v>5330</v>
      </c>
    </row>
    <row r="2443" spans="1:7">
      <c r="A2443" s="175" t="s">
        <v>5331</v>
      </c>
      <c r="B2443" s="217" t="str">
        <f t="shared" si="38"/>
        <v>366111400[kg]</v>
      </c>
      <c r="C2443" s="216">
        <v>366111400</v>
      </c>
      <c r="D2443" s="175" t="s">
        <v>278</v>
      </c>
      <c r="E2443" s="175">
        <v>1000</v>
      </c>
      <c r="F2443" s="175" t="s">
        <v>235</v>
      </c>
      <c r="G2443" s="175" t="s">
        <v>5332</v>
      </c>
    </row>
    <row r="2444" spans="1:7">
      <c r="A2444" s="175" t="s">
        <v>5331</v>
      </c>
      <c r="B2444" s="217" t="str">
        <f t="shared" si="38"/>
        <v>366111400[L]</v>
      </c>
      <c r="C2444" s="216">
        <v>366111400</v>
      </c>
      <c r="D2444" s="175" t="s">
        <v>278</v>
      </c>
      <c r="E2444" s="175">
        <v>1000</v>
      </c>
      <c r="F2444" s="175" t="s">
        <v>400</v>
      </c>
      <c r="G2444" s="175" t="s">
        <v>5332</v>
      </c>
    </row>
    <row r="2445" spans="1:7">
      <c r="A2445" s="175" t="s">
        <v>5333</v>
      </c>
      <c r="B2445" s="217" t="str">
        <f t="shared" si="38"/>
        <v>421111000[円]</v>
      </c>
      <c r="C2445" s="216">
        <v>421111000</v>
      </c>
      <c r="D2445" s="175" t="s">
        <v>1972</v>
      </c>
      <c r="E2445" s="175">
        <v>16.4750702641599</v>
      </c>
      <c r="F2445" s="175" t="s">
        <v>265</v>
      </c>
      <c r="G2445" s="175" t="s">
        <v>5334</v>
      </c>
    </row>
    <row r="2446" spans="1:7">
      <c r="A2446" s="175" t="s">
        <v>5335</v>
      </c>
      <c r="B2446" s="217" t="str">
        <f t="shared" si="38"/>
        <v>421211000[円]</v>
      </c>
      <c r="C2446" s="216">
        <v>421211000</v>
      </c>
      <c r="D2446" s="175" t="s">
        <v>1693</v>
      </c>
      <c r="E2446" s="175">
        <v>6.4211955634520397</v>
      </c>
      <c r="F2446" s="175" t="s">
        <v>265</v>
      </c>
      <c r="G2446" s="175" t="s">
        <v>5336</v>
      </c>
    </row>
    <row r="2447" spans="1:7">
      <c r="A2447" s="175" t="s">
        <v>5337</v>
      </c>
      <c r="B2447" s="217" t="str">
        <f t="shared" si="38"/>
        <v>431111000[円]</v>
      </c>
      <c r="C2447" s="216">
        <v>431111000</v>
      </c>
      <c r="D2447" s="175" t="s">
        <v>1972</v>
      </c>
      <c r="E2447" s="175">
        <v>21.1882685178592</v>
      </c>
      <c r="F2447" s="175" t="s">
        <v>265</v>
      </c>
      <c r="G2447" s="175" t="s">
        <v>5338</v>
      </c>
    </row>
    <row r="2448" spans="1:7">
      <c r="A2448" s="175" t="s">
        <v>5339</v>
      </c>
      <c r="B2448" s="217" t="str">
        <f t="shared" si="38"/>
        <v>431112000[円]</v>
      </c>
      <c r="C2448" s="216">
        <v>431112000</v>
      </c>
      <c r="D2448" s="175" t="s">
        <v>1972</v>
      </c>
      <c r="E2448" s="175">
        <v>21.1882685178592</v>
      </c>
      <c r="F2448" s="175" t="s">
        <v>265</v>
      </c>
      <c r="G2448" s="175" t="s">
        <v>5340</v>
      </c>
    </row>
    <row r="2449" spans="1:7">
      <c r="A2449" s="175" t="s">
        <v>5341</v>
      </c>
      <c r="B2449" s="217" t="str">
        <f t="shared" si="38"/>
        <v>431113000[円]</v>
      </c>
      <c r="C2449" s="216">
        <v>431113000</v>
      </c>
      <c r="D2449" s="175" t="s">
        <v>1972</v>
      </c>
      <c r="E2449" s="175">
        <v>7.2874365742715304</v>
      </c>
      <c r="F2449" s="175" t="s">
        <v>265</v>
      </c>
      <c r="G2449" s="175" t="s">
        <v>5342</v>
      </c>
    </row>
    <row r="2450" spans="1:7">
      <c r="A2450" s="175" t="s">
        <v>5343</v>
      </c>
      <c r="B2450" s="217" t="str">
        <f t="shared" si="38"/>
        <v>432111000[円]</v>
      </c>
      <c r="C2450" s="216">
        <v>432111000</v>
      </c>
      <c r="D2450" s="175" t="s">
        <v>1972</v>
      </c>
      <c r="E2450" s="175">
        <v>190.32639714837001</v>
      </c>
      <c r="F2450" s="175" t="s">
        <v>265</v>
      </c>
      <c r="G2450" s="175" t="s">
        <v>5344</v>
      </c>
    </row>
    <row r="2451" spans="1:7">
      <c r="A2451" s="175" t="s">
        <v>5345</v>
      </c>
      <c r="B2451" s="217" t="str">
        <f t="shared" si="38"/>
        <v>433111000[円]</v>
      </c>
      <c r="C2451" s="216">
        <v>433111000</v>
      </c>
      <c r="D2451" s="175" t="s">
        <v>1972</v>
      </c>
      <c r="E2451" s="175">
        <v>7.2874365742715304</v>
      </c>
      <c r="F2451" s="175" t="s">
        <v>265</v>
      </c>
      <c r="G2451" s="175" t="s">
        <v>5346</v>
      </c>
    </row>
    <row r="2452" spans="1:7">
      <c r="A2452" s="175" t="s">
        <v>5347</v>
      </c>
      <c r="B2452" s="217" t="str">
        <f t="shared" si="38"/>
        <v>433112000[円]</v>
      </c>
      <c r="C2452" s="216">
        <v>433112000</v>
      </c>
      <c r="D2452" s="175" t="s">
        <v>1972</v>
      </c>
      <c r="E2452" s="175">
        <v>2.7371290015040102</v>
      </c>
      <c r="F2452" s="175" t="s">
        <v>265</v>
      </c>
      <c r="G2452" s="175" t="s">
        <v>5348</v>
      </c>
    </row>
    <row r="2453" spans="1:7">
      <c r="A2453" s="175" t="s">
        <v>5349</v>
      </c>
      <c r="B2453" s="217" t="str">
        <f t="shared" si="38"/>
        <v>441111000[円]</v>
      </c>
      <c r="C2453" s="216">
        <v>441111000</v>
      </c>
      <c r="D2453" s="175" t="s">
        <v>1693</v>
      </c>
      <c r="E2453" s="175">
        <v>45.968823002459402</v>
      </c>
      <c r="F2453" s="175" t="s">
        <v>265</v>
      </c>
      <c r="G2453" s="175" t="s">
        <v>5350</v>
      </c>
    </row>
    <row r="2454" spans="1:7">
      <c r="A2454" s="175" t="s">
        <v>5351</v>
      </c>
      <c r="B2454" s="217" t="str">
        <f t="shared" si="38"/>
        <v>441112000[円]</v>
      </c>
      <c r="C2454" s="216">
        <v>441112000</v>
      </c>
      <c r="D2454" s="175" t="s">
        <v>1693</v>
      </c>
      <c r="E2454" s="175">
        <v>45.968823002459402</v>
      </c>
      <c r="F2454" s="175" t="s">
        <v>265</v>
      </c>
      <c r="G2454" s="175" t="s">
        <v>5352</v>
      </c>
    </row>
    <row r="2455" spans="1:7">
      <c r="A2455" s="175" t="s">
        <v>5353</v>
      </c>
      <c r="B2455" s="217" t="str">
        <f t="shared" si="38"/>
        <v>441113000[円]</v>
      </c>
      <c r="C2455" s="216">
        <v>441113000</v>
      </c>
      <c r="D2455" s="175" t="s">
        <v>1693</v>
      </c>
      <c r="E2455" s="175">
        <v>45.968823002459402</v>
      </c>
      <c r="F2455" s="175" t="s">
        <v>265</v>
      </c>
      <c r="G2455" s="175" t="s">
        <v>5354</v>
      </c>
    </row>
    <row r="2456" spans="1:7">
      <c r="A2456" s="175" t="s">
        <v>5355</v>
      </c>
      <c r="B2456" s="217" t="str">
        <f t="shared" si="38"/>
        <v>441114000[円]</v>
      </c>
      <c r="C2456" s="216">
        <v>441114000</v>
      </c>
      <c r="D2456" s="175" t="s">
        <v>1693</v>
      </c>
      <c r="E2456" s="175">
        <v>45.968823002459402</v>
      </c>
      <c r="F2456" s="175" t="s">
        <v>265</v>
      </c>
      <c r="G2456" s="175" t="s">
        <v>5356</v>
      </c>
    </row>
    <row r="2457" spans="1:7">
      <c r="A2457" s="175" t="s">
        <v>5357</v>
      </c>
      <c r="B2457" s="217" t="str">
        <f t="shared" si="38"/>
        <v>442111000[円]</v>
      </c>
      <c r="C2457" s="216">
        <v>442111000</v>
      </c>
      <c r="D2457" s="175" t="s">
        <v>1693</v>
      </c>
      <c r="E2457" s="175">
        <v>48.908204476590797</v>
      </c>
      <c r="F2457" s="175" t="s">
        <v>265</v>
      </c>
      <c r="G2457" s="175" t="s">
        <v>5358</v>
      </c>
    </row>
    <row r="2458" spans="1:7">
      <c r="A2458" s="175" t="s">
        <v>5359</v>
      </c>
      <c r="B2458" s="217" t="str">
        <f t="shared" si="38"/>
        <v>442112000[円]</v>
      </c>
      <c r="C2458" s="216">
        <v>442112000</v>
      </c>
      <c r="D2458" s="175" t="s">
        <v>1693</v>
      </c>
      <c r="E2458" s="175">
        <v>211.617972714399</v>
      </c>
      <c r="F2458" s="175" t="s">
        <v>265</v>
      </c>
      <c r="G2458" s="175" t="s">
        <v>5360</v>
      </c>
    </row>
    <row r="2459" spans="1:7">
      <c r="A2459" s="175" t="s">
        <v>5361</v>
      </c>
      <c r="B2459" s="217" t="str">
        <f t="shared" si="38"/>
        <v>442113000[円]</v>
      </c>
      <c r="C2459" s="216">
        <v>442113000</v>
      </c>
      <c r="D2459" s="175" t="s">
        <v>1693</v>
      </c>
      <c r="E2459" s="175">
        <v>38.200880439481097</v>
      </c>
      <c r="F2459" s="175" t="s">
        <v>265</v>
      </c>
      <c r="G2459" s="175" t="s">
        <v>5362</v>
      </c>
    </row>
    <row r="2460" spans="1:7">
      <c r="A2460" s="175" t="s">
        <v>5363</v>
      </c>
      <c r="B2460" s="217" t="str">
        <f t="shared" si="38"/>
        <v>442114000[円]</v>
      </c>
      <c r="C2460" s="216">
        <v>442114000</v>
      </c>
      <c r="D2460" s="175" t="s">
        <v>1693</v>
      </c>
      <c r="E2460" s="175">
        <v>413.12826683505301</v>
      </c>
      <c r="F2460" s="175" t="s">
        <v>265</v>
      </c>
      <c r="G2460" s="175" t="s">
        <v>5364</v>
      </c>
    </row>
    <row r="2461" spans="1:7">
      <c r="A2461" s="175" t="s">
        <v>5365</v>
      </c>
      <c r="B2461" s="217" t="str">
        <f t="shared" si="38"/>
        <v>452211000[円]</v>
      </c>
      <c r="C2461" s="216">
        <v>452211000</v>
      </c>
      <c r="D2461" s="175" t="s">
        <v>1693</v>
      </c>
      <c r="E2461" s="175">
        <v>3.9582855467132201</v>
      </c>
      <c r="F2461" s="175" t="s">
        <v>265</v>
      </c>
      <c r="G2461" s="175" t="s">
        <v>1973</v>
      </c>
    </row>
    <row r="2462" spans="1:7">
      <c r="A2462" s="175" t="s">
        <v>5366</v>
      </c>
      <c r="B2462" s="217" t="str">
        <f t="shared" si="38"/>
        <v>452212000[円]</v>
      </c>
      <c r="C2462" s="216">
        <v>452212000</v>
      </c>
      <c r="D2462" s="175" t="s">
        <v>1693</v>
      </c>
      <c r="E2462" s="175">
        <v>3.9582855467132201</v>
      </c>
      <c r="F2462" s="175" t="s">
        <v>265</v>
      </c>
      <c r="G2462" s="175" t="s">
        <v>1974</v>
      </c>
    </row>
    <row r="2463" spans="1:7">
      <c r="A2463" s="175" t="s">
        <v>5367</v>
      </c>
      <c r="B2463" s="217" t="str">
        <f t="shared" si="38"/>
        <v>452213000[円]</v>
      </c>
      <c r="C2463" s="216">
        <v>452213000</v>
      </c>
      <c r="D2463" s="175" t="s">
        <v>1693</v>
      </c>
      <c r="E2463" s="175">
        <v>3.9582855467132201</v>
      </c>
      <c r="F2463" s="175" t="s">
        <v>265</v>
      </c>
      <c r="G2463" s="175" t="s">
        <v>1975</v>
      </c>
    </row>
    <row r="2464" spans="1:7">
      <c r="A2464" s="175" t="s">
        <v>5368</v>
      </c>
      <c r="B2464" s="217" t="str">
        <f t="shared" si="38"/>
        <v>461111000[円]</v>
      </c>
      <c r="C2464" s="216">
        <v>461111000</v>
      </c>
      <c r="D2464" s="175" t="s">
        <v>1972</v>
      </c>
      <c r="E2464" s="175">
        <v>18.313130176272502</v>
      </c>
      <c r="F2464" s="175" t="s">
        <v>265</v>
      </c>
      <c r="G2464" s="175" t="s">
        <v>5369</v>
      </c>
    </row>
    <row r="2465" spans="1:7">
      <c r="A2465" s="175" t="s">
        <v>5370</v>
      </c>
      <c r="B2465" s="217" t="str">
        <f t="shared" si="38"/>
        <v>461112000[円]</v>
      </c>
      <c r="C2465" s="216">
        <v>461112000</v>
      </c>
      <c r="D2465" s="175" t="s">
        <v>1972</v>
      </c>
      <c r="E2465" s="175">
        <v>10.9519480698052</v>
      </c>
      <c r="F2465" s="175" t="s">
        <v>265</v>
      </c>
      <c r="G2465" s="175" t="s">
        <v>5371</v>
      </c>
    </row>
    <row r="2466" spans="1:7">
      <c r="A2466" s="175" t="s">
        <v>5372</v>
      </c>
      <c r="B2466" s="217" t="str">
        <f t="shared" si="38"/>
        <v>462111000[円]</v>
      </c>
      <c r="C2466" s="216">
        <v>462111000</v>
      </c>
      <c r="D2466" s="175" t="s">
        <v>1693</v>
      </c>
      <c r="E2466" s="175">
        <v>14.206072442478799</v>
      </c>
      <c r="F2466" s="175" t="s">
        <v>265</v>
      </c>
      <c r="G2466" s="175" t="s">
        <v>5373</v>
      </c>
    </row>
    <row r="2467" spans="1:7">
      <c r="A2467" s="175" t="s">
        <v>5374</v>
      </c>
      <c r="B2467" s="217" t="str">
        <f>C2467&amp;"["&amp;F2467&amp;"]"</f>
        <v>462112000[円]</v>
      </c>
      <c r="C2467" s="216">
        <v>462112000</v>
      </c>
      <c r="D2467" s="175" t="s">
        <v>1693</v>
      </c>
      <c r="E2467" s="175">
        <v>39.977324492483703</v>
      </c>
      <c r="F2467" s="175" t="s">
        <v>265</v>
      </c>
      <c r="G2467" s="175" t="s">
        <v>5375</v>
      </c>
    </row>
    <row r="2468" spans="1:7">
      <c r="A2468" s="175" t="s">
        <v>5376</v>
      </c>
      <c r="B2468" s="217" t="str">
        <f t="shared" ref="B2468:B2505" si="39">C2468&amp;"["&amp;F2468&amp;"]"</f>
        <v>511100201[円]</v>
      </c>
      <c r="C2468" s="216">
        <v>511100201</v>
      </c>
      <c r="D2468" s="175" t="s">
        <v>235</v>
      </c>
      <c r="E2468" s="175">
        <v>25.380952380952401</v>
      </c>
      <c r="F2468" s="175" t="s">
        <v>265</v>
      </c>
      <c r="G2468" s="175" t="s">
        <v>5377</v>
      </c>
    </row>
    <row r="2469" spans="1:7">
      <c r="A2469" s="175" t="s">
        <v>5378</v>
      </c>
      <c r="B2469" s="217" t="str">
        <f t="shared" si="39"/>
        <v>511100203[円]</v>
      </c>
      <c r="C2469" s="216">
        <v>511100203</v>
      </c>
      <c r="D2469" s="175" t="s">
        <v>235</v>
      </c>
      <c r="E2469" s="175">
        <v>95.238095238095198</v>
      </c>
      <c r="F2469" s="175" t="s">
        <v>265</v>
      </c>
      <c r="G2469" s="175" t="s">
        <v>5379</v>
      </c>
    </row>
    <row r="2470" spans="1:7">
      <c r="A2470" s="175" t="s">
        <v>5380</v>
      </c>
      <c r="B2470" s="217" t="str">
        <f t="shared" si="39"/>
        <v>511100205[円]</v>
      </c>
      <c r="C2470" s="216">
        <v>511100205</v>
      </c>
      <c r="D2470" s="175" t="s">
        <v>235</v>
      </c>
      <c r="E2470" s="175">
        <v>488.182503770739</v>
      </c>
      <c r="F2470" s="175" t="s">
        <v>265</v>
      </c>
      <c r="G2470" s="175" t="s">
        <v>5381</v>
      </c>
    </row>
    <row r="2471" spans="1:7">
      <c r="A2471" s="175" t="s">
        <v>5382</v>
      </c>
      <c r="B2471" s="217" t="str">
        <f t="shared" si="39"/>
        <v>511100211[円]</v>
      </c>
      <c r="C2471" s="216">
        <v>511100211</v>
      </c>
      <c r="D2471" s="175" t="s">
        <v>235</v>
      </c>
      <c r="E2471" s="175">
        <v>202.93385046326199</v>
      </c>
      <c r="F2471" s="175" t="s">
        <v>265</v>
      </c>
      <c r="G2471" s="175" t="s">
        <v>5383</v>
      </c>
    </row>
    <row r="2472" spans="1:7">
      <c r="A2472" s="175" t="s">
        <v>5384</v>
      </c>
      <c r="B2472" s="217" t="str">
        <f t="shared" si="39"/>
        <v>511100212[円]</v>
      </c>
      <c r="C2472" s="216">
        <v>511100212</v>
      </c>
      <c r="D2472" s="175" t="s">
        <v>235</v>
      </c>
      <c r="E2472" s="175">
        <v>29.320987654321002</v>
      </c>
      <c r="F2472" s="175" t="s">
        <v>265</v>
      </c>
      <c r="G2472" s="175" t="s">
        <v>5385</v>
      </c>
    </row>
    <row r="2473" spans="1:7">
      <c r="A2473" s="175" t="s">
        <v>5386</v>
      </c>
      <c r="B2473" s="217" t="str">
        <f t="shared" si="39"/>
        <v>511100213[円]</v>
      </c>
      <c r="C2473" s="216">
        <v>511100213</v>
      </c>
      <c r="D2473" s="175" t="s">
        <v>235</v>
      </c>
      <c r="E2473" s="175">
        <v>29.320987654321002</v>
      </c>
      <c r="F2473" s="175" t="s">
        <v>265</v>
      </c>
      <c r="G2473" s="175" t="s">
        <v>5387</v>
      </c>
    </row>
    <row r="2474" spans="1:7">
      <c r="A2474" s="175" t="s">
        <v>5388</v>
      </c>
      <c r="B2474" s="217" t="str">
        <f t="shared" si="39"/>
        <v>511100214[円]</v>
      </c>
      <c r="C2474" s="216">
        <v>511100214</v>
      </c>
      <c r="D2474" s="175" t="s">
        <v>235</v>
      </c>
      <c r="E2474" s="175">
        <v>29.320987654321002</v>
      </c>
      <c r="F2474" s="175" t="s">
        <v>265</v>
      </c>
      <c r="G2474" s="175" t="s">
        <v>5389</v>
      </c>
    </row>
    <row r="2475" spans="1:7">
      <c r="A2475" s="175" t="s">
        <v>5390</v>
      </c>
      <c r="B2475" s="217" t="str">
        <f t="shared" si="39"/>
        <v>512100201[円]</v>
      </c>
      <c r="C2475" s="216">
        <v>512100201</v>
      </c>
      <c r="D2475" s="175" t="s">
        <v>235</v>
      </c>
      <c r="E2475" s="175">
        <v>85.707449525479305</v>
      </c>
      <c r="F2475" s="175" t="s">
        <v>265</v>
      </c>
      <c r="G2475" s="175" t="s">
        <v>5391</v>
      </c>
    </row>
    <row r="2476" spans="1:7">
      <c r="A2476" s="175" t="s">
        <v>5392</v>
      </c>
      <c r="B2476" s="217" t="str">
        <f t="shared" si="39"/>
        <v>512100202[円]</v>
      </c>
      <c r="C2476" s="216">
        <v>512100202</v>
      </c>
      <c r="D2476" s="175" t="s">
        <v>235</v>
      </c>
      <c r="E2476" s="175">
        <v>24.537037037036999</v>
      </c>
      <c r="F2476" s="175" t="s">
        <v>265</v>
      </c>
      <c r="G2476" s="175" t="s">
        <v>5393</v>
      </c>
    </row>
    <row r="2477" spans="1:7">
      <c r="A2477" s="175" t="s">
        <v>5394</v>
      </c>
      <c r="B2477" s="217" t="str">
        <f t="shared" si="39"/>
        <v>512100203[円]</v>
      </c>
      <c r="C2477" s="216">
        <v>512100203</v>
      </c>
      <c r="D2477" s="175" t="s">
        <v>235</v>
      </c>
      <c r="E2477" s="175">
        <v>24.537037037036999</v>
      </c>
      <c r="F2477" s="175" t="s">
        <v>265</v>
      </c>
      <c r="G2477" s="175" t="s">
        <v>5395</v>
      </c>
    </row>
    <row r="2478" spans="1:7">
      <c r="A2478" s="175" t="s">
        <v>5396</v>
      </c>
      <c r="B2478" s="217" t="str">
        <f t="shared" si="39"/>
        <v>512100204[円]</v>
      </c>
      <c r="C2478" s="216">
        <v>512100204</v>
      </c>
      <c r="D2478" s="175" t="s">
        <v>235</v>
      </c>
      <c r="E2478" s="175">
        <v>24.537037037036999</v>
      </c>
      <c r="F2478" s="175" t="s">
        <v>265</v>
      </c>
      <c r="G2478" s="175" t="s">
        <v>5397</v>
      </c>
    </row>
    <row r="2479" spans="1:7">
      <c r="A2479" s="175" t="s">
        <v>5398</v>
      </c>
      <c r="B2479" s="217" t="str">
        <f t="shared" si="39"/>
        <v>512100205[円]</v>
      </c>
      <c r="C2479" s="216">
        <v>512100205</v>
      </c>
      <c r="D2479" s="175" t="s">
        <v>235</v>
      </c>
      <c r="E2479" s="175">
        <v>24.537037037036999</v>
      </c>
      <c r="F2479" s="175" t="s">
        <v>265</v>
      </c>
      <c r="G2479" s="175" t="s">
        <v>5399</v>
      </c>
    </row>
    <row r="2480" spans="1:7">
      <c r="A2480" s="175" t="s">
        <v>5400</v>
      </c>
      <c r="B2480" s="217" t="str">
        <f t="shared" si="39"/>
        <v>512100206[円]</v>
      </c>
      <c r="C2480" s="216">
        <v>512100206</v>
      </c>
      <c r="D2480" s="175" t="s">
        <v>235</v>
      </c>
      <c r="E2480" s="175">
        <v>24.537037037036999</v>
      </c>
      <c r="F2480" s="175" t="s">
        <v>265</v>
      </c>
      <c r="G2480" s="175" t="s">
        <v>5401</v>
      </c>
    </row>
    <row r="2481" spans="1:7">
      <c r="A2481" s="175" t="s">
        <v>5402</v>
      </c>
      <c r="B2481" s="217" t="str">
        <f t="shared" si="39"/>
        <v>512100207[円]</v>
      </c>
      <c r="C2481" s="216">
        <v>512100207</v>
      </c>
      <c r="D2481" s="175" t="s">
        <v>235</v>
      </c>
      <c r="E2481" s="175">
        <v>24.537037037036999</v>
      </c>
      <c r="F2481" s="175" t="s">
        <v>265</v>
      </c>
      <c r="G2481" s="175" t="s">
        <v>5403</v>
      </c>
    </row>
    <row r="2482" spans="1:7">
      <c r="A2482" s="175" t="s">
        <v>5404</v>
      </c>
      <c r="B2482" s="217" t="str">
        <f t="shared" si="39"/>
        <v>513100202[円]</v>
      </c>
      <c r="C2482" s="216">
        <v>513100202</v>
      </c>
      <c r="D2482" s="175" t="s">
        <v>235</v>
      </c>
      <c r="E2482" s="175">
        <v>6.8314699792960702</v>
      </c>
      <c r="F2482" s="175" t="s">
        <v>265</v>
      </c>
      <c r="G2482" s="175" t="s">
        <v>5405</v>
      </c>
    </row>
    <row r="2483" spans="1:7">
      <c r="A2483" s="175" t="s">
        <v>5406</v>
      </c>
      <c r="B2483" s="217" t="str">
        <f t="shared" si="39"/>
        <v>519100202[円]</v>
      </c>
      <c r="C2483" s="216">
        <v>519100202</v>
      </c>
      <c r="D2483" s="175" t="s">
        <v>235</v>
      </c>
      <c r="E2483" s="175">
        <v>2</v>
      </c>
      <c r="F2483" s="175" t="s">
        <v>265</v>
      </c>
      <c r="G2483" s="175" t="s">
        <v>5407</v>
      </c>
    </row>
    <row r="2484" spans="1:7">
      <c r="A2484" s="175" t="s">
        <v>5408</v>
      </c>
      <c r="B2484" s="217" t="str">
        <f t="shared" si="39"/>
        <v>519100203[円]</v>
      </c>
      <c r="C2484" s="216">
        <v>519100203</v>
      </c>
      <c r="D2484" s="175" t="s">
        <v>235</v>
      </c>
      <c r="E2484" s="175">
        <v>2</v>
      </c>
      <c r="F2484" s="175" t="s">
        <v>265</v>
      </c>
      <c r="G2484" s="175" t="s">
        <v>5409</v>
      </c>
    </row>
    <row r="2485" spans="1:7">
      <c r="A2485" s="175" t="s">
        <v>5410</v>
      </c>
      <c r="B2485" s="217" t="str">
        <f t="shared" si="39"/>
        <v>519100204[円]</v>
      </c>
      <c r="C2485" s="216">
        <v>519100204</v>
      </c>
      <c r="D2485" s="175" t="s">
        <v>235</v>
      </c>
      <c r="E2485" s="175">
        <v>2</v>
      </c>
      <c r="F2485" s="175" t="s">
        <v>265</v>
      </c>
      <c r="G2485" s="175" t="s">
        <v>5411</v>
      </c>
    </row>
    <row r="2486" spans="1:7">
      <c r="A2486" s="175" t="s">
        <v>5412</v>
      </c>
      <c r="B2486" s="217" t="str">
        <f t="shared" si="39"/>
        <v>519100801[kg]</v>
      </c>
      <c r="C2486" s="216">
        <v>519100801</v>
      </c>
      <c r="D2486" s="175" t="s">
        <v>279</v>
      </c>
      <c r="E2486" s="175">
        <v>3.0120481927710802E-2</v>
      </c>
      <c r="F2486" s="175" t="s">
        <v>235</v>
      </c>
      <c r="G2486" s="175" t="s">
        <v>5413</v>
      </c>
    </row>
    <row r="2487" spans="1:7">
      <c r="A2487" s="175" t="s">
        <v>5414</v>
      </c>
      <c r="B2487" s="217" t="str">
        <f t="shared" si="39"/>
        <v>519100802[kg]</v>
      </c>
      <c r="C2487" s="216">
        <v>519100802</v>
      </c>
      <c r="D2487" s="175" t="s">
        <v>279</v>
      </c>
      <c r="E2487" s="175">
        <v>3.4129692832764499E-2</v>
      </c>
      <c r="F2487" s="175" t="s">
        <v>235</v>
      </c>
      <c r="G2487" s="175" t="s">
        <v>5415</v>
      </c>
    </row>
    <row r="2488" spans="1:7">
      <c r="A2488" s="175" t="s">
        <v>5416</v>
      </c>
      <c r="B2488" s="217" t="str">
        <f t="shared" si="39"/>
        <v>519100803[kg]</v>
      </c>
      <c r="C2488" s="216">
        <v>519100803</v>
      </c>
      <c r="D2488" s="175" t="s">
        <v>279</v>
      </c>
      <c r="E2488" s="175">
        <v>5.5555555555555601E-2</v>
      </c>
      <c r="F2488" s="175" t="s">
        <v>235</v>
      </c>
      <c r="G2488" s="175" t="s">
        <v>5417</v>
      </c>
    </row>
    <row r="2489" spans="1:7">
      <c r="A2489" s="175" t="s">
        <v>5418</v>
      </c>
      <c r="B2489" s="217" t="str">
        <f t="shared" si="39"/>
        <v>851612000[円]</v>
      </c>
      <c r="C2489" s="216">
        <v>851612000</v>
      </c>
      <c r="D2489" s="175" t="s">
        <v>235</v>
      </c>
      <c r="E2489" s="175">
        <v>452.788388082506</v>
      </c>
      <c r="F2489" s="175" t="s">
        <v>265</v>
      </c>
      <c r="G2489" s="175" t="s">
        <v>5419</v>
      </c>
    </row>
    <row r="2490" spans="1:7">
      <c r="A2490" s="175" t="s">
        <v>5420</v>
      </c>
      <c r="B2490" s="217" t="str">
        <f t="shared" si="39"/>
        <v>851800000[円]</v>
      </c>
      <c r="C2490" s="216">
        <v>851800000</v>
      </c>
      <c r="D2490" s="175" t="s">
        <v>278</v>
      </c>
      <c r="E2490" s="175">
        <v>122.1</v>
      </c>
      <c r="F2490" s="175" t="s">
        <v>265</v>
      </c>
      <c r="G2490" s="175" t="s">
        <v>5421</v>
      </c>
    </row>
    <row r="2491" spans="1:7">
      <c r="A2491" s="175" t="s">
        <v>5422</v>
      </c>
      <c r="B2491" s="217" t="str">
        <f t="shared" si="39"/>
        <v>851811000[円]</v>
      </c>
      <c r="C2491" s="216">
        <v>851811000</v>
      </c>
      <c r="D2491" s="175" t="s">
        <v>278</v>
      </c>
      <c r="E2491" s="175">
        <v>122.1</v>
      </c>
      <c r="F2491" s="175" t="s">
        <v>265</v>
      </c>
      <c r="G2491" s="175" t="s">
        <v>1976</v>
      </c>
    </row>
    <row r="2492" spans="1:7">
      <c r="A2492" s="175" t="s">
        <v>5423</v>
      </c>
      <c r="B2492" s="217" t="str">
        <f t="shared" si="39"/>
        <v>852200000[円]</v>
      </c>
      <c r="C2492" s="216">
        <v>852200000</v>
      </c>
      <c r="D2492" s="175" t="s">
        <v>235</v>
      </c>
      <c r="E2492" s="175">
        <v>0.895050732030088</v>
      </c>
      <c r="F2492" s="175" t="s">
        <v>265</v>
      </c>
      <c r="G2492" s="175" t="s">
        <v>5424</v>
      </c>
    </row>
    <row r="2493" spans="1:7">
      <c r="A2493" s="175" t="s">
        <v>5425</v>
      </c>
      <c r="B2493" s="217" t="str">
        <f t="shared" si="39"/>
        <v>852211000[円]</v>
      </c>
      <c r="C2493" s="216">
        <v>852211000</v>
      </c>
      <c r="D2493" s="175" t="s">
        <v>235</v>
      </c>
      <c r="E2493" s="175">
        <v>0</v>
      </c>
      <c r="F2493" s="175" t="s">
        <v>265</v>
      </c>
      <c r="G2493" s="175" t="s">
        <v>5426</v>
      </c>
    </row>
    <row r="2494" spans="1:7">
      <c r="A2494" s="175" t="s">
        <v>5427</v>
      </c>
      <c r="B2494" s="217" t="str">
        <f t="shared" si="39"/>
        <v>852212000[円]</v>
      </c>
      <c r="C2494" s="216">
        <v>852212000</v>
      </c>
      <c r="D2494" s="175" t="s">
        <v>235</v>
      </c>
      <c r="E2494" s="175">
        <v>0</v>
      </c>
      <c r="F2494" s="175" t="s">
        <v>265</v>
      </c>
      <c r="G2494" s="175" t="s">
        <v>5428</v>
      </c>
    </row>
    <row r="2495" spans="1:7">
      <c r="A2495" s="175" t="s">
        <v>5429</v>
      </c>
      <c r="B2495" s="217" t="str">
        <f t="shared" si="39"/>
        <v>852511000[kg]</v>
      </c>
      <c r="C2495" s="216">
        <v>852511000</v>
      </c>
      <c r="D2495" s="175" t="s">
        <v>278</v>
      </c>
      <c r="E2495" s="175">
        <v>1000</v>
      </c>
      <c r="F2495" s="175" t="s">
        <v>235</v>
      </c>
      <c r="G2495" s="175" t="s">
        <v>1991</v>
      </c>
    </row>
    <row r="2496" spans="1:7">
      <c r="A2496" s="175" t="s">
        <v>5429</v>
      </c>
      <c r="B2496" s="217" t="str">
        <f t="shared" si="39"/>
        <v>852511000[L]</v>
      </c>
      <c r="C2496" s="216">
        <v>852511000</v>
      </c>
      <c r="D2496" s="175" t="s">
        <v>278</v>
      </c>
      <c r="E2496" s="175">
        <v>1000</v>
      </c>
      <c r="F2496" s="175" t="s">
        <v>400</v>
      </c>
      <c r="G2496" s="175" t="s">
        <v>1991</v>
      </c>
    </row>
    <row r="2497" spans="1:7">
      <c r="A2497" s="175" t="s">
        <v>5429</v>
      </c>
      <c r="B2497" s="217" t="str">
        <f t="shared" si="39"/>
        <v>852511000[円]</v>
      </c>
      <c r="C2497" s="216">
        <v>852511000</v>
      </c>
      <c r="D2497" s="175" t="s">
        <v>278</v>
      </c>
      <c r="E2497" s="175">
        <v>0</v>
      </c>
      <c r="F2497" s="175" t="s">
        <v>265</v>
      </c>
      <c r="G2497" s="175" t="s">
        <v>1991</v>
      </c>
    </row>
    <row r="2498" spans="1:7">
      <c r="A2498" s="175" t="s">
        <v>5430</v>
      </c>
      <c r="B2498" s="217" t="str">
        <f t="shared" si="39"/>
        <v>852511200[kg]</v>
      </c>
      <c r="C2498" s="216">
        <v>852511200</v>
      </c>
      <c r="D2498" s="175" t="s">
        <v>278</v>
      </c>
      <c r="E2498" s="175">
        <v>1000</v>
      </c>
      <c r="F2498" s="175" t="s">
        <v>235</v>
      </c>
      <c r="G2498" s="175" t="s">
        <v>5431</v>
      </c>
    </row>
    <row r="2499" spans="1:7">
      <c r="A2499" s="175" t="s">
        <v>5430</v>
      </c>
      <c r="B2499" s="217" t="str">
        <f t="shared" si="39"/>
        <v>852511200[L]</v>
      </c>
      <c r="C2499" s="216">
        <v>852511200</v>
      </c>
      <c r="D2499" s="175" t="s">
        <v>278</v>
      </c>
      <c r="E2499" s="175">
        <v>1000</v>
      </c>
      <c r="F2499" s="175" t="s">
        <v>400</v>
      </c>
      <c r="G2499" s="175" t="s">
        <v>5431</v>
      </c>
    </row>
    <row r="2500" spans="1:7">
      <c r="A2500" s="175" t="s">
        <v>5432</v>
      </c>
      <c r="B2500" s="217" t="str">
        <f t="shared" si="39"/>
        <v>852511201[L]</v>
      </c>
      <c r="C2500" s="216">
        <v>852511201</v>
      </c>
      <c r="D2500" s="175" t="s">
        <v>278</v>
      </c>
      <c r="E2500" s="175">
        <v>1000</v>
      </c>
      <c r="F2500" s="175" t="s">
        <v>400</v>
      </c>
      <c r="G2500" s="175" t="s">
        <v>5433</v>
      </c>
    </row>
    <row r="2501" spans="1:7">
      <c r="A2501" s="175" t="s">
        <v>5432</v>
      </c>
      <c r="B2501" s="217" t="str">
        <f t="shared" si="39"/>
        <v>852511201[kg]</v>
      </c>
      <c r="C2501" s="216">
        <v>852511201</v>
      </c>
      <c r="D2501" s="175" t="s">
        <v>278</v>
      </c>
      <c r="E2501" s="175">
        <v>1000</v>
      </c>
      <c r="F2501" s="175" t="s">
        <v>235</v>
      </c>
      <c r="G2501" s="175" t="s">
        <v>5433</v>
      </c>
    </row>
    <row r="2502" spans="1:7">
      <c r="A2502" s="175" t="s">
        <v>5434</v>
      </c>
      <c r="B2502" s="217" t="str">
        <f t="shared" si="39"/>
        <v>852511202[L]</v>
      </c>
      <c r="C2502" s="216">
        <v>852511202</v>
      </c>
      <c r="D2502" s="175" t="s">
        <v>278</v>
      </c>
      <c r="E2502" s="175">
        <v>1000</v>
      </c>
      <c r="F2502" s="175" t="s">
        <v>400</v>
      </c>
      <c r="G2502" s="175" t="s">
        <v>5435</v>
      </c>
    </row>
    <row r="2503" spans="1:7">
      <c r="A2503" s="175" t="s">
        <v>5434</v>
      </c>
      <c r="B2503" s="217" t="str">
        <f t="shared" si="39"/>
        <v>852511202[kg]</v>
      </c>
      <c r="C2503" s="216">
        <v>852511202</v>
      </c>
      <c r="D2503" s="175" t="s">
        <v>278</v>
      </c>
      <c r="E2503" s="175">
        <v>1000</v>
      </c>
      <c r="F2503" s="175" t="s">
        <v>235</v>
      </c>
      <c r="G2503" s="175" t="s">
        <v>5435</v>
      </c>
    </row>
    <row r="2504" spans="1:7">
      <c r="A2504" s="175" t="s">
        <v>5436</v>
      </c>
      <c r="B2504" s="217" t="str">
        <f t="shared" si="39"/>
        <v>852511204[kg]</v>
      </c>
      <c r="C2504" s="216">
        <v>852511204</v>
      </c>
      <c r="D2504" s="175" t="s">
        <v>278</v>
      </c>
      <c r="E2504" s="175">
        <v>1000</v>
      </c>
      <c r="F2504" s="175" t="s">
        <v>235</v>
      </c>
      <c r="G2504" s="175" t="s">
        <v>5437</v>
      </c>
    </row>
    <row r="2505" spans="1:7">
      <c r="A2505" s="175" t="s">
        <v>5436</v>
      </c>
      <c r="B2505" s="217" t="str">
        <f t="shared" si="39"/>
        <v>852511204[L]</v>
      </c>
      <c r="C2505" s="216">
        <v>852511204</v>
      </c>
      <c r="D2505" s="175" t="s">
        <v>278</v>
      </c>
      <c r="E2505" s="175">
        <v>1000</v>
      </c>
      <c r="F2505" s="175" t="s">
        <v>400</v>
      </c>
      <c r="G2505" s="175" t="s">
        <v>5437</v>
      </c>
    </row>
  </sheetData>
  <autoFilter ref="A1:O2505"/>
  <phoneticPr fontId="3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S49"/>
  <sheetViews>
    <sheetView view="pageBreakPreview" zoomScale="70" zoomScaleNormal="115" zoomScaleSheetLayoutView="70" zoomScalePageLayoutView="70" workbookViewId="0">
      <pane xSplit="2" ySplit="1" topLeftCell="C2" activePane="bottomRight" state="frozen"/>
      <selection activeCell="C229" sqref="C229"/>
      <selection pane="topRight" activeCell="C229" sqref="C229"/>
      <selection pane="bottomLeft" activeCell="C229" sqref="C229"/>
      <selection pane="bottomRight" activeCell="I61" sqref="I61"/>
    </sheetView>
  </sheetViews>
  <sheetFormatPr defaultColWidth="8.8984375" defaultRowHeight="12"/>
  <cols>
    <col min="1" max="1" width="16.3984375" style="94" bestFit="1" customWidth="1"/>
    <col min="2" max="2" width="25.09765625" style="94" bestFit="1" customWidth="1"/>
    <col min="3" max="3" width="56.69921875" style="94" bestFit="1" customWidth="1"/>
    <col min="4" max="4" width="7" style="94" bestFit="1" customWidth="1"/>
    <col min="5" max="5" width="20.5" style="94" bestFit="1" customWidth="1"/>
    <col min="6" max="6" width="5.3984375" style="94" bestFit="1" customWidth="1"/>
    <col min="7" max="7" width="7.59765625" style="94" bestFit="1" customWidth="1"/>
    <col min="8" max="8" width="6.19921875" style="94" bestFit="1" customWidth="1"/>
    <col min="9" max="9" width="11.19921875" style="94" bestFit="1" customWidth="1"/>
    <col min="10" max="10" width="7.3984375" style="94" bestFit="1" customWidth="1"/>
    <col min="11" max="11" width="8.5" style="94" bestFit="1" customWidth="1"/>
    <col min="12" max="12" width="6.19921875" style="94" bestFit="1" customWidth="1"/>
    <col min="13" max="13" width="8.8984375" style="94" bestFit="1" customWidth="1"/>
    <col min="14" max="14" width="10.8984375" style="94" bestFit="1" customWidth="1"/>
    <col min="15" max="15" width="11.5" style="94" bestFit="1" customWidth="1"/>
    <col min="16" max="16" width="10.8984375" style="94" bestFit="1" customWidth="1"/>
    <col min="17" max="17" width="52.09765625" style="94" hidden="1" customWidth="1"/>
    <col min="18" max="18" width="8.8984375" style="94"/>
    <col min="19" max="24" width="9" style="94" customWidth="1"/>
    <col min="25" max="16384" width="8.8984375" style="94"/>
  </cols>
  <sheetData>
    <row r="1" spans="1:17">
      <c r="A1" s="1176" t="s">
        <v>77</v>
      </c>
      <c r="B1" s="1177"/>
      <c r="C1" s="1178" t="s">
        <v>78</v>
      </c>
      <c r="D1" s="1178"/>
      <c r="E1" s="1178" t="s">
        <v>79</v>
      </c>
      <c r="F1" s="1178"/>
      <c r="G1" s="1178"/>
      <c r="H1" s="1178" t="s">
        <v>80</v>
      </c>
      <c r="I1" s="1178"/>
      <c r="J1" s="1178"/>
      <c r="K1" s="95" t="s">
        <v>81</v>
      </c>
      <c r="L1" s="1179" t="s">
        <v>82</v>
      </c>
      <c r="M1" s="1180"/>
      <c r="N1" s="1180"/>
      <c r="O1" s="1180"/>
      <c r="P1" s="1181"/>
    </row>
    <row r="2" spans="1:17" ht="12.6" thickBot="1">
      <c r="A2" s="96" t="s">
        <v>83</v>
      </c>
      <c r="B2" s="97" t="s">
        <v>84</v>
      </c>
      <c r="C2" s="97"/>
      <c r="D2" s="97" t="s">
        <v>85</v>
      </c>
      <c r="E2" s="97" t="s">
        <v>86</v>
      </c>
      <c r="F2" s="97" t="s">
        <v>87</v>
      </c>
      <c r="G2" s="97" t="s">
        <v>85</v>
      </c>
      <c r="H2" s="97" t="s">
        <v>86</v>
      </c>
      <c r="I2" s="97" t="s">
        <v>87</v>
      </c>
      <c r="J2" s="97" t="s">
        <v>85</v>
      </c>
      <c r="K2" s="97" t="s">
        <v>88</v>
      </c>
      <c r="L2" s="97" t="s">
        <v>86</v>
      </c>
      <c r="M2" s="97" t="s">
        <v>7752</v>
      </c>
      <c r="N2" s="97" t="s">
        <v>85</v>
      </c>
      <c r="O2" s="97" t="s">
        <v>2128</v>
      </c>
      <c r="P2" s="98" t="s">
        <v>85</v>
      </c>
    </row>
    <row r="3" spans="1:17">
      <c r="A3" s="99" t="s">
        <v>89</v>
      </c>
      <c r="B3" s="100" t="s">
        <v>90</v>
      </c>
      <c r="C3" s="101" t="s">
        <v>91</v>
      </c>
      <c r="D3" s="101" t="s">
        <v>91</v>
      </c>
      <c r="E3" s="556">
        <v>26.68</v>
      </c>
      <c r="F3" s="556">
        <v>28.94</v>
      </c>
      <c r="G3" s="100" t="s">
        <v>92</v>
      </c>
      <c r="H3" s="556">
        <v>26.68</v>
      </c>
      <c r="I3" s="556">
        <v>28.94</v>
      </c>
      <c r="J3" s="100" t="s">
        <v>92</v>
      </c>
      <c r="K3" s="565">
        <f>H3/I3</f>
        <v>0.92190739460953697</v>
      </c>
      <c r="L3" s="556">
        <f>M3/K3</f>
        <v>106.39992193740829</v>
      </c>
      <c r="M3" s="556">
        <f>IDEAv2原単位!F301*1000</f>
        <v>98.090874819974204</v>
      </c>
      <c r="N3" s="100" t="s">
        <v>93</v>
      </c>
      <c r="O3" s="100">
        <v>2.62</v>
      </c>
      <c r="P3" s="102" t="s">
        <v>94</v>
      </c>
      <c r="Q3" s="94" t="s">
        <v>7744</v>
      </c>
    </row>
    <row r="4" spans="1:17">
      <c r="A4" s="103" t="s">
        <v>89</v>
      </c>
      <c r="B4" s="104" t="s">
        <v>95</v>
      </c>
      <c r="C4" s="105" t="s">
        <v>91</v>
      </c>
      <c r="D4" s="105" t="s">
        <v>91</v>
      </c>
      <c r="E4" s="557">
        <v>24.66</v>
      </c>
      <c r="F4" s="557">
        <v>25.97</v>
      </c>
      <c r="G4" s="104" t="s">
        <v>92</v>
      </c>
      <c r="H4" s="557">
        <v>24.66</v>
      </c>
      <c r="I4" s="557">
        <v>25.97</v>
      </c>
      <c r="J4" s="104" t="s">
        <v>92</v>
      </c>
      <c r="K4" s="564">
        <f>H4/I4</f>
        <v>0.94955718136311129</v>
      </c>
      <c r="L4" s="557">
        <f>M4/K4</f>
        <v>104.22250483680605</v>
      </c>
      <c r="M4" s="557">
        <f>IDEAv2原単位!F306*1000</f>
        <v>98.965227927440793</v>
      </c>
      <c r="N4" s="104" t="s">
        <v>93</v>
      </c>
      <c r="O4" s="104">
        <v>2.33</v>
      </c>
      <c r="P4" s="106" t="s">
        <v>94</v>
      </c>
      <c r="Q4" s="94" t="s">
        <v>7744</v>
      </c>
    </row>
    <row r="5" spans="1:17" ht="12.6" thickBot="1">
      <c r="A5" s="107" t="s">
        <v>89</v>
      </c>
      <c r="B5" s="108" t="s">
        <v>96</v>
      </c>
      <c r="C5" s="109" t="s">
        <v>91</v>
      </c>
      <c r="D5" s="109" t="s">
        <v>91</v>
      </c>
      <c r="E5" s="558">
        <v>28.81</v>
      </c>
      <c r="F5" s="558">
        <v>29.18</v>
      </c>
      <c r="G5" s="108" t="s">
        <v>92</v>
      </c>
      <c r="H5" s="558">
        <v>28.81</v>
      </c>
      <c r="I5" s="558">
        <v>29.18</v>
      </c>
      <c r="J5" s="108" t="s">
        <v>92</v>
      </c>
      <c r="K5" s="566">
        <f>H5/I5</f>
        <v>0.98732008224811507</v>
      </c>
      <c r="L5" s="558">
        <f>M5/K5</f>
        <v>139.53143964532757</v>
      </c>
      <c r="M5" s="558">
        <f>IDEAv2原単位!F1739*1000</f>
        <v>137.76219246682271</v>
      </c>
      <c r="N5" s="108" t="s">
        <v>93</v>
      </c>
      <c r="O5" s="108">
        <v>3.18</v>
      </c>
      <c r="P5" s="110" t="s">
        <v>94</v>
      </c>
      <c r="Q5" s="94" t="s">
        <v>7744</v>
      </c>
    </row>
    <row r="6" spans="1:17" ht="12.6" thickBot="1">
      <c r="A6" s="111" t="s">
        <v>97</v>
      </c>
      <c r="B6" s="112" t="s">
        <v>98</v>
      </c>
      <c r="C6" s="112">
        <v>0.47</v>
      </c>
      <c r="D6" s="112" t="s">
        <v>99</v>
      </c>
      <c r="E6" s="559">
        <v>18.694600000000019</v>
      </c>
      <c r="F6" s="571">
        <v>21.100000000000023</v>
      </c>
      <c r="G6" s="112" t="s">
        <v>100</v>
      </c>
      <c r="H6" s="559">
        <v>39.775744680851027</v>
      </c>
      <c r="I6" s="571">
        <v>44.893617021276555</v>
      </c>
      <c r="J6" s="112" t="s">
        <v>92</v>
      </c>
      <c r="K6" s="567">
        <v>0.88600000000000001</v>
      </c>
      <c r="L6" s="559">
        <f>M6/K6</f>
        <v>45.52720142015751</v>
      </c>
      <c r="M6" s="559">
        <f>IDEAv2原単位!F1743*1000</f>
        <v>40.337100458259556</v>
      </c>
      <c r="N6" s="112" t="s">
        <v>93</v>
      </c>
      <c r="O6" s="112">
        <v>1.81</v>
      </c>
      <c r="P6" s="113" t="s">
        <v>94</v>
      </c>
    </row>
    <row r="7" spans="1:17">
      <c r="A7" s="99" t="s">
        <v>101</v>
      </c>
      <c r="B7" s="100" t="s">
        <v>102</v>
      </c>
      <c r="C7" s="100">
        <v>0.85399999999999998</v>
      </c>
      <c r="D7" s="100" t="s">
        <v>103</v>
      </c>
      <c r="E7" s="572">
        <v>36.289999999999978</v>
      </c>
      <c r="F7" s="556">
        <v>38.199999999999982</v>
      </c>
      <c r="G7" s="100" t="s">
        <v>104</v>
      </c>
      <c r="H7" s="556">
        <v>42.49414519906319</v>
      </c>
      <c r="I7" s="572">
        <v>44.730679156908622</v>
      </c>
      <c r="J7" s="100" t="s">
        <v>92</v>
      </c>
      <c r="K7" s="565">
        <v>0.95</v>
      </c>
      <c r="L7" s="556">
        <f>M7/K7</f>
        <v>79.346443696938422</v>
      </c>
      <c r="M7" s="556">
        <f>IDEAv2原単位!F313*1000</f>
        <v>75.379121512091501</v>
      </c>
      <c r="N7" s="100" t="s">
        <v>93</v>
      </c>
      <c r="O7" s="100">
        <v>3.06</v>
      </c>
      <c r="P7" s="102" t="s">
        <v>94</v>
      </c>
    </row>
    <row r="8" spans="1:17">
      <c r="A8" s="103" t="s">
        <v>101</v>
      </c>
      <c r="B8" s="104" t="s">
        <v>105</v>
      </c>
      <c r="C8" s="104">
        <f>製品単位換算2!E1181</f>
        <v>0.72299999999999998</v>
      </c>
      <c r="D8" s="104" t="s">
        <v>103</v>
      </c>
      <c r="E8" s="557">
        <v>31.919999999999959</v>
      </c>
      <c r="F8" s="557">
        <v>33.599999999999959</v>
      </c>
      <c r="G8" s="104" t="s">
        <v>104</v>
      </c>
      <c r="H8" s="557">
        <v>44.149377593361088</v>
      </c>
      <c r="I8" s="557">
        <v>46.473029045643251</v>
      </c>
      <c r="J8" s="104" t="s">
        <v>92</v>
      </c>
      <c r="K8" s="564">
        <v>0.95</v>
      </c>
      <c r="L8" s="557">
        <v>70.099999999999994</v>
      </c>
      <c r="M8" s="557">
        <v>66.599999999999994</v>
      </c>
      <c r="N8" s="104" t="s">
        <v>93</v>
      </c>
      <c r="O8" s="104">
        <v>3.18</v>
      </c>
      <c r="P8" s="106" t="s">
        <v>94</v>
      </c>
    </row>
    <row r="9" spans="1:17">
      <c r="A9" s="103" t="s">
        <v>101</v>
      </c>
      <c r="B9" s="104" t="s">
        <v>106</v>
      </c>
      <c r="C9" s="104">
        <v>0.73</v>
      </c>
      <c r="D9" s="104" t="s">
        <v>103</v>
      </c>
      <c r="E9" s="557">
        <v>32.870000000000047</v>
      </c>
      <c r="F9" s="557">
        <v>34.600000000000051</v>
      </c>
      <c r="G9" s="104" t="s">
        <v>104</v>
      </c>
      <c r="H9" s="557">
        <v>44.843110504774891</v>
      </c>
      <c r="I9" s="557">
        <v>47.203274215552518</v>
      </c>
      <c r="J9" s="104" t="s">
        <v>92</v>
      </c>
      <c r="K9" s="564">
        <v>0.95</v>
      </c>
      <c r="L9" s="557">
        <f>M9/K9</f>
        <v>87.635912905005242</v>
      </c>
      <c r="M9" s="557">
        <f>IDEAv2原単位!F1697*1000</f>
        <v>83.254117259754977</v>
      </c>
      <c r="N9" s="104" t="s">
        <v>93</v>
      </c>
      <c r="O9" s="104">
        <v>3.18</v>
      </c>
      <c r="P9" s="106" t="s">
        <v>94</v>
      </c>
    </row>
    <row r="10" spans="1:17">
      <c r="A10" s="103" t="s">
        <v>101</v>
      </c>
      <c r="B10" s="104" t="s">
        <v>107</v>
      </c>
      <c r="C10" s="104">
        <v>0.79200000000000004</v>
      </c>
      <c r="D10" s="104" t="s">
        <v>103</v>
      </c>
      <c r="E10" s="557">
        <v>34.864999999999938</v>
      </c>
      <c r="F10" s="557">
        <v>36.699999999999939</v>
      </c>
      <c r="G10" s="104" t="s">
        <v>104</v>
      </c>
      <c r="H10" s="557">
        <v>44.021464646464736</v>
      </c>
      <c r="I10" s="557">
        <v>46.338383838383933</v>
      </c>
      <c r="J10" s="104" t="s">
        <v>92</v>
      </c>
      <c r="K10" s="564">
        <v>0.95</v>
      </c>
      <c r="L10" s="557">
        <f>M10/K10</f>
        <v>80.876727120044762</v>
      </c>
      <c r="M10" s="557">
        <f>IDEAv2原単位!F1703*1000</f>
        <v>76.832890764042517</v>
      </c>
      <c r="N10" s="104" t="s">
        <v>93</v>
      </c>
      <c r="O10" s="104">
        <v>3.15</v>
      </c>
      <c r="P10" s="106" t="s">
        <v>94</v>
      </c>
    </row>
    <row r="11" spans="1:17">
      <c r="A11" s="103" t="s">
        <v>101</v>
      </c>
      <c r="B11" s="104" t="s">
        <v>45</v>
      </c>
      <c r="C11" s="104">
        <v>0.83299999999999996</v>
      </c>
      <c r="D11" s="104" t="s">
        <v>103</v>
      </c>
      <c r="E11" s="557">
        <v>35.435000000000038</v>
      </c>
      <c r="F11" s="557">
        <v>37.30000000000004</v>
      </c>
      <c r="G11" s="104" t="s">
        <v>104</v>
      </c>
      <c r="H11" s="557">
        <v>42.539015606242465</v>
      </c>
      <c r="I11" s="557">
        <v>44.777911164465756</v>
      </c>
      <c r="J11" s="104" t="s">
        <v>92</v>
      </c>
      <c r="K11" s="564">
        <v>0.95</v>
      </c>
      <c r="L11" s="557">
        <f>M11*K11</f>
        <v>74.477702221404442</v>
      </c>
      <c r="M11" s="557">
        <f>IDEAv2原単位!F1706*1000</f>
        <v>78.397581285688887</v>
      </c>
      <c r="N11" s="104" t="s">
        <v>225</v>
      </c>
      <c r="O11" s="104">
        <v>3.11</v>
      </c>
      <c r="P11" s="106" t="s">
        <v>94</v>
      </c>
    </row>
    <row r="12" spans="1:17">
      <c r="A12" s="103" t="s">
        <v>101</v>
      </c>
      <c r="B12" s="104" t="s">
        <v>108</v>
      </c>
      <c r="C12" s="104">
        <v>0.89900000000000002</v>
      </c>
      <c r="D12" s="104" t="s">
        <v>103</v>
      </c>
      <c r="E12" s="557">
        <v>39</v>
      </c>
      <c r="F12" s="557">
        <v>40.5</v>
      </c>
      <c r="G12" s="104" t="s">
        <v>104</v>
      </c>
      <c r="H12" s="557">
        <v>43.4</v>
      </c>
      <c r="I12" s="557">
        <v>45.1</v>
      </c>
      <c r="J12" s="104" t="s">
        <v>92</v>
      </c>
      <c r="K12" s="564">
        <v>0.96199999999999997</v>
      </c>
      <c r="L12" s="557">
        <v>73.2</v>
      </c>
      <c r="M12" s="557">
        <v>70.400000000000006</v>
      </c>
      <c r="N12" s="104" t="s">
        <v>93</v>
      </c>
      <c r="O12" s="104">
        <v>3.18</v>
      </c>
      <c r="P12" s="106" t="s">
        <v>94</v>
      </c>
    </row>
    <row r="13" spans="1:17">
      <c r="A13" s="103" t="s">
        <v>101</v>
      </c>
      <c r="B13" s="104" t="s">
        <v>109</v>
      </c>
      <c r="C13" s="104">
        <v>0.86</v>
      </c>
      <c r="D13" s="104" t="s">
        <v>103</v>
      </c>
      <c r="E13" s="557">
        <v>37.144999999999968</v>
      </c>
      <c r="F13" s="557">
        <v>39.099999999999966</v>
      </c>
      <c r="G13" s="104" t="s">
        <v>104</v>
      </c>
      <c r="H13" s="557">
        <v>43.191860465116342</v>
      </c>
      <c r="I13" s="557">
        <v>45.465116279069832</v>
      </c>
      <c r="J13" s="104" t="s">
        <v>92</v>
      </c>
      <c r="K13" s="564">
        <v>0.95</v>
      </c>
      <c r="L13" s="557">
        <f>M13/K13</f>
        <v>84.928386882513436</v>
      </c>
      <c r="M13" s="557">
        <f>IDEAv2原単位!F1711*1000</f>
        <v>80.681967538387767</v>
      </c>
      <c r="N13" s="104" t="s">
        <v>93</v>
      </c>
      <c r="O13" s="104">
        <v>3.16</v>
      </c>
      <c r="P13" s="106" t="s">
        <v>94</v>
      </c>
    </row>
    <row r="14" spans="1:17">
      <c r="A14" s="103" t="s">
        <v>101</v>
      </c>
      <c r="B14" s="104" t="s">
        <v>110</v>
      </c>
      <c r="C14" s="104">
        <v>0.9</v>
      </c>
      <c r="D14" s="104" t="s">
        <v>103</v>
      </c>
      <c r="E14" s="557">
        <v>39.38999999999993</v>
      </c>
      <c r="F14" s="557">
        <v>40.399999999999928</v>
      </c>
      <c r="G14" s="104" t="s">
        <v>104</v>
      </c>
      <c r="H14" s="557">
        <v>43.766666666666623</v>
      </c>
      <c r="I14" s="557">
        <v>44.888888888888843</v>
      </c>
      <c r="J14" s="104" t="s">
        <v>92</v>
      </c>
      <c r="K14" s="564">
        <v>0.97499999999999998</v>
      </c>
      <c r="L14" s="557">
        <f>M14/K14</f>
        <v>85.02679257384024</v>
      </c>
      <c r="M14" s="557">
        <f>IDEAv2原単位!F1713*1000</f>
        <v>82.901122759494228</v>
      </c>
      <c r="N14" s="104" t="s">
        <v>93</v>
      </c>
      <c r="O14" s="104">
        <v>3.17</v>
      </c>
      <c r="P14" s="106" t="s">
        <v>94</v>
      </c>
    </row>
    <row r="15" spans="1:17">
      <c r="A15" s="103" t="s">
        <v>101</v>
      </c>
      <c r="B15" s="104" t="s">
        <v>111</v>
      </c>
      <c r="C15" s="104">
        <v>0.94</v>
      </c>
      <c r="D15" s="104" t="s">
        <v>103</v>
      </c>
      <c r="E15" s="557">
        <v>40.852499999999914</v>
      </c>
      <c r="F15" s="557">
        <v>41.899999999999913</v>
      </c>
      <c r="G15" s="104" t="s">
        <v>104</v>
      </c>
      <c r="H15" s="557">
        <v>43.460106382978744</v>
      </c>
      <c r="I15" s="557">
        <v>44.574468085106403</v>
      </c>
      <c r="J15" s="104" t="s">
        <v>92</v>
      </c>
      <c r="K15" s="564">
        <v>0.97499999999999998</v>
      </c>
      <c r="L15" s="557">
        <f>M15/K15</f>
        <v>83.550919991237564</v>
      </c>
      <c r="M15" s="557">
        <f>IDEAv2原単位!F1715*1000</f>
        <v>81.462146991456621</v>
      </c>
      <c r="N15" s="104" t="s">
        <v>93</v>
      </c>
      <c r="O15" s="104">
        <v>3.2</v>
      </c>
      <c r="P15" s="106" t="s">
        <v>94</v>
      </c>
    </row>
    <row r="16" spans="1:17">
      <c r="A16" s="103" t="s">
        <v>112</v>
      </c>
      <c r="B16" s="104" t="s">
        <v>113</v>
      </c>
      <c r="C16" s="104">
        <v>0.50700000000000001</v>
      </c>
      <c r="D16" s="104" t="s">
        <v>103</v>
      </c>
      <c r="E16" s="557">
        <v>23.435114503816795</v>
      </c>
      <c r="F16" s="557">
        <v>25.445292620865139</v>
      </c>
      <c r="G16" s="104" t="s">
        <v>104</v>
      </c>
      <c r="H16" s="557">
        <v>46.786800000000092</v>
      </c>
      <c r="I16" s="557">
        <v>50.800000000000097</v>
      </c>
      <c r="J16" s="104" t="s">
        <v>92</v>
      </c>
      <c r="K16" s="564">
        <v>0.92100000000000004</v>
      </c>
      <c r="L16" s="557">
        <f>M16/K16</f>
        <v>82.09047049362978</v>
      </c>
      <c r="M16" s="557">
        <f>IDEAv2原単位!F1723*1000</f>
        <v>75.605323324633034</v>
      </c>
      <c r="N16" s="104" t="s">
        <v>93</v>
      </c>
      <c r="O16" s="104">
        <v>3</v>
      </c>
      <c r="P16" s="106" t="s">
        <v>94</v>
      </c>
    </row>
    <row r="17" spans="1:19" ht="12.6" thickBot="1">
      <c r="A17" s="114" t="s">
        <v>112</v>
      </c>
      <c r="B17" s="115" t="s">
        <v>114</v>
      </c>
      <c r="C17" s="115">
        <v>0.56299999999999994</v>
      </c>
      <c r="D17" s="115" t="s">
        <v>103</v>
      </c>
      <c r="E17" s="560">
        <v>25.8</v>
      </c>
      <c r="F17" s="560">
        <v>28</v>
      </c>
      <c r="G17" s="115" t="s">
        <v>104</v>
      </c>
      <c r="H17" s="560">
        <v>45.8</v>
      </c>
      <c r="I17" s="560">
        <v>49.7</v>
      </c>
      <c r="J17" s="115" t="s">
        <v>92</v>
      </c>
      <c r="K17" s="568">
        <v>0.92200000000000004</v>
      </c>
      <c r="L17" s="560">
        <v>66.099999999999994</v>
      </c>
      <c r="M17" s="560">
        <v>60.9</v>
      </c>
      <c r="N17" s="115" t="s">
        <v>93</v>
      </c>
      <c r="O17" s="115">
        <v>3.03</v>
      </c>
      <c r="P17" s="116" t="s">
        <v>94</v>
      </c>
    </row>
    <row r="18" spans="1:19">
      <c r="A18" s="99" t="s">
        <v>115</v>
      </c>
      <c r="B18" s="100" t="s">
        <v>116</v>
      </c>
      <c r="C18" s="101" t="s">
        <v>91</v>
      </c>
      <c r="D18" s="101" t="s">
        <v>91</v>
      </c>
      <c r="E18" s="556">
        <v>49.1</v>
      </c>
      <c r="F18" s="556">
        <v>54.6</v>
      </c>
      <c r="G18" s="100" t="s">
        <v>92</v>
      </c>
      <c r="H18" s="556">
        <v>49.1</v>
      </c>
      <c r="I18" s="556">
        <v>54.6</v>
      </c>
      <c r="J18" s="100" t="s">
        <v>92</v>
      </c>
      <c r="K18" s="565">
        <v>0.9</v>
      </c>
      <c r="L18" s="556">
        <f>M18/K18</f>
        <v>68.419499143554916</v>
      </c>
      <c r="M18" s="556">
        <f>IDEAv2原単位!F320*1000</f>
        <v>61.57754922919942</v>
      </c>
      <c r="N18" s="100" t="s">
        <v>93</v>
      </c>
      <c r="O18" s="100">
        <v>2.7</v>
      </c>
      <c r="P18" s="102" t="s">
        <v>94</v>
      </c>
    </row>
    <row r="19" spans="1:19" ht="12.6" thickBot="1">
      <c r="A19" s="114" t="s">
        <v>115</v>
      </c>
      <c r="B19" s="115" t="s">
        <v>117</v>
      </c>
      <c r="C19" s="117" t="s">
        <v>91</v>
      </c>
      <c r="D19" s="115" t="s">
        <v>99</v>
      </c>
      <c r="E19" s="560">
        <v>39.150000000000063</v>
      </c>
      <c r="F19" s="560">
        <v>43.500000000000071</v>
      </c>
      <c r="G19" s="115" t="s">
        <v>100</v>
      </c>
      <c r="H19" s="561" t="s">
        <v>91</v>
      </c>
      <c r="I19" s="561" t="s">
        <v>91</v>
      </c>
      <c r="J19" s="115" t="s">
        <v>92</v>
      </c>
      <c r="K19" s="568">
        <v>0.9</v>
      </c>
      <c r="L19" s="560">
        <f>M19/K19</f>
        <v>56.792324819351983</v>
      </c>
      <c r="M19" s="560">
        <f>IDEAv2原単位!F319*1000</f>
        <v>51.113092337416788</v>
      </c>
      <c r="N19" s="115" t="s">
        <v>93</v>
      </c>
      <c r="O19" s="117" t="s">
        <v>91</v>
      </c>
      <c r="P19" s="116" t="s">
        <v>94</v>
      </c>
    </row>
    <row r="20" spans="1:19" ht="12.6" thickBot="1">
      <c r="A20" s="111" t="s">
        <v>118</v>
      </c>
      <c r="B20" s="112" t="s">
        <v>215</v>
      </c>
      <c r="C20" s="112">
        <f>製品単位換算2!E2404</f>
        <v>0.84699999999999998</v>
      </c>
      <c r="D20" s="112" t="s">
        <v>99</v>
      </c>
      <c r="E20" s="559">
        <v>41.131200000000014</v>
      </c>
      <c r="F20" s="559">
        <v>45.600000000000016</v>
      </c>
      <c r="G20" s="112" t="s">
        <v>100</v>
      </c>
      <c r="H20" s="559">
        <v>48.561038961038889</v>
      </c>
      <c r="I20" s="559">
        <v>53.837072018890119</v>
      </c>
      <c r="J20" s="112" t="s">
        <v>92</v>
      </c>
      <c r="K20" s="567">
        <v>0.90200000000000002</v>
      </c>
      <c r="L20" s="559">
        <f>M20/K20</f>
        <v>68.565824203283881</v>
      </c>
      <c r="M20" s="559">
        <f>IDEAv2原単位!F3626*1000</f>
        <v>61.846373431362068</v>
      </c>
      <c r="N20" s="112" t="s">
        <v>93</v>
      </c>
      <c r="O20" s="112">
        <v>2.8</v>
      </c>
      <c r="P20" s="113" t="s">
        <v>94</v>
      </c>
    </row>
    <row r="21" spans="1:19">
      <c r="A21" s="99" t="s">
        <v>119</v>
      </c>
      <c r="B21" s="100" t="s">
        <v>120</v>
      </c>
      <c r="C21" s="100">
        <f>1/製品単位換算2!E1056</f>
        <v>0.7960000000222881</v>
      </c>
      <c r="D21" s="100" t="s">
        <v>103</v>
      </c>
      <c r="E21" s="556">
        <v>15.8466884</v>
      </c>
      <c r="F21" s="556">
        <v>18.069199999999999</v>
      </c>
      <c r="G21" s="100" t="s">
        <v>104</v>
      </c>
      <c r="H21" s="556">
        <v>19.907899999999977</v>
      </c>
      <c r="I21" s="556">
        <v>22.699999999999974</v>
      </c>
      <c r="J21" s="100" t="s">
        <v>92</v>
      </c>
      <c r="K21" s="565">
        <v>0.877</v>
      </c>
      <c r="L21" s="556">
        <f>M21/K21</f>
        <v>146.86067460679189</v>
      </c>
      <c r="M21" s="556">
        <f>IDEAv2原単位!F1485*1000</f>
        <v>128.7968116301565</v>
      </c>
      <c r="N21" s="100" t="s">
        <v>93</v>
      </c>
      <c r="O21" s="100">
        <v>1.37</v>
      </c>
      <c r="P21" s="102" t="s">
        <v>94</v>
      </c>
    </row>
    <row r="22" spans="1:19">
      <c r="A22" s="103" t="s">
        <v>119</v>
      </c>
      <c r="B22" s="104" t="s">
        <v>121</v>
      </c>
      <c r="C22" s="557">
        <f>1/製品単位換算2!E1058</f>
        <v>2.1079999987014721</v>
      </c>
      <c r="D22" s="104" t="s">
        <v>99</v>
      </c>
      <c r="E22" s="557">
        <v>60.742652400000182</v>
      </c>
      <c r="F22" s="557">
        <v>66.823600000000198</v>
      </c>
      <c r="G22" s="104" t="s">
        <v>100</v>
      </c>
      <c r="H22" s="557">
        <v>28.815300000000036</v>
      </c>
      <c r="I22" s="557">
        <v>31.700000000000038</v>
      </c>
      <c r="J22" s="104" t="s">
        <v>92</v>
      </c>
      <c r="K22" s="564">
        <v>0.90900000000000003</v>
      </c>
      <c r="L22" s="557">
        <f>M22/K22</f>
        <v>165.24178187700625</v>
      </c>
      <c r="M22" s="557">
        <f>IDEAv2原単位!F1486*1000</f>
        <v>150.20477972619869</v>
      </c>
      <c r="N22" s="104" t="s">
        <v>93</v>
      </c>
      <c r="O22" s="104">
        <v>1.91</v>
      </c>
      <c r="P22" s="106" t="s">
        <v>94</v>
      </c>
    </row>
    <row r="23" spans="1:19" ht="12.6" thickBot="1">
      <c r="A23" s="114" t="s">
        <v>119</v>
      </c>
      <c r="B23" s="115" t="s">
        <v>122</v>
      </c>
      <c r="C23" s="115">
        <v>0.78500000000000003</v>
      </c>
      <c r="D23" s="115" t="s">
        <v>103</v>
      </c>
      <c r="E23" s="560">
        <v>34.5</v>
      </c>
      <c r="F23" s="560">
        <v>37.1</v>
      </c>
      <c r="G23" s="115" t="s">
        <v>104</v>
      </c>
      <c r="H23" s="560">
        <v>44</v>
      </c>
      <c r="I23" s="560">
        <v>47.2</v>
      </c>
      <c r="J23" s="115" t="s">
        <v>92</v>
      </c>
      <c r="K23" s="568">
        <v>0.93200000000000005</v>
      </c>
      <c r="L23" s="560">
        <v>70.7</v>
      </c>
      <c r="M23" s="560">
        <v>65.900000000000006</v>
      </c>
      <c r="N23" s="115" t="s">
        <v>93</v>
      </c>
      <c r="O23" s="115">
        <v>3.11</v>
      </c>
      <c r="P23" s="116" t="s">
        <v>94</v>
      </c>
    </row>
    <row r="24" spans="1:19">
      <c r="A24" s="99" t="s">
        <v>123</v>
      </c>
      <c r="B24" s="100" t="s">
        <v>124</v>
      </c>
      <c r="C24" s="100">
        <v>0.89</v>
      </c>
      <c r="D24" s="100" t="s">
        <v>103</v>
      </c>
      <c r="E24" s="556">
        <v>35.4</v>
      </c>
      <c r="F24" s="562" t="s">
        <v>91</v>
      </c>
      <c r="G24" s="100" t="s">
        <v>104</v>
      </c>
      <c r="H24" s="556">
        <v>39.799999999999997</v>
      </c>
      <c r="I24" s="562" t="s">
        <v>91</v>
      </c>
      <c r="J24" s="100" t="s">
        <v>92</v>
      </c>
      <c r="K24" s="569" t="s">
        <v>91</v>
      </c>
      <c r="L24" s="556">
        <v>76.2</v>
      </c>
      <c r="M24" s="562" t="s">
        <v>91</v>
      </c>
      <c r="N24" s="100" t="s">
        <v>93</v>
      </c>
      <c r="O24" s="100">
        <v>2.81</v>
      </c>
      <c r="P24" s="102" t="s">
        <v>94</v>
      </c>
    </row>
    <row r="25" spans="1:19">
      <c r="A25" s="103" t="s">
        <v>123</v>
      </c>
      <c r="B25" s="104" t="s">
        <v>125</v>
      </c>
      <c r="C25" s="104">
        <v>0.71699999999999997</v>
      </c>
      <c r="D25" s="104" t="s">
        <v>99</v>
      </c>
      <c r="E25" s="557">
        <v>35.853943499999936</v>
      </c>
      <c r="F25" s="557">
        <v>39.793499999999931</v>
      </c>
      <c r="G25" s="104" t="s">
        <v>100</v>
      </c>
      <c r="H25" s="557">
        <v>50.005500000000055</v>
      </c>
      <c r="I25" s="557">
        <v>55.500000000000057</v>
      </c>
      <c r="J25" s="104" t="s">
        <v>92</v>
      </c>
      <c r="K25" s="564">
        <v>0.90100000000000002</v>
      </c>
      <c r="L25" s="557">
        <f>M25/K25</f>
        <v>55.114858196015632</v>
      </c>
      <c r="M25" s="557">
        <f>IDEAv2原単位!F1487*1000</f>
        <v>49.658487234610085</v>
      </c>
      <c r="N25" s="104" t="s">
        <v>93</v>
      </c>
      <c r="O25" s="104">
        <v>2.74</v>
      </c>
      <c r="P25" s="106" t="s">
        <v>94</v>
      </c>
    </row>
    <row r="26" spans="1:19">
      <c r="A26" s="103" t="s">
        <v>123</v>
      </c>
      <c r="B26" s="104" t="s">
        <v>126</v>
      </c>
      <c r="C26" s="104">
        <f>1/製品単位換算2!E987</f>
        <v>0.78900000000000059</v>
      </c>
      <c r="D26" s="104" t="s">
        <v>103</v>
      </c>
      <c r="E26" s="557">
        <v>21.2</v>
      </c>
      <c r="F26" s="557">
        <v>23.5</v>
      </c>
      <c r="G26" s="104" t="s">
        <v>104</v>
      </c>
      <c r="H26" s="557">
        <v>26.8</v>
      </c>
      <c r="I26" s="557">
        <v>29.7</v>
      </c>
      <c r="J26" s="104" t="s">
        <v>92</v>
      </c>
      <c r="K26" s="564">
        <v>0.90200000000000002</v>
      </c>
      <c r="L26" s="557">
        <v>71.3</v>
      </c>
      <c r="M26" s="557">
        <v>64.3</v>
      </c>
      <c r="N26" s="104" t="s">
        <v>93</v>
      </c>
      <c r="O26" s="104">
        <v>1.91</v>
      </c>
      <c r="P26" s="106" t="s">
        <v>94</v>
      </c>
    </row>
    <row r="27" spans="1:19" ht="12.6" thickBot="1">
      <c r="A27" s="114" t="s">
        <v>123</v>
      </c>
      <c r="B27" s="115" t="s">
        <v>127</v>
      </c>
      <c r="C27" s="115">
        <v>0.75</v>
      </c>
      <c r="D27" s="115" t="s">
        <v>103</v>
      </c>
      <c r="E27" s="560">
        <v>26.386649999999989</v>
      </c>
      <c r="F27" s="560">
        <v>28.649999999999988</v>
      </c>
      <c r="G27" s="115" t="s">
        <v>104</v>
      </c>
      <c r="H27" s="560">
        <v>35.182199999999987</v>
      </c>
      <c r="I27" s="560">
        <v>38.199999999999982</v>
      </c>
      <c r="J27" s="115" t="s">
        <v>92</v>
      </c>
      <c r="K27" s="568">
        <v>0.92100000000000004</v>
      </c>
      <c r="L27" s="560">
        <f>M27/K27</f>
        <v>215.37316948020717</v>
      </c>
      <c r="M27" s="560">
        <f>IDEAv2原単位!F1538*1000</f>
        <v>198.3586890912708</v>
      </c>
      <c r="N27" s="115" t="s">
        <v>93</v>
      </c>
      <c r="O27" s="115">
        <v>2.58</v>
      </c>
      <c r="P27" s="116" t="s">
        <v>94</v>
      </c>
    </row>
    <row r="28" spans="1:19">
      <c r="A28" s="99" t="s">
        <v>128</v>
      </c>
      <c r="B28" s="100" t="s">
        <v>129</v>
      </c>
      <c r="C28" s="100">
        <v>7.0800000000000002E-2</v>
      </c>
      <c r="D28" s="100" t="s">
        <v>103</v>
      </c>
      <c r="E28" s="556">
        <v>8.5</v>
      </c>
      <c r="F28" s="556">
        <v>10.1</v>
      </c>
      <c r="G28" s="100" t="s">
        <v>104</v>
      </c>
      <c r="H28" s="556">
        <v>120</v>
      </c>
      <c r="I28" s="556">
        <v>142</v>
      </c>
      <c r="J28" s="100" t="s">
        <v>92</v>
      </c>
      <c r="K28" s="565">
        <v>0.84499999999999997</v>
      </c>
      <c r="L28" s="562" t="s">
        <v>91</v>
      </c>
      <c r="M28" s="562" t="s">
        <v>91</v>
      </c>
      <c r="N28" s="101" t="s">
        <v>91</v>
      </c>
      <c r="O28" s="101" t="s">
        <v>91</v>
      </c>
      <c r="P28" s="118" t="s">
        <v>91</v>
      </c>
    </row>
    <row r="29" spans="1:19">
      <c r="A29" s="107" t="s">
        <v>128</v>
      </c>
      <c r="B29" s="589" t="s">
        <v>130</v>
      </c>
      <c r="C29" s="589">
        <v>8.9899999999999994E-2</v>
      </c>
      <c r="D29" s="589" t="s">
        <v>99</v>
      </c>
      <c r="E29" s="590">
        <v>10.8</v>
      </c>
      <c r="F29" s="590">
        <v>12.8</v>
      </c>
      <c r="G29" s="589" t="s">
        <v>100</v>
      </c>
      <c r="H29" s="590">
        <v>120</v>
      </c>
      <c r="I29" s="590">
        <v>142</v>
      </c>
      <c r="J29" s="589" t="s">
        <v>92</v>
      </c>
      <c r="K29" s="591">
        <v>0.84499999999999997</v>
      </c>
      <c r="L29" s="592" t="s">
        <v>91</v>
      </c>
      <c r="M29" s="592" t="s">
        <v>91</v>
      </c>
      <c r="N29" s="593" t="s">
        <v>91</v>
      </c>
      <c r="O29" s="593" t="s">
        <v>91</v>
      </c>
      <c r="P29" s="594" t="s">
        <v>91</v>
      </c>
    </row>
    <row r="30" spans="1:19">
      <c r="A30" s="599"/>
      <c r="B30" s="599"/>
      <c r="C30" s="600"/>
      <c r="D30" s="600"/>
      <c r="E30" s="601"/>
      <c r="F30" s="601"/>
      <c r="G30" s="599"/>
      <c r="H30" s="601"/>
      <c r="I30" s="601"/>
      <c r="J30" s="599"/>
      <c r="K30" s="602"/>
      <c r="L30" s="601"/>
      <c r="M30" s="601"/>
      <c r="N30" s="599"/>
      <c r="O30" s="599"/>
      <c r="P30" s="599"/>
      <c r="S30" s="119"/>
    </row>
    <row r="31" spans="1:19">
      <c r="A31" s="595"/>
      <c r="B31" s="596" t="s">
        <v>7528</v>
      </c>
      <c r="C31" s="595"/>
      <c r="D31" s="595"/>
      <c r="E31" s="597"/>
      <c r="F31" s="597"/>
      <c r="G31" s="595"/>
      <c r="H31" s="597"/>
      <c r="I31" s="597"/>
      <c r="J31" s="595"/>
      <c r="K31" s="598"/>
      <c r="L31" s="597"/>
      <c r="M31" s="1174" t="s">
        <v>7749</v>
      </c>
      <c r="N31" s="1175"/>
      <c r="O31" s="1174" t="s">
        <v>7750</v>
      </c>
      <c r="P31" s="1175"/>
    </row>
    <row r="32" spans="1:19" ht="13.2">
      <c r="A32" s="575" t="s">
        <v>7748</v>
      </c>
      <c r="B32" s="573" t="s">
        <v>7531</v>
      </c>
      <c r="C32" s="575"/>
      <c r="D32" s="575"/>
      <c r="E32" s="576"/>
      <c r="F32" s="576"/>
      <c r="G32" s="575"/>
      <c r="H32" s="576"/>
      <c r="I32" s="576"/>
      <c r="J32" s="575"/>
      <c r="K32" s="577"/>
      <c r="L32" s="576"/>
      <c r="M32" s="574">
        <f>7.1/1000</f>
        <v>7.0999999999999995E-3</v>
      </c>
      <c r="N32" s="575" t="s">
        <v>7751</v>
      </c>
      <c r="O32" s="574">
        <f>17.6/1000</f>
        <v>1.7600000000000001E-2</v>
      </c>
      <c r="P32" s="575" t="s">
        <v>7751</v>
      </c>
    </row>
    <row r="33" spans="1:16" ht="13.2">
      <c r="A33" s="575" t="s">
        <v>7748</v>
      </c>
      <c r="B33" s="573" t="s">
        <v>7532</v>
      </c>
      <c r="C33" s="575"/>
      <c r="D33" s="575"/>
      <c r="E33" s="578"/>
      <c r="F33" s="578"/>
      <c r="G33" s="579"/>
      <c r="H33" s="578"/>
      <c r="I33" s="578"/>
      <c r="J33" s="579"/>
      <c r="K33" s="580"/>
      <c r="L33" s="576"/>
      <c r="M33" s="574">
        <f>8.1/1000</f>
        <v>8.0999999999999996E-3</v>
      </c>
      <c r="N33" s="575" t="s">
        <v>7751</v>
      </c>
      <c r="O33" s="574">
        <f>21.1/1000</f>
        <v>2.1100000000000001E-2</v>
      </c>
      <c r="P33" s="575" t="s">
        <v>7751</v>
      </c>
    </row>
    <row r="34" spans="1:16" ht="13.2">
      <c r="A34" s="575" t="s">
        <v>7748</v>
      </c>
      <c r="B34" s="573" t="s">
        <v>7533</v>
      </c>
      <c r="C34" s="575"/>
      <c r="D34" s="575"/>
      <c r="E34" s="576"/>
      <c r="F34" s="576"/>
      <c r="G34" s="575"/>
      <c r="H34" s="576"/>
      <c r="I34" s="576"/>
      <c r="J34" s="575"/>
      <c r="K34" s="577"/>
      <c r="L34" s="576"/>
      <c r="M34" s="574">
        <f>11.1/1000</f>
        <v>1.11E-2</v>
      </c>
      <c r="N34" s="575" t="s">
        <v>7751</v>
      </c>
      <c r="O34" s="574">
        <f>46.7/1000</f>
        <v>4.6700000000000005E-2</v>
      </c>
      <c r="P34" s="575" t="s">
        <v>7751</v>
      </c>
    </row>
    <row r="35" spans="1:16" ht="13.2">
      <c r="A35" s="575" t="s">
        <v>7748</v>
      </c>
      <c r="B35" s="573" t="s">
        <v>7534</v>
      </c>
      <c r="C35" s="575"/>
      <c r="D35" s="575"/>
      <c r="E35" s="578"/>
      <c r="F35" s="578"/>
      <c r="G35" s="579"/>
      <c r="H35" s="578"/>
      <c r="I35" s="578"/>
      <c r="J35" s="579"/>
      <c r="K35" s="580"/>
      <c r="L35" s="576"/>
      <c r="M35" s="574">
        <f>7.8/1000</f>
        <v>7.7999999999999996E-3</v>
      </c>
      <c r="N35" s="575" t="s">
        <v>7751</v>
      </c>
      <c r="O35" s="574">
        <f>30.2/1000</f>
        <v>3.0199999999999998E-2</v>
      </c>
      <c r="P35" s="575" t="s">
        <v>7751</v>
      </c>
    </row>
    <row r="36" spans="1:16" ht="13.2">
      <c r="A36" s="575" t="s">
        <v>7748</v>
      </c>
      <c r="B36" s="573" t="s">
        <v>7535</v>
      </c>
      <c r="C36" s="575"/>
      <c r="D36" s="575"/>
      <c r="E36" s="578"/>
      <c r="F36" s="578"/>
      <c r="G36" s="579"/>
      <c r="H36" s="578"/>
      <c r="I36" s="578"/>
      <c r="J36" s="579"/>
      <c r="K36" s="580"/>
      <c r="L36" s="576"/>
      <c r="M36" s="574">
        <f>7.6/1000</f>
        <v>7.6E-3</v>
      </c>
      <c r="N36" s="575" t="s">
        <v>7751</v>
      </c>
      <c r="O36" s="574">
        <f>5.5/1000</f>
        <v>5.4999999999999997E-3</v>
      </c>
      <c r="P36" s="575" t="s">
        <v>7751</v>
      </c>
    </row>
    <row r="37" spans="1:16" ht="13.8" thickBot="1">
      <c r="A37" s="582" t="s">
        <v>7748</v>
      </c>
      <c r="B37" s="583" t="s">
        <v>7747</v>
      </c>
      <c r="C37" s="582"/>
      <c r="D37" s="582"/>
      <c r="E37" s="584"/>
      <c r="F37" s="584"/>
      <c r="G37" s="585"/>
      <c r="H37" s="584"/>
      <c r="I37" s="584"/>
      <c r="J37" s="585"/>
      <c r="K37" s="586"/>
      <c r="L37" s="587"/>
      <c r="M37" s="588">
        <f>3.6/1000</f>
        <v>3.5999999999999999E-3</v>
      </c>
      <c r="N37" s="582" t="s">
        <v>7751</v>
      </c>
      <c r="O37" s="588">
        <f>7.2/1000</f>
        <v>7.1999999999999998E-3</v>
      </c>
      <c r="P37" s="582" t="s">
        <v>7751</v>
      </c>
    </row>
    <row r="38" spans="1:16">
      <c r="A38" s="599"/>
      <c r="B38" s="599"/>
      <c r="C38" s="600"/>
      <c r="D38" s="600"/>
      <c r="E38" s="601"/>
      <c r="F38" s="601"/>
      <c r="G38" s="599"/>
      <c r="H38" s="601"/>
      <c r="I38" s="601"/>
      <c r="J38" s="599"/>
      <c r="K38" s="602"/>
      <c r="L38" s="601"/>
      <c r="M38" s="601"/>
      <c r="N38" s="599"/>
      <c r="O38" s="599"/>
      <c r="P38" s="599"/>
    </row>
    <row r="39" spans="1:16" hidden="1">
      <c r="E39" s="563"/>
      <c r="F39" s="563"/>
      <c r="H39" s="563"/>
      <c r="I39" s="563"/>
      <c r="K39" s="570"/>
      <c r="L39" s="563"/>
      <c r="M39" s="563"/>
    </row>
    <row r="40" spans="1:16" ht="13.8" thickBot="1">
      <c r="A40" s="114" t="s">
        <v>135</v>
      </c>
      <c r="B40" s="115" t="s">
        <v>133</v>
      </c>
      <c r="C40" s="117" t="s">
        <v>91</v>
      </c>
      <c r="D40" s="117" t="s">
        <v>91</v>
      </c>
      <c r="E40" s="560">
        <v>3.6</v>
      </c>
      <c r="F40" s="560">
        <v>3.6</v>
      </c>
      <c r="G40" s="115" t="s">
        <v>131</v>
      </c>
      <c r="H40" s="560">
        <v>3.6</v>
      </c>
      <c r="I40" s="560">
        <v>3.6</v>
      </c>
      <c r="J40" s="115" t="s">
        <v>131</v>
      </c>
      <c r="K40" s="568">
        <v>1</v>
      </c>
      <c r="L40" s="588">
        <f>O40*1000</f>
        <v>579</v>
      </c>
      <c r="M40" s="561" t="s">
        <v>91</v>
      </c>
      <c r="N40" s="115" t="s">
        <v>134</v>
      </c>
      <c r="O40" s="588">
        <v>0.57899999999999996</v>
      </c>
      <c r="P40" s="116" t="s">
        <v>132</v>
      </c>
    </row>
    <row r="41" spans="1:16" ht="12.6" hidden="1" thickBot="1"/>
    <row r="42" spans="1:16" hidden="1">
      <c r="C42" s="120"/>
      <c r="O42" s="581"/>
    </row>
    <row r="43" spans="1:16" hidden="1">
      <c r="E43" s="94" t="s">
        <v>3806</v>
      </c>
      <c r="F43" s="94" t="s">
        <v>2143</v>
      </c>
      <c r="G43" s="94">
        <v>1</v>
      </c>
      <c r="H43" s="94" t="s">
        <v>279</v>
      </c>
      <c r="I43" s="94">
        <v>8.3254117259754984E-2</v>
      </c>
    </row>
    <row r="44" spans="1:16" hidden="1"/>
    <row r="45" spans="1:16" hidden="1"/>
    <row r="46" spans="1:16" hidden="1"/>
    <row r="47" spans="1:16" hidden="1"/>
    <row r="48" spans="1:16" hidden="1"/>
    <row r="49" spans="3:3">
      <c r="C49" s="94" t="s">
        <v>7746</v>
      </c>
    </row>
  </sheetData>
  <mergeCells count="7">
    <mergeCell ref="M31:N31"/>
    <mergeCell ref="O31:P31"/>
    <mergeCell ref="A1:B1"/>
    <mergeCell ref="C1:D1"/>
    <mergeCell ref="E1:G1"/>
    <mergeCell ref="H1:J1"/>
    <mergeCell ref="L1:P1"/>
  </mergeCells>
  <phoneticPr fontId="51"/>
  <printOptions horizontalCentered="1" verticalCentered="1"/>
  <pageMargins left="0.70866141732283472" right="0.70866141732283472" top="0.74803149606299213" bottom="0.74803149606299213" header="0.31496062992125984" footer="0.31496062992125984"/>
  <pageSetup paperSize="9" scale="54" orientation="landscape" r:id="rId1"/>
  <headerFooter scaleWithDoc="0">
    <oddHeader xml:space="preserve">&amp;R&amp;A </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14999847407452621"/>
  </sheetPr>
  <dimension ref="A1:F302"/>
  <sheetViews>
    <sheetView workbookViewId="0"/>
  </sheetViews>
  <sheetFormatPr defaultRowHeight="13.8"/>
  <cols>
    <col min="1" max="1" width="14.59765625" style="208" customWidth="1"/>
    <col min="2" max="2" width="53.09765625" style="174" customWidth="1"/>
    <col min="3" max="3" width="7.59765625" style="174" customWidth="1"/>
    <col min="4" max="4" width="9.3984375" style="174" customWidth="1"/>
    <col min="5" max="5" width="7.59765625" style="174" customWidth="1"/>
    <col min="6" max="6" width="9.09765625" style="174" bestFit="1" customWidth="1"/>
    <col min="7" max="236" width="9" style="174"/>
    <col min="237" max="237" width="14.59765625" style="174" customWidth="1"/>
    <col min="238" max="238" width="53.09765625" style="174" customWidth="1"/>
    <col min="239" max="239" width="7.59765625" style="174" customWidth="1"/>
    <col min="240" max="240" width="9.3984375" style="174" customWidth="1"/>
    <col min="241" max="241" width="7.59765625" style="174" customWidth="1"/>
    <col min="242" max="254" width="9.09765625" style="174" bestFit="1" customWidth="1"/>
    <col min="255" max="255" width="9.59765625" style="174" bestFit="1" customWidth="1"/>
    <col min="256" max="257" width="9.09765625" style="174" bestFit="1" customWidth="1"/>
    <col min="258" max="258" width="9.69921875" style="174" bestFit="1" customWidth="1"/>
    <col min="259" max="261" width="9.09765625" style="174" bestFit="1" customWidth="1"/>
    <col min="262" max="492" width="9" style="174"/>
    <col min="493" max="493" width="14.59765625" style="174" customWidth="1"/>
    <col min="494" max="494" width="53.09765625" style="174" customWidth="1"/>
    <col min="495" max="495" width="7.59765625" style="174" customWidth="1"/>
    <col min="496" max="496" width="9.3984375" style="174" customWidth="1"/>
    <col min="497" max="497" width="7.59765625" style="174" customWidth="1"/>
    <col min="498" max="510" width="9.09765625" style="174" bestFit="1" customWidth="1"/>
    <col min="511" max="511" width="9.59765625" style="174" bestFit="1" customWidth="1"/>
    <col min="512" max="513" width="9.09765625" style="174" bestFit="1" customWidth="1"/>
    <col min="514" max="514" width="9.69921875" style="174" bestFit="1" customWidth="1"/>
    <col min="515" max="517" width="9.09765625" style="174" bestFit="1" customWidth="1"/>
    <col min="518" max="748" width="9" style="174"/>
    <col min="749" max="749" width="14.59765625" style="174" customWidth="1"/>
    <col min="750" max="750" width="53.09765625" style="174" customWidth="1"/>
    <col min="751" max="751" width="7.59765625" style="174" customWidth="1"/>
    <col min="752" max="752" width="9.3984375" style="174" customWidth="1"/>
    <col min="753" max="753" width="7.59765625" style="174" customWidth="1"/>
    <col min="754" max="766" width="9.09765625" style="174" bestFit="1" customWidth="1"/>
    <col min="767" max="767" width="9.59765625" style="174" bestFit="1" customWidth="1"/>
    <col min="768" max="769" width="9.09765625" style="174" bestFit="1" customWidth="1"/>
    <col min="770" max="770" width="9.69921875" style="174" bestFit="1" customWidth="1"/>
    <col min="771" max="773" width="9.09765625" style="174" bestFit="1" customWidth="1"/>
    <col min="774" max="1004" width="9" style="174"/>
    <col min="1005" max="1005" width="14.59765625" style="174" customWidth="1"/>
    <col min="1006" max="1006" width="53.09765625" style="174" customWidth="1"/>
    <col min="1007" max="1007" width="7.59765625" style="174" customWidth="1"/>
    <col min="1008" max="1008" width="9.3984375" style="174" customWidth="1"/>
    <col min="1009" max="1009" width="7.59765625" style="174" customWidth="1"/>
    <col min="1010" max="1022" width="9.09765625" style="174" bestFit="1" customWidth="1"/>
    <col min="1023" max="1023" width="9.59765625" style="174" bestFit="1" customWidth="1"/>
    <col min="1024" max="1025" width="9.09765625" style="174" bestFit="1" customWidth="1"/>
    <col min="1026" max="1026" width="9.69921875" style="174" bestFit="1" customWidth="1"/>
    <col min="1027" max="1029" width="9.09765625" style="174" bestFit="1" customWidth="1"/>
    <col min="1030" max="1260" width="9" style="174"/>
    <col min="1261" max="1261" width="14.59765625" style="174" customWidth="1"/>
    <col min="1262" max="1262" width="53.09765625" style="174" customWidth="1"/>
    <col min="1263" max="1263" width="7.59765625" style="174" customWidth="1"/>
    <col min="1264" max="1264" width="9.3984375" style="174" customWidth="1"/>
    <col min="1265" max="1265" width="7.59765625" style="174" customWidth="1"/>
    <col min="1266" max="1278" width="9.09765625" style="174" bestFit="1" customWidth="1"/>
    <col min="1279" max="1279" width="9.59765625" style="174" bestFit="1" customWidth="1"/>
    <col min="1280" max="1281" width="9.09765625" style="174" bestFit="1" customWidth="1"/>
    <col min="1282" max="1282" width="9.69921875" style="174" bestFit="1" customWidth="1"/>
    <col min="1283" max="1285" width="9.09765625" style="174" bestFit="1" customWidth="1"/>
    <col min="1286" max="1516" width="9" style="174"/>
    <col min="1517" max="1517" width="14.59765625" style="174" customWidth="1"/>
    <col min="1518" max="1518" width="53.09765625" style="174" customWidth="1"/>
    <col min="1519" max="1519" width="7.59765625" style="174" customWidth="1"/>
    <col min="1520" max="1520" width="9.3984375" style="174" customWidth="1"/>
    <col min="1521" max="1521" width="7.59765625" style="174" customWidth="1"/>
    <col min="1522" max="1534" width="9.09765625" style="174" bestFit="1" customWidth="1"/>
    <col min="1535" max="1535" width="9.59765625" style="174" bestFit="1" customWidth="1"/>
    <col min="1536" max="1537" width="9.09765625" style="174" bestFit="1" customWidth="1"/>
    <col min="1538" max="1538" width="9.69921875" style="174" bestFit="1" customWidth="1"/>
    <col min="1539" max="1541" width="9.09765625" style="174" bestFit="1" customWidth="1"/>
    <col min="1542" max="1772" width="9" style="174"/>
    <col min="1773" max="1773" width="14.59765625" style="174" customWidth="1"/>
    <col min="1774" max="1774" width="53.09765625" style="174" customWidth="1"/>
    <col min="1775" max="1775" width="7.59765625" style="174" customWidth="1"/>
    <col min="1776" max="1776" width="9.3984375" style="174" customWidth="1"/>
    <col min="1777" max="1777" width="7.59765625" style="174" customWidth="1"/>
    <col min="1778" max="1790" width="9.09765625" style="174" bestFit="1" customWidth="1"/>
    <col min="1791" max="1791" width="9.59765625" style="174" bestFit="1" customWidth="1"/>
    <col min="1792" max="1793" width="9.09765625" style="174" bestFit="1" customWidth="1"/>
    <col min="1794" max="1794" width="9.69921875" style="174" bestFit="1" customWidth="1"/>
    <col min="1795" max="1797" width="9.09765625" style="174" bestFit="1" customWidth="1"/>
    <col min="1798" max="2028" width="9" style="174"/>
    <col min="2029" max="2029" width="14.59765625" style="174" customWidth="1"/>
    <col min="2030" max="2030" width="53.09765625" style="174" customWidth="1"/>
    <col min="2031" max="2031" width="7.59765625" style="174" customWidth="1"/>
    <col min="2032" max="2032" width="9.3984375" style="174" customWidth="1"/>
    <col min="2033" max="2033" width="7.59765625" style="174" customWidth="1"/>
    <col min="2034" max="2046" width="9.09765625" style="174" bestFit="1" customWidth="1"/>
    <col min="2047" max="2047" width="9.59765625" style="174" bestFit="1" customWidth="1"/>
    <col min="2048" max="2049" width="9.09765625" style="174" bestFit="1" customWidth="1"/>
    <col min="2050" max="2050" width="9.69921875" style="174" bestFit="1" customWidth="1"/>
    <col min="2051" max="2053" width="9.09765625" style="174" bestFit="1" customWidth="1"/>
    <col min="2054" max="2284" width="9" style="174"/>
    <col min="2285" max="2285" width="14.59765625" style="174" customWidth="1"/>
    <col min="2286" max="2286" width="53.09765625" style="174" customWidth="1"/>
    <col min="2287" max="2287" width="7.59765625" style="174" customWidth="1"/>
    <col min="2288" max="2288" width="9.3984375" style="174" customWidth="1"/>
    <col min="2289" max="2289" width="7.59765625" style="174" customWidth="1"/>
    <col min="2290" max="2302" width="9.09765625" style="174" bestFit="1" customWidth="1"/>
    <col min="2303" max="2303" width="9.59765625" style="174" bestFit="1" customWidth="1"/>
    <col min="2304" max="2305" width="9.09765625" style="174" bestFit="1" customWidth="1"/>
    <col min="2306" max="2306" width="9.69921875" style="174" bestFit="1" customWidth="1"/>
    <col min="2307" max="2309" width="9.09765625" style="174" bestFit="1" customWidth="1"/>
    <col min="2310" max="2540" width="9" style="174"/>
    <col min="2541" max="2541" width="14.59765625" style="174" customWidth="1"/>
    <col min="2542" max="2542" width="53.09765625" style="174" customWidth="1"/>
    <col min="2543" max="2543" width="7.59765625" style="174" customWidth="1"/>
    <col min="2544" max="2544" width="9.3984375" style="174" customWidth="1"/>
    <col min="2545" max="2545" width="7.59765625" style="174" customWidth="1"/>
    <col min="2546" max="2558" width="9.09765625" style="174" bestFit="1" customWidth="1"/>
    <col min="2559" max="2559" width="9.59765625" style="174" bestFit="1" customWidth="1"/>
    <col min="2560" max="2561" width="9.09765625" style="174" bestFit="1" customWidth="1"/>
    <col min="2562" max="2562" width="9.69921875" style="174" bestFit="1" customWidth="1"/>
    <col min="2563" max="2565" width="9.09765625" style="174" bestFit="1" customWidth="1"/>
    <col min="2566" max="2796" width="9" style="174"/>
    <col min="2797" max="2797" width="14.59765625" style="174" customWidth="1"/>
    <col min="2798" max="2798" width="53.09765625" style="174" customWidth="1"/>
    <col min="2799" max="2799" width="7.59765625" style="174" customWidth="1"/>
    <col min="2800" max="2800" width="9.3984375" style="174" customWidth="1"/>
    <col min="2801" max="2801" width="7.59765625" style="174" customWidth="1"/>
    <col min="2802" max="2814" width="9.09765625" style="174" bestFit="1" customWidth="1"/>
    <col min="2815" max="2815" width="9.59765625" style="174" bestFit="1" customWidth="1"/>
    <col min="2816" max="2817" width="9.09765625" style="174" bestFit="1" customWidth="1"/>
    <col min="2818" max="2818" width="9.69921875" style="174" bestFit="1" customWidth="1"/>
    <col min="2819" max="2821" width="9.09765625" style="174" bestFit="1" customWidth="1"/>
    <col min="2822" max="3052" width="9" style="174"/>
    <col min="3053" max="3053" width="14.59765625" style="174" customWidth="1"/>
    <col min="3054" max="3054" width="53.09765625" style="174" customWidth="1"/>
    <col min="3055" max="3055" width="7.59765625" style="174" customWidth="1"/>
    <col min="3056" max="3056" width="9.3984375" style="174" customWidth="1"/>
    <col min="3057" max="3057" width="7.59765625" style="174" customWidth="1"/>
    <col min="3058" max="3070" width="9.09765625" style="174" bestFit="1" customWidth="1"/>
    <col min="3071" max="3071" width="9.59765625" style="174" bestFit="1" customWidth="1"/>
    <col min="3072" max="3073" width="9.09765625" style="174" bestFit="1" customWidth="1"/>
    <col min="3074" max="3074" width="9.69921875" style="174" bestFit="1" customWidth="1"/>
    <col min="3075" max="3077" width="9.09765625" style="174" bestFit="1" customWidth="1"/>
    <col min="3078" max="3308" width="9" style="174"/>
    <col min="3309" max="3309" width="14.59765625" style="174" customWidth="1"/>
    <col min="3310" max="3310" width="53.09765625" style="174" customWidth="1"/>
    <col min="3311" max="3311" width="7.59765625" style="174" customWidth="1"/>
    <col min="3312" max="3312" width="9.3984375" style="174" customWidth="1"/>
    <col min="3313" max="3313" width="7.59765625" style="174" customWidth="1"/>
    <col min="3314" max="3326" width="9.09765625" style="174" bestFit="1" customWidth="1"/>
    <col min="3327" max="3327" width="9.59765625" style="174" bestFit="1" customWidth="1"/>
    <col min="3328" max="3329" width="9.09765625" style="174" bestFit="1" customWidth="1"/>
    <col min="3330" max="3330" width="9.69921875" style="174" bestFit="1" customWidth="1"/>
    <col min="3331" max="3333" width="9.09765625" style="174" bestFit="1" customWidth="1"/>
    <col min="3334" max="3564" width="9" style="174"/>
    <col min="3565" max="3565" width="14.59765625" style="174" customWidth="1"/>
    <col min="3566" max="3566" width="53.09765625" style="174" customWidth="1"/>
    <col min="3567" max="3567" width="7.59765625" style="174" customWidth="1"/>
    <col min="3568" max="3568" width="9.3984375" style="174" customWidth="1"/>
    <col min="3569" max="3569" width="7.59765625" style="174" customWidth="1"/>
    <col min="3570" max="3582" width="9.09765625" style="174" bestFit="1" customWidth="1"/>
    <col min="3583" max="3583" width="9.59765625" style="174" bestFit="1" customWidth="1"/>
    <col min="3584" max="3585" width="9.09765625" style="174" bestFit="1" customWidth="1"/>
    <col min="3586" max="3586" width="9.69921875" style="174" bestFit="1" customWidth="1"/>
    <col min="3587" max="3589" width="9.09765625" style="174" bestFit="1" customWidth="1"/>
    <col min="3590" max="3820" width="9" style="174"/>
    <col min="3821" max="3821" width="14.59765625" style="174" customWidth="1"/>
    <col min="3822" max="3822" width="53.09765625" style="174" customWidth="1"/>
    <col min="3823" max="3823" width="7.59765625" style="174" customWidth="1"/>
    <col min="3824" max="3824" width="9.3984375" style="174" customWidth="1"/>
    <col min="3825" max="3825" width="7.59765625" style="174" customWidth="1"/>
    <col min="3826" max="3838" width="9.09765625" style="174" bestFit="1" customWidth="1"/>
    <col min="3839" max="3839" width="9.59765625" style="174" bestFit="1" customWidth="1"/>
    <col min="3840" max="3841" width="9.09765625" style="174" bestFit="1" customWidth="1"/>
    <col min="3842" max="3842" width="9.69921875" style="174" bestFit="1" customWidth="1"/>
    <col min="3843" max="3845" width="9.09765625" style="174" bestFit="1" customWidth="1"/>
    <col min="3846" max="4076" width="9" style="174"/>
    <col min="4077" max="4077" width="14.59765625" style="174" customWidth="1"/>
    <col min="4078" max="4078" width="53.09765625" style="174" customWidth="1"/>
    <col min="4079" max="4079" width="7.59765625" style="174" customWidth="1"/>
    <col min="4080" max="4080" width="9.3984375" style="174" customWidth="1"/>
    <col min="4081" max="4081" width="7.59765625" style="174" customWidth="1"/>
    <col min="4082" max="4094" width="9.09765625" style="174" bestFit="1" customWidth="1"/>
    <col min="4095" max="4095" width="9.59765625" style="174" bestFit="1" customWidth="1"/>
    <col min="4096" max="4097" width="9.09765625" style="174" bestFit="1" customWidth="1"/>
    <col min="4098" max="4098" width="9.69921875" style="174" bestFit="1" customWidth="1"/>
    <col min="4099" max="4101" width="9.09765625" style="174" bestFit="1" customWidth="1"/>
    <col min="4102" max="4332" width="9" style="174"/>
    <col min="4333" max="4333" width="14.59765625" style="174" customWidth="1"/>
    <col min="4334" max="4334" width="53.09765625" style="174" customWidth="1"/>
    <col min="4335" max="4335" width="7.59765625" style="174" customWidth="1"/>
    <col min="4336" max="4336" width="9.3984375" style="174" customWidth="1"/>
    <col min="4337" max="4337" width="7.59765625" style="174" customWidth="1"/>
    <col min="4338" max="4350" width="9.09765625" style="174" bestFit="1" customWidth="1"/>
    <col min="4351" max="4351" width="9.59765625" style="174" bestFit="1" customWidth="1"/>
    <col min="4352" max="4353" width="9.09765625" style="174" bestFit="1" customWidth="1"/>
    <col min="4354" max="4354" width="9.69921875" style="174" bestFit="1" customWidth="1"/>
    <col min="4355" max="4357" width="9.09765625" style="174" bestFit="1" customWidth="1"/>
    <col min="4358" max="4588" width="9" style="174"/>
    <col min="4589" max="4589" width="14.59765625" style="174" customWidth="1"/>
    <col min="4590" max="4590" width="53.09765625" style="174" customWidth="1"/>
    <col min="4591" max="4591" width="7.59765625" style="174" customWidth="1"/>
    <col min="4592" max="4592" width="9.3984375" style="174" customWidth="1"/>
    <col min="4593" max="4593" width="7.59765625" style="174" customWidth="1"/>
    <col min="4594" max="4606" width="9.09765625" style="174" bestFit="1" customWidth="1"/>
    <col min="4607" max="4607" width="9.59765625" style="174" bestFit="1" customWidth="1"/>
    <col min="4608" max="4609" width="9.09765625" style="174" bestFit="1" customWidth="1"/>
    <col min="4610" max="4610" width="9.69921875" style="174" bestFit="1" customWidth="1"/>
    <col min="4611" max="4613" width="9.09765625" style="174" bestFit="1" customWidth="1"/>
    <col min="4614" max="4844" width="9" style="174"/>
    <col min="4845" max="4845" width="14.59765625" style="174" customWidth="1"/>
    <col min="4846" max="4846" width="53.09765625" style="174" customWidth="1"/>
    <col min="4847" max="4847" width="7.59765625" style="174" customWidth="1"/>
    <col min="4848" max="4848" width="9.3984375" style="174" customWidth="1"/>
    <col min="4849" max="4849" width="7.59765625" style="174" customWidth="1"/>
    <col min="4850" max="4862" width="9.09765625" style="174" bestFit="1" customWidth="1"/>
    <col min="4863" max="4863" width="9.59765625" style="174" bestFit="1" customWidth="1"/>
    <col min="4864" max="4865" width="9.09765625" style="174" bestFit="1" customWidth="1"/>
    <col min="4866" max="4866" width="9.69921875" style="174" bestFit="1" customWidth="1"/>
    <col min="4867" max="4869" width="9.09765625" style="174" bestFit="1" customWidth="1"/>
    <col min="4870" max="5100" width="9" style="174"/>
    <col min="5101" max="5101" width="14.59765625" style="174" customWidth="1"/>
    <col min="5102" max="5102" width="53.09765625" style="174" customWidth="1"/>
    <col min="5103" max="5103" width="7.59765625" style="174" customWidth="1"/>
    <col min="5104" max="5104" width="9.3984375" style="174" customWidth="1"/>
    <col min="5105" max="5105" width="7.59765625" style="174" customWidth="1"/>
    <col min="5106" max="5118" width="9.09765625" style="174" bestFit="1" customWidth="1"/>
    <col min="5119" max="5119" width="9.59765625" style="174" bestFit="1" customWidth="1"/>
    <col min="5120" max="5121" width="9.09765625" style="174" bestFit="1" customWidth="1"/>
    <col min="5122" max="5122" width="9.69921875" style="174" bestFit="1" customWidth="1"/>
    <col min="5123" max="5125" width="9.09765625" style="174" bestFit="1" customWidth="1"/>
    <col min="5126" max="5356" width="9" style="174"/>
    <col min="5357" max="5357" width="14.59765625" style="174" customWidth="1"/>
    <col min="5358" max="5358" width="53.09765625" style="174" customWidth="1"/>
    <col min="5359" max="5359" width="7.59765625" style="174" customWidth="1"/>
    <col min="5360" max="5360" width="9.3984375" style="174" customWidth="1"/>
    <col min="5361" max="5361" width="7.59765625" style="174" customWidth="1"/>
    <col min="5362" max="5374" width="9.09765625" style="174" bestFit="1" customWidth="1"/>
    <col min="5375" max="5375" width="9.59765625" style="174" bestFit="1" customWidth="1"/>
    <col min="5376" max="5377" width="9.09765625" style="174" bestFit="1" customWidth="1"/>
    <col min="5378" max="5378" width="9.69921875" style="174" bestFit="1" customWidth="1"/>
    <col min="5379" max="5381" width="9.09765625" style="174" bestFit="1" customWidth="1"/>
    <col min="5382" max="5612" width="9" style="174"/>
    <col min="5613" max="5613" width="14.59765625" style="174" customWidth="1"/>
    <col min="5614" max="5614" width="53.09765625" style="174" customWidth="1"/>
    <col min="5615" max="5615" width="7.59765625" style="174" customWidth="1"/>
    <col min="5616" max="5616" width="9.3984375" style="174" customWidth="1"/>
    <col min="5617" max="5617" width="7.59765625" style="174" customWidth="1"/>
    <col min="5618" max="5630" width="9.09765625" style="174" bestFit="1" customWidth="1"/>
    <col min="5631" max="5631" width="9.59765625" style="174" bestFit="1" customWidth="1"/>
    <col min="5632" max="5633" width="9.09765625" style="174" bestFit="1" customWidth="1"/>
    <col min="5634" max="5634" width="9.69921875" style="174" bestFit="1" customWidth="1"/>
    <col min="5635" max="5637" width="9.09765625" style="174" bestFit="1" customWidth="1"/>
    <col min="5638" max="5868" width="9" style="174"/>
    <col min="5869" max="5869" width="14.59765625" style="174" customWidth="1"/>
    <col min="5870" max="5870" width="53.09765625" style="174" customWidth="1"/>
    <col min="5871" max="5871" width="7.59765625" style="174" customWidth="1"/>
    <col min="5872" max="5872" width="9.3984375" style="174" customWidth="1"/>
    <col min="5873" max="5873" width="7.59765625" style="174" customWidth="1"/>
    <col min="5874" max="5886" width="9.09765625" style="174" bestFit="1" customWidth="1"/>
    <col min="5887" max="5887" width="9.59765625" style="174" bestFit="1" customWidth="1"/>
    <col min="5888" max="5889" width="9.09765625" style="174" bestFit="1" customWidth="1"/>
    <col min="5890" max="5890" width="9.69921875" style="174" bestFit="1" customWidth="1"/>
    <col min="5891" max="5893" width="9.09765625" style="174" bestFit="1" customWidth="1"/>
    <col min="5894" max="6124" width="9" style="174"/>
    <col min="6125" max="6125" width="14.59765625" style="174" customWidth="1"/>
    <col min="6126" max="6126" width="53.09765625" style="174" customWidth="1"/>
    <col min="6127" max="6127" width="7.59765625" style="174" customWidth="1"/>
    <col min="6128" max="6128" width="9.3984375" style="174" customWidth="1"/>
    <col min="6129" max="6129" width="7.59765625" style="174" customWidth="1"/>
    <col min="6130" max="6142" width="9.09765625" style="174" bestFit="1" customWidth="1"/>
    <col min="6143" max="6143" width="9.59765625" style="174" bestFit="1" customWidth="1"/>
    <col min="6144" max="6145" width="9.09765625" style="174" bestFit="1" customWidth="1"/>
    <col min="6146" max="6146" width="9.69921875" style="174" bestFit="1" customWidth="1"/>
    <col min="6147" max="6149" width="9.09765625" style="174" bestFit="1" customWidth="1"/>
    <col min="6150" max="6380" width="9" style="174"/>
    <col min="6381" max="6381" width="14.59765625" style="174" customWidth="1"/>
    <col min="6382" max="6382" width="53.09765625" style="174" customWidth="1"/>
    <col min="6383" max="6383" width="7.59765625" style="174" customWidth="1"/>
    <col min="6384" max="6384" width="9.3984375" style="174" customWidth="1"/>
    <col min="6385" max="6385" width="7.59765625" style="174" customWidth="1"/>
    <col min="6386" max="6398" width="9.09765625" style="174" bestFit="1" customWidth="1"/>
    <col min="6399" max="6399" width="9.59765625" style="174" bestFit="1" customWidth="1"/>
    <col min="6400" max="6401" width="9.09765625" style="174" bestFit="1" customWidth="1"/>
    <col min="6402" max="6402" width="9.69921875" style="174" bestFit="1" customWidth="1"/>
    <col min="6403" max="6405" width="9.09765625" style="174" bestFit="1" customWidth="1"/>
    <col min="6406" max="6636" width="9" style="174"/>
    <col min="6637" max="6637" width="14.59765625" style="174" customWidth="1"/>
    <col min="6638" max="6638" width="53.09765625" style="174" customWidth="1"/>
    <col min="6639" max="6639" width="7.59765625" style="174" customWidth="1"/>
    <col min="6640" max="6640" width="9.3984375" style="174" customWidth="1"/>
    <col min="6641" max="6641" width="7.59765625" style="174" customWidth="1"/>
    <col min="6642" max="6654" width="9.09765625" style="174" bestFit="1" customWidth="1"/>
    <col min="6655" max="6655" width="9.59765625" style="174" bestFit="1" customWidth="1"/>
    <col min="6656" max="6657" width="9.09765625" style="174" bestFit="1" customWidth="1"/>
    <col min="6658" max="6658" width="9.69921875" style="174" bestFit="1" customWidth="1"/>
    <col min="6659" max="6661" width="9.09765625" style="174" bestFit="1" customWidth="1"/>
    <col min="6662" max="6892" width="9" style="174"/>
    <col min="6893" max="6893" width="14.59765625" style="174" customWidth="1"/>
    <col min="6894" max="6894" width="53.09765625" style="174" customWidth="1"/>
    <col min="6895" max="6895" width="7.59765625" style="174" customWidth="1"/>
    <col min="6896" max="6896" width="9.3984375" style="174" customWidth="1"/>
    <col min="6897" max="6897" width="7.59765625" style="174" customWidth="1"/>
    <col min="6898" max="6910" width="9.09765625" style="174" bestFit="1" customWidth="1"/>
    <col min="6911" max="6911" width="9.59765625" style="174" bestFit="1" customWidth="1"/>
    <col min="6912" max="6913" width="9.09765625" style="174" bestFit="1" customWidth="1"/>
    <col min="6914" max="6914" width="9.69921875" style="174" bestFit="1" customWidth="1"/>
    <col min="6915" max="6917" width="9.09765625" style="174" bestFit="1" customWidth="1"/>
    <col min="6918" max="7148" width="9" style="174"/>
    <col min="7149" max="7149" width="14.59765625" style="174" customWidth="1"/>
    <col min="7150" max="7150" width="53.09765625" style="174" customWidth="1"/>
    <col min="7151" max="7151" width="7.59765625" style="174" customWidth="1"/>
    <col min="7152" max="7152" width="9.3984375" style="174" customWidth="1"/>
    <col min="7153" max="7153" width="7.59765625" style="174" customWidth="1"/>
    <col min="7154" max="7166" width="9.09765625" style="174" bestFit="1" customWidth="1"/>
    <col min="7167" max="7167" width="9.59765625" style="174" bestFit="1" customWidth="1"/>
    <col min="7168" max="7169" width="9.09765625" style="174" bestFit="1" customWidth="1"/>
    <col min="7170" max="7170" width="9.69921875" style="174" bestFit="1" customWidth="1"/>
    <col min="7171" max="7173" width="9.09765625" style="174" bestFit="1" customWidth="1"/>
    <col min="7174" max="7404" width="9" style="174"/>
    <col min="7405" max="7405" width="14.59765625" style="174" customWidth="1"/>
    <col min="7406" max="7406" width="53.09765625" style="174" customWidth="1"/>
    <col min="7407" max="7407" width="7.59765625" style="174" customWidth="1"/>
    <col min="7408" max="7408" width="9.3984375" style="174" customWidth="1"/>
    <col min="7409" max="7409" width="7.59765625" style="174" customWidth="1"/>
    <col min="7410" max="7422" width="9.09765625" style="174" bestFit="1" customWidth="1"/>
    <col min="7423" max="7423" width="9.59765625" style="174" bestFit="1" customWidth="1"/>
    <col min="7424" max="7425" width="9.09765625" style="174" bestFit="1" customWidth="1"/>
    <col min="7426" max="7426" width="9.69921875" style="174" bestFit="1" customWidth="1"/>
    <col min="7427" max="7429" width="9.09765625" style="174" bestFit="1" customWidth="1"/>
    <col min="7430" max="7660" width="9" style="174"/>
    <col min="7661" max="7661" width="14.59765625" style="174" customWidth="1"/>
    <col min="7662" max="7662" width="53.09765625" style="174" customWidth="1"/>
    <col min="7663" max="7663" width="7.59765625" style="174" customWidth="1"/>
    <col min="7664" max="7664" width="9.3984375" style="174" customWidth="1"/>
    <col min="7665" max="7665" width="7.59765625" style="174" customWidth="1"/>
    <col min="7666" max="7678" width="9.09765625" style="174" bestFit="1" customWidth="1"/>
    <col min="7679" max="7679" width="9.59765625" style="174" bestFit="1" customWidth="1"/>
    <col min="7680" max="7681" width="9.09765625" style="174" bestFit="1" customWidth="1"/>
    <col min="7682" max="7682" width="9.69921875" style="174" bestFit="1" customWidth="1"/>
    <col min="7683" max="7685" width="9.09765625" style="174" bestFit="1" customWidth="1"/>
    <col min="7686" max="7916" width="9" style="174"/>
    <col min="7917" max="7917" width="14.59765625" style="174" customWidth="1"/>
    <col min="7918" max="7918" width="53.09765625" style="174" customWidth="1"/>
    <col min="7919" max="7919" width="7.59765625" style="174" customWidth="1"/>
    <col min="7920" max="7920" width="9.3984375" style="174" customWidth="1"/>
    <col min="7921" max="7921" width="7.59765625" style="174" customWidth="1"/>
    <col min="7922" max="7934" width="9.09765625" style="174" bestFit="1" customWidth="1"/>
    <col min="7935" max="7935" width="9.59765625" style="174" bestFit="1" customWidth="1"/>
    <col min="7936" max="7937" width="9.09765625" style="174" bestFit="1" customWidth="1"/>
    <col min="7938" max="7938" width="9.69921875" style="174" bestFit="1" customWidth="1"/>
    <col min="7939" max="7941" width="9.09765625" style="174" bestFit="1" customWidth="1"/>
    <col min="7942" max="8172" width="9" style="174"/>
    <col min="8173" max="8173" width="14.59765625" style="174" customWidth="1"/>
    <col min="8174" max="8174" width="53.09765625" style="174" customWidth="1"/>
    <col min="8175" max="8175" width="7.59765625" style="174" customWidth="1"/>
    <col min="8176" max="8176" width="9.3984375" style="174" customWidth="1"/>
    <col min="8177" max="8177" width="7.59765625" style="174" customWidth="1"/>
    <col min="8178" max="8190" width="9.09765625" style="174" bestFit="1" customWidth="1"/>
    <col min="8191" max="8191" width="9.59765625" style="174" bestFit="1" customWidth="1"/>
    <col min="8192" max="8193" width="9.09765625" style="174" bestFit="1" customWidth="1"/>
    <col min="8194" max="8194" width="9.69921875" style="174" bestFit="1" customWidth="1"/>
    <col min="8195" max="8197" width="9.09765625" style="174" bestFit="1" customWidth="1"/>
    <col min="8198" max="8428" width="9" style="174"/>
    <col min="8429" max="8429" width="14.59765625" style="174" customWidth="1"/>
    <col min="8430" max="8430" width="53.09765625" style="174" customWidth="1"/>
    <col min="8431" max="8431" width="7.59765625" style="174" customWidth="1"/>
    <col min="8432" max="8432" width="9.3984375" style="174" customWidth="1"/>
    <col min="8433" max="8433" width="7.59765625" style="174" customWidth="1"/>
    <col min="8434" max="8446" width="9.09765625" style="174" bestFit="1" customWidth="1"/>
    <col min="8447" max="8447" width="9.59765625" style="174" bestFit="1" customWidth="1"/>
    <col min="8448" max="8449" width="9.09765625" style="174" bestFit="1" customWidth="1"/>
    <col min="8450" max="8450" width="9.69921875" style="174" bestFit="1" customWidth="1"/>
    <col min="8451" max="8453" width="9.09765625" style="174" bestFit="1" customWidth="1"/>
    <col min="8454" max="8684" width="9" style="174"/>
    <col min="8685" max="8685" width="14.59765625" style="174" customWidth="1"/>
    <col min="8686" max="8686" width="53.09765625" style="174" customWidth="1"/>
    <col min="8687" max="8687" width="7.59765625" style="174" customWidth="1"/>
    <col min="8688" max="8688" width="9.3984375" style="174" customWidth="1"/>
    <col min="8689" max="8689" width="7.59765625" style="174" customWidth="1"/>
    <col min="8690" max="8702" width="9.09765625" style="174" bestFit="1" customWidth="1"/>
    <col min="8703" max="8703" width="9.59765625" style="174" bestFit="1" customWidth="1"/>
    <col min="8704" max="8705" width="9.09765625" style="174" bestFit="1" customWidth="1"/>
    <col min="8706" max="8706" width="9.69921875" style="174" bestFit="1" customWidth="1"/>
    <col min="8707" max="8709" width="9.09765625" style="174" bestFit="1" customWidth="1"/>
    <col min="8710" max="8940" width="9" style="174"/>
    <col min="8941" max="8941" width="14.59765625" style="174" customWidth="1"/>
    <col min="8942" max="8942" width="53.09765625" style="174" customWidth="1"/>
    <col min="8943" max="8943" width="7.59765625" style="174" customWidth="1"/>
    <col min="8944" max="8944" width="9.3984375" style="174" customWidth="1"/>
    <col min="8945" max="8945" width="7.59765625" style="174" customWidth="1"/>
    <col min="8946" max="8958" width="9.09765625" style="174" bestFit="1" customWidth="1"/>
    <col min="8959" max="8959" width="9.59765625" style="174" bestFit="1" customWidth="1"/>
    <col min="8960" max="8961" width="9.09765625" style="174" bestFit="1" customWidth="1"/>
    <col min="8962" max="8962" width="9.69921875" style="174" bestFit="1" customWidth="1"/>
    <col min="8963" max="8965" width="9.09765625" style="174" bestFit="1" customWidth="1"/>
    <col min="8966" max="9196" width="9" style="174"/>
    <col min="9197" max="9197" width="14.59765625" style="174" customWidth="1"/>
    <col min="9198" max="9198" width="53.09765625" style="174" customWidth="1"/>
    <col min="9199" max="9199" width="7.59765625" style="174" customWidth="1"/>
    <col min="9200" max="9200" width="9.3984375" style="174" customWidth="1"/>
    <col min="9201" max="9201" width="7.59765625" style="174" customWidth="1"/>
    <col min="9202" max="9214" width="9.09765625" style="174" bestFit="1" customWidth="1"/>
    <col min="9215" max="9215" width="9.59765625" style="174" bestFit="1" customWidth="1"/>
    <col min="9216" max="9217" width="9.09765625" style="174" bestFit="1" customWidth="1"/>
    <col min="9218" max="9218" width="9.69921875" style="174" bestFit="1" customWidth="1"/>
    <col min="9219" max="9221" width="9.09765625" style="174" bestFit="1" customWidth="1"/>
    <col min="9222" max="9452" width="9" style="174"/>
    <col min="9453" max="9453" width="14.59765625" style="174" customWidth="1"/>
    <col min="9454" max="9454" width="53.09765625" style="174" customWidth="1"/>
    <col min="9455" max="9455" width="7.59765625" style="174" customWidth="1"/>
    <col min="9456" max="9456" width="9.3984375" style="174" customWidth="1"/>
    <col min="9457" max="9457" width="7.59765625" style="174" customWidth="1"/>
    <col min="9458" max="9470" width="9.09765625" style="174" bestFit="1" customWidth="1"/>
    <col min="9471" max="9471" width="9.59765625" style="174" bestFit="1" customWidth="1"/>
    <col min="9472" max="9473" width="9.09765625" style="174" bestFit="1" customWidth="1"/>
    <col min="9474" max="9474" width="9.69921875" style="174" bestFit="1" customWidth="1"/>
    <col min="9475" max="9477" width="9.09765625" style="174" bestFit="1" customWidth="1"/>
    <col min="9478" max="9708" width="9" style="174"/>
    <col min="9709" max="9709" width="14.59765625" style="174" customWidth="1"/>
    <col min="9710" max="9710" width="53.09765625" style="174" customWidth="1"/>
    <col min="9711" max="9711" width="7.59765625" style="174" customWidth="1"/>
    <col min="9712" max="9712" width="9.3984375" style="174" customWidth="1"/>
    <col min="9713" max="9713" width="7.59765625" style="174" customWidth="1"/>
    <col min="9714" max="9726" width="9.09765625" style="174" bestFit="1" customWidth="1"/>
    <col min="9727" max="9727" width="9.59765625" style="174" bestFit="1" customWidth="1"/>
    <col min="9728" max="9729" width="9.09765625" style="174" bestFit="1" customWidth="1"/>
    <col min="9730" max="9730" width="9.69921875" style="174" bestFit="1" customWidth="1"/>
    <col min="9731" max="9733" width="9.09765625" style="174" bestFit="1" customWidth="1"/>
    <col min="9734" max="9964" width="9" style="174"/>
    <col min="9965" max="9965" width="14.59765625" style="174" customWidth="1"/>
    <col min="9966" max="9966" width="53.09765625" style="174" customWidth="1"/>
    <col min="9967" max="9967" width="7.59765625" style="174" customWidth="1"/>
    <col min="9968" max="9968" width="9.3984375" style="174" customWidth="1"/>
    <col min="9969" max="9969" width="7.59765625" style="174" customWidth="1"/>
    <col min="9970" max="9982" width="9.09765625" style="174" bestFit="1" customWidth="1"/>
    <col min="9983" max="9983" width="9.59765625" style="174" bestFit="1" customWidth="1"/>
    <col min="9984" max="9985" width="9.09765625" style="174" bestFit="1" customWidth="1"/>
    <col min="9986" max="9986" width="9.69921875" style="174" bestFit="1" customWidth="1"/>
    <col min="9987" max="9989" width="9.09765625" style="174" bestFit="1" customWidth="1"/>
    <col min="9990" max="10220" width="9" style="174"/>
    <col min="10221" max="10221" width="14.59765625" style="174" customWidth="1"/>
    <col min="10222" max="10222" width="53.09765625" style="174" customWidth="1"/>
    <col min="10223" max="10223" width="7.59765625" style="174" customWidth="1"/>
    <col min="10224" max="10224" width="9.3984375" style="174" customWidth="1"/>
    <col min="10225" max="10225" width="7.59765625" style="174" customWidth="1"/>
    <col min="10226" max="10238" width="9.09765625" style="174" bestFit="1" customWidth="1"/>
    <col min="10239" max="10239" width="9.59765625" style="174" bestFit="1" customWidth="1"/>
    <col min="10240" max="10241" width="9.09765625" style="174" bestFit="1" customWidth="1"/>
    <col min="10242" max="10242" width="9.69921875" style="174" bestFit="1" customWidth="1"/>
    <col min="10243" max="10245" width="9.09765625" style="174" bestFit="1" customWidth="1"/>
    <col min="10246" max="10476" width="9" style="174"/>
    <col min="10477" max="10477" width="14.59765625" style="174" customWidth="1"/>
    <col min="10478" max="10478" width="53.09765625" style="174" customWidth="1"/>
    <col min="10479" max="10479" width="7.59765625" style="174" customWidth="1"/>
    <col min="10480" max="10480" width="9.3984375" style="174" customWidth="1"/>
    <col min="10481" max="10481" width="7.59765625" style="174" customWidth="1"/>
    <col min="10482" max="10494" width="9.09765625" style="174" bestFit="1" customWidth="1"/>
    <col min="10495" max="10495" width="9.59765625" style="174" bestFit="1" customWidth="1"/>
    <col min="10496" max="10497" width="9.09765625" style="174" bestFit="1" customWidth="1"/>
    <col min="10498" max="10498" width="9.69921875" style="174" bestFit="1" customWidth="1"/>
    <col min="10499" max="10501" width="9.09765625" style="174" bestFit="1" customWidth="1"/>
    <col min="10502" max="10732" width="9" style="174"/>
    <col min="10733" max="10733" width="14.59765625" style="174" customWidth="1"/>
    <col min="10734" max="10734" width="53.09765625" style="174" customWidth="1"/>
    <col min="10735" max="10735" width="7.59765625" style="174" customWidth="1"/>
    <col min="10736" max="10736" width="9.3984375" style="174" customWidth="1"/>
    <col min="10737" max="10737" width="7.59765625" style="174" customWidth="1"/>
    <col min="10738" max="10750" width="9.09765625" style="174" bestFit="1" customWidth="1"/>
    <col min="10751" max="10751" width="9.59765625" style="174" bestFit="1" customWidth="1"/>
    <col min="10752" max="10753" width="9.09765625" style="174" bestFit="1" customWidth="1"/>
    <col min="10754" max="10754" width="9.69921875" style="174" bestFit="1" customWidth="1"/>
    <col min="10755" max="10757" width="9.09765625" style="174" bestFit="1" customWidth="1"/>
    <col min="10758" max="10988" width="9" style="174"/>
    <col min="10989" max="10989" width="14.59765625" style="174" customWidth="1"/>
    <col min="10990" max="10990" width="53.09765625" style="174" customWidth="1"/>
    <col min="10991" max="10991" width="7.59765625" style="174" customWidth="1"/>
    <col min="10992" max="10992" width="9.3984375" style="174" customWidth="1"/>
    <col min="10993" max="10993" width="7.59765625" style="174" customWidth="1"/>
    <col min="10994" max="11006" width="9.09765625" style="174" bestFit="1" customWidth="1"/>
    <col min="11007" max="11007" width="9.59765625" style="174" bestFit="1" customWidth="1"/>
    <col min="11008" max="11009" width="9.09765625" style="174" bestFit="1" customWidth="1"/>
    <col min="11010" max="11010" width="9.69921875" style="174" bestFit="1" customWidth="1"/>
    <col min="11011" max="11013" width="9.09765625" style="174" bestFit="1" customWidth="1"/>
    <col min="11014" max="11244" width="9" style="174"/>
    <col min="11245" max="11245" width="14.59765625" style="174" customWidth="1"/>
    <col min="11246" max="11246" width="53.09765625" style="174" customWidth="1"/>
    <col min="11247" max="11247" width="7.59765625" style="174" customWidth="1"/>
    <col min="11248" max="11248" width="9.3984375" style="174" customWidth="1"/>
    <col min="11249" max="11249" width="7.59765625" style="174" customWidth="1"/>
    <col min="11250" max="11262" width="9.09765625" style="174" bestFit="1" customWidth="1"/>
    <col min="11263" max="11263" width="9.59765625" style="174" bestFit="1" customWidth="1"/>
    <col min="11264" max="11265" width="9.09765625" style="174" bestFit="1" customWidth="1"/>
    <col min="11266" max="11266" width="9.69921875" style="174" bestFit="1" customWidth="1"/>
    <col min="11267" max="11269" width="9.09765625" style="174" bestFit="1" customWidth="1"/>
    <col min="11270" max="11500" width="9" style="174"/>
    <col min="11501" max="11501" width="14.59765625" style="174" customWidth="1"/>
    <col min="11502" max="11502" width="53.09765625" style="174" customWidth="1"/>
    <col min="11503" max="11503" width="7.59765625" style="174" customWidth="1"/>
    <col min="11504" max="11504" width="9.3984375" style="174" customWidth="1"/>
    <col min="11505" max="11505" width="7.59765625" style="174" customWidth="1"/>
    <col min="11506" max="11518" width="9.09765625" style="174" bestFit="1" customWidth="1"/>
    <col min="11519" max="11519" width="9.59765625" style="174" bestFit="1" customWidth="1"/>
    <col min="11520" max="11521" width="9.09765625" style="174" bestFit="1" customWidth="1"/>
    <col min="11522" max="11522" width="9.69921875" style="174" bestFit="1" customWidth="1"/>
    <col min="11523" max="11525" width="9.09765625" style="174" bestFit="1" customWidth="1"/>
    <col min="11526" max="11756" width="9" style="174"/>
    <col min="11757" max="11757" width="14.59765625" style="174" customWidth="1"/>
    <col min="11758" max="11758" width="53.09765625" style="174" customWidth="1"/>
    <col min="11759" max="11759" width="7.59765625" style="174" customWidth="1"/>
    <col min="11760" max="11760" width="9.3984375" style="174" customWidth="1"/>
    <col min="11761" max="11761" width="7.59765625" style="174" customWidth="1"/>
    <col min="11762" max="11774" width="9.09765625" style="174" bestFit="1" customWidth="1"/>
    <col min="11775" max="11775" width="9.59765625" style="174" bestFit="1" customWidth="1"/>
    <col min="11776" max="11777" width="9.09765625" style="174" bestFit="1" customWidth="1"/>
    <col min="11778" max="11778" width="9.69921875" style="174" bestFit="1" customWidth="1"/>
    <col min="11779" max="11781" width="9.09765625" style="174" bestFit="1" customWidth="1"/>
    <col min="11782" max="12012" width="9" style="174"/>
    <col min="12013" max="12013" width="14.59765625" style="174" customWidth="1"/>
    <col min="12014" max="12014" width="53.09765625" style="174" customWidth="1"/>
    <col min="12015" max="12015" width="7.59765625" style="174" customWidth="1"/>
    <col min="12016" max="12016" width="9.3984375" style="174" customWidth="1"/>
    <col min="12017" max="12017" width="7.59765625" style="174" customWidth="1"/>
    <col min="12018" max="12030" width="9.09765625" style="174" bestFit="1" customWidth="1"/>
    <col min="12031" max="12031" width="9.59765625" style="174" bestFit="1" customWidth="1"/>
    <col min="12032" max="12033" width="9.09765625" style="174" bestFit="1" customWidth="1"/>
    <col min="12034" max="12034" width="9.69921875" style="174" bestFit="1" customWidth="1"/>
    <col min="12035" max="12037" width="9.09765625" style="174" bestFit="1" customWidth="1"/>
    <col min="12038" max="12268" width="9" style="174"/>
    <col min="12269" max="12269" width="14.59765625" style="174" customWidth="1"/>
    <col min="12270" max="12270" width="53.09765625" style="174" customWidth="1"/>
    <col min="12271" max="12271" width="7.59765625" style="174" customWidth="1"/>
    <col min="12272" max="12272" width="9.3984375" style="174" customWidth="1"/>
    <col min="12273" max="12273" width="7.59765625" style="174" customWidth="1"/>
    <col min="12274" max="12286" width="9.09765625" style="174" bestFit="1" customWidth="1"/>
    <col min="12287" max="12287" width="9.59765625" style="174" bestFit="1" customWidth="1"/>
    <col min="12288" max="12289" width="9.09765625" style="174" bestFit="1" customWidth="1"/>
    <col min="12290" max="12290" width="9.69921875" style="174" bestFit="1" customWidth="1"/>
    <col min="12291" max="12293" width="9.09765625" style="174" bestFit="1" customWidth="1"/>
    <col min="12294" max="12524" width="9" style="174"/>
    <col min="12525" max="12525" width="14.59765625" style="174" customWidth="1"/>
    <col min="12526" max="12526" width="53.09765625" style="174" customWidth="1"/>
    <col min="12527" max="12527" width="7.59765625" style="174" customWidth="1"/>
    <col min="12528" max="12528" width="9.3984375" style="174" customWidth="1"/>
    <col min="12529" max="12529" width="7.59765625" style="174" customWidth="1"/>
    <col min="12530" max="12542" width="9.09765625" style="174" bestFit="1" customWidth="1"/>
    <col min="12543" max="12543" width="9.59765625" style="174" bestFit="1" customWidth="1"/>
    <col min="12544" max="12545" width="9.09765625" style="174" bestFit="1" customWidth="1"/>
    <col min="12546" max="12546" width="9.69921875" style="174" bestFit="1" customWidth="1"/>
    <col min="12547" max="12549" width="9.09765625" style="174" bestFit="1" customWidth="1"/>
    <col min="12550" max="12780" width="9" style="174"/>
    <col min="12781" max="12781" width="14.59765625" style="174" customWidth="1"/>
    <col min="12782" max="12782" width="53.09765625" style="174" customWidth="1"/>
    <col min="12783" max="12783" width="7.59765625" style="174" customWidth="1"/>
    <col min="12784" max="12784" width="9.3984375" style="174" customWidth="1"/>
    <col min="12785" max="12785" width="7.59765625" style="174" customWidth="1"/>
    <col min="12786" max="12798" width="9.09765625" style="174" bestFit="1" customWidth="1"/>
    <col min="12799" max="12799" width="9.59765625" style="174" bestFit="1" customWidth="1"/>
    <col min="12800" max="12801" width="9.09765625" style="174" bestFit="1" customWidth="1"/>
    <col min="12802" max="12802" width="9.69921875" style="174" bestFit="1" customWidth="1"/>
    <col min="12803" max="12805" width="9.09765625" style="174" bestFit="1" customWidth="1"/>
    <col min="12806" max="13036" width="9" style="174"/>
    <col min="13037" max="13037" width="14.59765625" style="174" customWidth="1"/>
    <col min="13038" max="13038" width="53.09765625" style="174" customWidth="1"/>
    <col min="13039" max="13039" width="7.59765625" style="174" customWidth="1"/>
    <col min="13040" max="13040" width="9.3984375" style="174" customWidth="1"/>
    <col min="13041" max="13041" width="7.59765625" style="174" customWidth="1"/>
    <col min="13042" max="13054" width="9.09765625" style="174" bestFit="1" customWidth="1"/>
    <col min="13055" max="13055" width="9.59765625" style="174" bestFit="1" customWidth="1"/>
    <col min="13056" max="13057" width="9.09765625" style="174" bestFit="1" customWidth="1"/>
    <col min="13058" max="13058" width="9.69921875" style="174" bestFit="1" customWidth="1"/>
    <col min="13059" max="13061" width="9.09765625" style="174" bestFit="1" customWidth="1"/>
    <col min="13062" max="13292" width="9" style="174"/>
    <col min="13293" max="13293" width="14.59765625" style="174" customWidth="1"/>
    <col min="13294" max="13294" width="53.09765625" style="174" customWidth="1"/>
    <col min="13295" max="13295" width="7.59765625" style="174" customWidth="1"/>
    <col min="13296" max="13296" width="9.3984375" style="174" customWidth="1"/>
    <col min="13297" max="13297" width="7.59765625" style="174" customWidth="1"/>
    <col min="13298" max="13310" width="9.09765625" style="174" bestFit="1" customWidth="1"/>
    <col min="13311" max="13311" width="9.59765625" style="174" bestFit="1" customWidth="1"/>
    <col min="13312" max="13313" width="9.09765625" style="174" bestFit="1" customWidth="1"/>
    <col min="13314" max="13314" width="9.69921875" style="174" bestFit="1" customWidth="1"/>
    <col min="13315" max="13317" width="9.09765625" style="174" bestFit="1" customWidth="1"/>
    <col min="13318" max="13548" width="9" style="174"/>
    <col min="13549" max="13549" width="14.59765625" style="174" customWidth="1"/>
    <col min="13550" max="13550" width="53.09765625" style="174" customWidth="1"/>
    <col min="13551" max="13551" width="7.59765625" style="174" customWidth="1"/>
    <col min="13552" max="13552" width="9.3984375" style="174" customWidth="1"/>
    <col min="13553" max="13553" width="7.59765625" style="174" customWidth="1"/>
    <col min="13554" max="13566" width="9.09765625" style="174" bestFit="1" customWidth="1"/>
    <col min="13567" max="13567" width="9.59765625" style="174" bestFit="1" customWidth="1"/>
    <col min="13568" max="13569" width="9.09765625" style="174" bestFit="1" customWidth="1"/>
    <col min="13570" max="13570" width="9.69921875" style="174" bestFit="1" customWidth="1"/>
    <col min="13571" max="13573" width="9.09765625" style="174" bestFit="1" customWidth="1"/>
    <col min="13574" max="13804" width="9" style="174"/>
    <col min="13805" max="13805" width="14.59765625" style="174" customWidth="1"/>
    <col min="13806" max="13806" width="53.09765625" style="174" customWidth="1"/>
    <col min="13807" max="13807" width="7.59765625" style="174" customWidth="1"/>
    <col min="13808" max="13808" width="9.3984375" style="174" customWidth="1"/>
    <col min="13809" max="13809" width="7.59765625" style="174" customWidth="1"/>
    <col min="13810" max="13822" width="9.09765625" style="174" bestFit="1" customWidth="1"/>
    <col min="13823" max="13823" width="9.59765625" style="174" bestFit="1" customWidth="1"/>
    <col min="13824" max="13825" width="9.09765625" style="174" bestFit="1" customWidth="1"/>
    <col min="13826" max="13826" width="9.69921875" style="174" bestFit="1" customWidth="1"/>
    <col min="13827" max="13829" width="9.09765625" style="174" bestFit="1" customWidth="1"/>
    <col min="13830" max="14060" width="9" style="174"/>
    <col min="14061" max="14061" width="14.59765625" style="174" customWidth="1"/>
    <col min="14062" max="14062" width="53.09765625" style="174" customWidth="1"/>
    <col min="14063" max="14063" width="7.59765625" style="174" customWidth="1"/>
    <col min="14064" max="14064" width="9.3984375" style="174" customWidth="1"/>
    <col min="14065" max="14065" width="7.59765625" style="174" customWidth="1"/>
    <col min="14066" max="14078" width="9.09765625" style="174" bestFit="1" customWidth="1"/>
    <col min="14079" max="14079" width="9.59765625" style="174" bestFit="1" customWidth="1"/>
    <col min="14080" max="14081" width="9.09765625" style="174" bestFit="1" customWidth="1"/>
    <col min="14082" max="14082" width="9.69921875" style="174" bestFit="1" customWidth="1"/>
    <col min="14083" max="14085" width="9.09765625" style="174" bestFit="1" customWidth="1"/>
    <col min="14086" max="14316" width="9" style="174"/>
    <col min="14317" max="14317" width="14.59765625" style="174" customWidth="1"/>
    <col min="14318" max="14318" width="53.09765625" style="174" customWidth="1"/>
    <col min="14319" max="14319" width="7.59765625" style="174" customWidth="1"/>
    <col min="14320" max="14320" width="9.3984375" style="174" customWidth="1"/>
    <col min="14321" max="14321" width="7.59765625" style="174" customWidth="1"/>
    <col min="14322" max="14334" width="9.09765625" style="174" bestFit="1" customWidth="1"/>
    <col min="14335" max="14335" width="9.59765625" style="174" bestFit="1" customWidth="1"/>
    <col min="14336" max="14337" width="9.09765625" style="174" bestFit="1" customWidth="1"/>
    <col min="14338" max="14338" width="9.69921875" style="174" bestFit="1" customWidth="1"/>
    <col min="14339" max="14341" width="9.09765625" style="174" bestFit="1" customWidth="1"/>
    <col min="14342" max="14572" width="9" style="174"/>
    <col min="14573" max="14573" width="14.59765625" style="174" customWidth="1"/>
    <col min="14574" max="14574" width="53.09765625" style="174" customWidth="1"/>
    <col min="14575" max="14575" width="7.59765625" style="174" customWidth="1"/>
    <col min="14576" max="14576" width="9.3984375" style="174" customWidth="1"/>
    <col min="14577" max="14577" width="7.59765625" style="174" customWidth="1"/>
    <col min="14578" max="14590" width="9.09765625" style="174" bestFit="1" customWidth="1"/>
    <col min="14591" max="14591" width="9.59765625" style="174" bestFit="1" customWidth="1"/>
    <col min="14592" max="14593" width="9.09765625" style="174" bestFit="1" customWidth="1"/>
    <col min="14594" max="14594" width="9.69921875" style="174" bestFit="1" customWidth="1"/>
    <col min="14595" max="14597" width="9.09765625" style="174" bestFit="1" customWidth="1"/>
    <col min="14598" max="14828" width="9" style="174"/>
    <col min="14829" max="14829" width="14.59765625" style="174" customWidth="1"/>
    <col min="14830" max="14830" width="53.09765625" style="174" customWidth="1"/>
    <col min="14831" max="14831" width="7.59765625" style="174" customWidth="1"/>
    <col min="14832" max="14832" width="9.3984375" style="174" customWidth="1"/>
    <col min="14833" max="14833" width="7.59765625" style="174" customWidth="1"/>
    <col min="14834" max="14846" width="9.09765625" style="174" bestFit="1" customWidth="1"/>
    <col min="14847" max="14847" width="9.59765625" style="174" bestFit="1" customWidth="1"/>
    <col min="14848" max="14849" width="9.09765625" style="174" bestFit="1" customWidth="1"/>
    <col min="14850" max="14850" width="9.69921875" style="174" bestFit="1" customWidth="1"/>
    <col min="14851" max="14853" width="9.09765625" style="174" bestFit="1" customWidth="1"/>
    <col min="14854" max="15084" width="9" style="174"/>
    <col min="15085" max="15085" width="14.59765625" style="174" customWidth="1"/>
    <col min="15086" max="15086" width="53.09765625" style="174" customWidth="1"/>
    <col min="15087" max="15087" width="7.59765625" style="174" customWidth="1"/>
    <col min="15088" max="15088" width="9.3984375" style="174" customWidth="1"/>
    <col min="15089" max="15089" width="7.59765625" style="174" customWidth="1"/>
    <col min="15090" max="15102" width="9.09765625" style="174" bestFit="1" customWidth="1"/>
    <col min="15103" max="15103" width="9.59765625" style="174" bestFit="1" customWidth="1"/>
    <col min="15104" max="15105" width="9.09765625" style="174" bestFit="1" customWidth="1"/>
    <col min="15106" max="15106" width="9.69921875" style="174" bestFit="1" customWidth="1"/>
    <col min="15107" max="15109" width="9.09765625" style="174" bestFit="1" customWidth="1"/>
    <col min="15110" max="15340" width="9" style="174"/>
    <col min="15341" max="15341" width="14.59765625" style="174" customWidth="1"/>
    <col min="15342" max="15342" width="53.09765625" style="174" customWidth="1"/>
    <col min="15343" max="15343" width="7.59765625" style="174" customWidth="1"/>
    <col min="15344" max="15344" width="9.3984375" style="174" customWidth="1"/>
    <col min="15345" max="15345" width="7.59765625" style="174" customWidth="1"/>
    <col min="15346" max="15358" width="9.09765625" style="174" bestFit="1" customWidth="1"/>
    <col min="15359" max="15359" width="9.59765625" style="174" bestFit="1" customWidth="1"/>
    <col min="15360" max="15361" width="9.09765625" style="174" bestFit="1" customWidth="1"/>
    <col min="15362" max="15362" width="9.69921875" style="174" bestFit="1" customWidth="1"/>
    <col min="15363" max="15365" width="9.09765625" style="174" bestFit="1" customWidth="1"/>
    <col min="15366" max="15596" width="9" style="174"/>
    <col min="15597" max="15597" width="14.59765625" style="174" customWidth="1"/>
    <col min="15598" max="15598" width="53.09765625" style="174" customWidth="1"/>
    <col min="15599" max="15599" width="7.59765625" style="174" customWidth="1"/>
    <col min="15600" max="15600" width="9.3984375" style="174" customWidth="1"/>
    <col min="15601" max="15601" width="7.59765625" style="174" customWidth="1"/>
    <col min="15602" max="15614" width="9.09765625" style="174" bestFit="1" customWidth="1"/>
    <col min="15615" max="15615" width="9.59765625" style="174" bestFit="1" customWidth="1"/>
    <col min="15616" max="15617" width="9.09765625" style="174" bestFit="1" customWidth="1"/>
    <col min="15618" max="15618" width="9.69921875" style="174" bestFit="1" customWidth="1"/>
    <col min="15619" max="15621" width="9.09765625" style="174" bestFit="1" customWidth="1"/>
    <col min="15622" max="15852" width="9" style="174"/>
    <col min="15853" max="15853" width="14.59765625" style="174" customWidth="1"/>
    <col min="15854" max="15854" width="53.09765625" style="174" customWidth="1"/>
    <col min="15855" max="15855" width="7.59765625" style="174" customWidth="1"/>
    <col min="15856" max="15856" width="9.3984375" style="174" customWidth="1"/>
    <col min="15857" max="15857" width="7.59765625" style="174" customWidth="1"/>
    <col min="15858" max="15870" width="9.09765625" style="174" bestFit="1" customWidth="1"/>
    <col min="15871" max="15871" width="9.59765625" style="174" bestFit="1" customWidth="1"/>
    <col min="15872" max="15873" width="9.09765625" style="174" bestFit="1" customWidth="1"/>
    <col min="15874" max="15874" width="9.69921875" style="174" bestFit="1" customWidth="1"/>
    <col min="15875" max="15877" width="9.09765625" style="174" bestFit="1" customWidth="1"/>
    <col min="15878" max="16108" width="9" style="174"/>
    <col min="16109" max="16109" width="14.59765625" style="174" customWidth="1"/>
    <col min="16110" max="16110" width="53.09765625" style="174" customWidth="1"/>
    <col min="16111" max="16111" width="7.59765625" style="174" customWidth="1"/>
    <col min="16112" max="16112" width="9.3984375" style="174" customWidth="1"/>
    <col min="16113" max="16113" width="7.59765625" style="174" customWidth="1"/>
    <col min="16114" max="16126" width="9.09765625" style="174" bestFit="1" customWidth="1"/>
    <col min="16127" max="16127" width="9.59765625" style="174" bestFit="1" customWidth="1"/>
    <col min="16128" max="16129" width="9.09765625" style="174" bestFit="1" customWidth="1"/>
    <col min="16130" max="16130" width="9.69921875" style="174" bestFit="1" customWidth="1"/>
    <col min="16131" max="16133" width="9.09765625" style="174" bestFit="1" customWidth="1"/>
    <col min="16134" max="16384" width="9" style="174"/>
  </cols>
  <sheetData>
    <row r="1" spans="1:6">
      <c r="A1" s="208" t="s">
        <v>6936</v>
      </c>
    </row>
    <row r="2" spans="1:6">
      <c r="A2" s="209" t="s">
        <v>2139</v>
      </c>
      <c r="B2" s="200" t="s">
        <v>6935</v>
      </c>
      <c r="C2" s="200" t="s">
        <v>2140</v>
      </c>
      <c r="D2" s="199" t="s">
        <v>2141</v>
      </c>
      <c r="E2" s="200" t="s">
        <v>2142</v>
      </c>
      <c r="F2" s="201"/>
    </row>
    <row r="3" spans="1:6">
      <c r="A3" s="208">
        <v>11111000</v>
      </c>
      <c r="B3" s="174" t="s">
        <v>236</v>
      </c>
      <c r="C3" s="174" t="s">
        <v>2143</v>
      </c>
      <c r="D3" s="174">
        <v>1</v>
      </c>
      <c r="E3" s="174" t="s">
        <v>235</v>
      </c>
    </row>
    <row r="4" spans="1:6">
      <c r="A4" s="208">
        <v>11411000</v>
      </c>
      <c r="B4" s="174" t="s">
        <v>245</v>
      </c>
      <c r="C4" s="174" t="s">
        <v>2143</v>
      </c>
      <c r="D4" s="174">
        <v>1</v>
      </c>
      <c r="E4" s="174" t="s">
        <v>235</v>
      </c>
    </row>
    <row r="5" spans="1:6">
      <c r="A5" s="208">
        <v>17112000</v>
      </c>
      <c r="B5" s="174" t="s">
        <v>268</v>
      </c>
      <c r="C5" s="174" t="s">
        <v>2143</v>
      </c>
      <c r="D5" s="174">
        <v>1</v>
      </c>
      <c r="E5" s="174" t="s">
        <v>235</v>
      </c>
    </row>
    <row r="6" spans="1:6">
      <c r="A6" s="208">
        <v>17219000</v>
      </c>
      <c r="B6" s="174" t="s">
        <v>2485</v>
      </c>
      <c r="C6" s="174" t="s">
        <v>2143</v>
      </c>
      <c r="D6" s="174">
        <v>1</v>
      </c>
      <c r="E6" s="174" t="s">
        <v>235</v>
      </c>
    </row>
    <row r="7" spans="1:6">
      <c r="A7" s="208">
        <v>17219203</v>
      </c>
      <c r="B7" s="174" t="s">
        <v>2487</v>
      </c>
      <c r="C7" s="174" t="s">
        <v>2147</v>
      </c>
      <c r="D7" s="174">
        <v>1</v>
      </c>
      <c r="E7" s="174" t="s">
        <v>235</v>
      </c>
    </row>
    <row r="8" spans="1:6">
      <c r="A8" s="208">
        <v>17219204</v>
      </c>
      <c r="B8" s="174" t="s">
        <v>5561</v>
      </c>
      <c r="C8" s="174" t="s">
        <v>2147</v>
      </c>
      <c r="D8" s="174">
        <v>1</v>
      </c>
      <c r="E8" s="174" t="s">
        <v>235</v>
      </c>
    </row>
    <row r="9" spans="1:6">
      <c r="A9" s="208">
        <v>21100000</v>
      </c>
      <c r="B9" s="174" t="s">
        <v>2501</v>
      </c>
      <c r="C9" s="174" t="s">
        <v>2143</v>
      </c>
      <c r="D9" s="174">
        <v>1</v>
      </c>
      <c r="E9" s="174" t="s">
        <v>278</v>
      </c>
    </row>
    <row r="10" spans="1:6">
      <c r="A10" s="208">
        <v>22211801</v>
      </c>
      <c r="B10" s="174" t="s">
        <v>2513</v>
      </c>
      <c r="C10" s="174" t="s">
        <v>2143</v>
      </c>
      <c r="D10" s="174">
        <v>1</v>
      </c>
      <c r="E10" s="174" t="s">
        <v>279</v>
      </c>
    </row>
    <row r="11" spans="1:6">
      <c r="A11" s="208">
        <v>51112801</v>
      </c>
      <c r="B11" s="174" t="s">
        <v>2681</v>
      </c>
      <c r="C11" s="174" t="s">
        <v>2143</v>
      </c>
      <c r="D11" s="174">
        <v>1</v>
      </c>
      <c r="E11" s="174" t="s">
        <v>279</v>
      </c>
    </row>
    <row r="12" spans="1:6">
      <c r="A12" s="208">
        <v>51113000</v>
      </c>
      <c r="B12" s="174" t="s">
        <v>399</v>
      </c>
      <c r="C12" s="174" t="s">
        <v>2143</v>
      </c>
      <c r="D12" s="174">
        <v>1</v>
      </c>
      <c r="E12" s="174" t="s">
        <v>235</v>
      </c>
    </row>
    <row r="13" spans="1:6">
      <c r="A13" s="208">
        <v>52111801</v>
      </c>
      <c r="B13" s="174" t="s">
        <v>2689</v>
      </c>
      <c r="C13" s="174" t="s">
        <v>2143</v>
      </c>
      <c r="D13" s="174">
        <v>1</v>
      </c>
      <c r="E13" s="174" t="s">
        <v>279</v>
      </c>
    </row>
    <row r="14" spans="1:6">
      <c r="A14" s="208">
        <v>52112000</v>
      </c>
      <c r="B14" s="174" t="s">
        <v>401</v>
      </c>
      <c r="C14" s="174" t="s">
        <v>2143</v>
      </c>
      <c r="D14" s="174">
        <v>1</v>
      </c>
      <c r="E14" s="174" t="s">
        <v>278</v>
      </c>
    </row>
    <row r="15" spans="1:6">
      <c r="A15" s="208">
        <v>52112201</v>
      </c>
      <c r="B15" s="174" t="s">
        <v>403</v>
      </c>
      <c r="C15" s="174" t="s">
        <v>2149</v>
      </c>
      <c r="D15" s="174">
        <v>1</v>
      </c>
      <c r="E15" s="174" t="s">
        <v>235</v>
      </c>
    </row>
    <row r="16" spans="1:6">
      <c r="A16" s="208">
        <v>52112801</v>
      </c>
      <c r="B16" s="174" t="s">
        <v>2693</v>
      </c>
      <c r="C16" s="174" t="s">
        <v>2143</v>
      </c>
      <c r="D16" s="174">
        <v>1</v>
      </c>
      <c r="E16" s="174" t="s">
        <v>279</v>
      </c>
    </row>
    <row r="17" spans="1:5">
      <c r="A17" s="208">
        <v>52112802</v>
      </c>
      <c r="B17" s="174" t="s">
        <v>2696</v>
      </c>
      <c r="C17" s="174" t="s">
        <v>2143</v>
      </c>
      <c r="D17" s="174">
        <v>1</v>
      </c>
      <c r="E17" s="174" t="s">
        <v>279</v>
      </c>
    </row>
    <row r="18" spans="1:5">
      <c r="A18" s="208">
        <v>52112896</v>
      </c>
      <c r="B18" s="174" t="s">
        <v>2704</v>
      </c>
      <c r="C18" s="174" t="s">
        <v>2143</v>
      </c>
      <c r="D18" s="174">
        <v>1</v>
      </c>
      <c r="E18" s="174" t="s">
        <v>279</v>
      </c>
    </row>
    <row r="19" spans="1:5">
      <c r="A19" s="208">
        <v>54111000</v>
      </c>
      <c r="B19" s="174" t="s">
        <v>2733</v>
      </c>
      <c r="C19" s="174" t="s">
        <v>2143</v>
      </c>
      <c r="D19" s="174">
        <v>1</v>
      </c>
      <c r="E19" s="174" t="s">
        <v>235</v>
      </c>
    </row>
    <row r="20" spans="1:5">
      <c r="A20" s="208">
        <v>54114000</v>
      </c>
      <c r="B20" s="174" t="s">
        <v>284</v>
      </c>
      <c r="C20" s="174" t="s">
        <v>2143</v>
      </c>
      <c r="D20" s="174">
        <v>1</v>
      </c>
      <c r="E20" s="174" t="s">
        <v>235</v>
      </c>
    </row>
    <row r="21" spans="1:5">
      <c r="A21" s="208">
        <v>54115000</v>
      </c>
      <c r="B21" s="174" t="s">
        <v>408</v>
      </c>
      <c r="C21" s="174" t="s">
        <v>2143</v>
      </c>
      <c r="D21" s="174">
        <v>1</v>
      </c>
      <c r="E21" s="174" t="s">
        <v>235</v>
      </c>
    </row>
    <row r="22" spans="1:5">
      <c r="A22" s="208">
        <v>54129101</v>
      </c>
      <c r="B22" s="174" t="s">
        <v>416</v>
      </c>
      <c r="C22" s="174" t="s">
        <v>2143</v>
      </c>
      <c r="D22" s="174">
        <v>1</v>
      </c>
      <c r="E22" s="174" t="s">
        <v>235</v>
      </c>
    </row>
    <row r="23" spans="1:5">
      <c r="A23" s="208">
        <v>98100000</v>
      </c>
      <c r="B23" s="174" t="s">
        <v>2959</v>
      </c>
      <c r="C23" s="174" t="s">
        <v>2143</v>
      </c>
      <c r="D23" s="174">
        <v>1</v>
      </c>
      <c r="E23" s="174" t="s">
        <v>235</v>
      </c>
    </row>
    <row r="24" spans="1:5">
      <c r="A24" s="208">
        <v>99111000</v>
      </c>
      <c r="B24" s="174" t="s">
        <v>514</v>
      </c>
      <c r="C24" s="174" t="s">
        <v>2143</v>
      </c>
      <c r="D24" s="174">
        <v>1</v>
      </c>
      <c r="E24" s="174" t="s">
        <v>235</v>
      </c>
    </row>
    <row r="25" spans="1:5">
      <c r="A25" s="208">
        <v>106111000</v>
      </c>
      <c r="B25" s="174" t="s">
        <v>3046</v>
      </c>
      <c r="C25" s="174" t="s">
        <v>2143</v>
      </c>
      <c r="D25" s="174">
        <v>1</v>
      </c>
      <c r="E25" s="174" t="s">
        <v>235</v>
      </c>
    </row>
    <row r="26" spans="1:5">
      <c r="A26" s="208">
        <v>112111000</v>
      </c>
      <c r="B26" s="174" t="s">
        <v>543</v>
      </c>
      <c r="C26" s="174" t="s">
        <v>2143</v>
      </c>
      <c r="D26" s="174">
        <v>1</v>
      </c>
      <c r="E26" s="174" t="s">
        <v>235</v>
      </c>
    </row>
    <row r="27" spans="1:5">
      <c r="A27" s="208">
        <v>112200000</v>
      </c>
      <c r="B27" s="174" t="s">
        <v>3064</v>
      </c>
      <c r="C27" s="174" t="s">
        <v>2143</v>
      </c>
      <c r="D27" s="174">
        <v>1</v>
      </c>
      <c r="E27" s="174" t="s">
        <v>235</v>
      </c>
    </row>
    <row r="28" spans="1:5">
      <c r="A28" s="208">
        <v>130000801</v>
      </c>
      <c r="B28" s="174" t="s">
        <v>3203</v>
      </c>
      <c r="C28" s="174" t="s">
        <v>2143</v>
      </c>
      <c r="D28" s="174">
        <v>1</v>
      </c>
      <c r="E28" s="174" t="s">
        <v>279</v>
      </c>
    </row>
    <row r="29" spans="1:5">
      <c r="A29" s="208">
        <v>131100000</v>
      </c>
      <c r="B29" s="174" t="s">
        <v>3205</v>
      </c>
      <c r="C29" s="174" t="s">
        <v>2143</v>
      </c>
      <c r="D29" s="174">
        <v>1</v>
      </c>
      <c r="E29" s="174" t="s">
        <v>278</v>
      </c>
    </row>
    <row r="30" spans="1:5">
      <c r="A30" s="208">
        <v>131400000</v>
      </c>
      <c r="B30" s="174" t="s">
        <v>3216</v>
      </c>
      <c r="C30" s="174" t="s">
        <v>2143</v>
      </c>
      <c r="D30" s="174">
        <v>1</v>
      </c>
      <c r="E30" s="174" t="s">
        <v>278</v>
      </c>
    </row>
    <row r="31" spans="1:5">
      <c r="A31" s="208">
        <v>132211000</v>
      </c>
      <c r="B31" s="174" t="s">
        <v>611</v>
      </c>
      <c r="C31" s="174" t="s">
        <v>2143</v>
      </c>
      <c r="D31" s="174">
        <v>1</v>
      </c>
      <c r="E31" s="174" t="s">
        <v>278</v>
      </c>
    </row>
    <row r="32" spans="1:5">
      <c r="A32" s="208">
        <v>132311000</v>
      </c>
      <c r="B32" s="174" t="s">
        <v>613</v>
      </c>
      <c r="C32" s="174" t="s">
        <v>2143</v>
      </c>
      <c r="D32" s="174">
        <v>1</v>
      </c>
      <c r="E32" s="174" t="s">
        <v>278</v>
      </c>
    </row>
    <row r="33" spans="1:5">
      <c r="A33" s="208">
        <v>132511000</v>
      </c>
      <c r="B33" s="174" t="s">
        <v>617</v>
      </c>
      <c r="C33" s="174" t="s">
        <v>2143</v>
      </c>
      <c r="D33" s="174">
        <v>1</v>
      </c>
      <c r="E33" s="174" t="s">
        <v>425</v>
      </c>
    </row>
    <row r="34" spans="1:5">
      <c r="A34" s="208">
        <v>150000802</v>
      </c>
      <c r="B34" s="174" t="s">
        <v>3254</v>
      </c>
      <c r="C34" s="174" t="s">
        <v>2143</v>
      </c>
      <c r="D34" s="174">
        <v>1</v>
      </c>
      <c r="E34" s="174" t="s">
        <v>279</v>
      </c>
    </row>
    <row r="35" spans="1:5">
      <c r="A35" s="208">
        <v>150000803</v>
      </c>
      <c r="B35" s="174" t="s">
        <v>3256</v>
      </c>
      <c r="C35" s="174" t="s">
        <v>2143</v>
      </c>
      <c r="D35" s="174">
        <v>1</v>
      </c>
      <c r="E35" s="174" t="s">
        <v>279</v>
      </c>
    </row>
    <row r="36" spans="1:5">
      <c r="A36" s="208">
        <v>152200000</v>
      </c>
      <c r="B36" s="174" t="s">
        <v>3278</v>
      </c>
      <c r="C36" s="174" t="s">
        <v>2143</v>
      </c>
      <c r="D36" s="174">
        <v>1</v>
      </c>
      <c r="E36" s="174" t="s">
        <v>235</v>
      </c>
    </row>
    <row r="37" spans="1:5">
      <c r="A37" s="208">
        <v>159219200</v>
      </c>
      <c r="B37" s="174" t="s">
        <v>694</v>
      </c>
      <c r="C37" s="174" t="s">
        <v>2143</v>
      </c>
      <c r="D37" s="174">
        <v>1</v>
      </c>
      <c r="E37" s="174" t="s">
        <v>235</v>
      </c>
    </row>
    <row r="38" spans="1:5">
      <c r="A38" s="208">
        <v>159219201</v>
      </c>
      <c r="B38" s="174" t="s">
        <v>695</v>
      </c>
      <c r="C38" s="174" t="s">
        <v>2143</v>
      </c>
      <c r="D38" s="174">
        <v>1</v>
      </c>
      <c r="E38" s="174" t="s">
        <v>235</v>
      </c>
    </row>
    <row r="39" spans="1:5">
      <c r="A39" s="208">
        <v>171100200</v>
      </c>
      <c r="B39" s="174" t="s">
        <v>5758</v>
      </c>
      <c r="C39" s="174" t="s">
        <v>2143</v>
      </c>
      <c r="D39" s="174">
        <v>1</v>
      </c>
      <c r="E39" s="174" t="s">
        <v>235</v>
      </c>
    </row>
    <row r="40" spans="1:5">
      <c r="A40" s="208">
        <v>171111000</v>
      </c>
      <c r="B40" s="174" t="s">
        <v>3324</v>
      </c>
      <c r="C40" s="174" t="s">
        <v>2143</v>
      </c>
      <c r="D40" s="174">
        <v>1</v>
      </c>
      <c r="E40" s="174" t="s">
        <v>235</v>
      </c>
    </row>
    <row r="41" spans="1:5">
      <c r="A41" s="208">
        <v>171112000</v>
      </c>
      <c r="B41" s="174" t="s">
        <v>3330</v>
      </c>
      <c r="C41" s="174" t="s">
        <v>2143</v>
      </c>
      <c r="D41" s="174">
        <v>1</v>
      </c>
      <c r="E41" s="174" t="s">
        <v>235</v>
      </c>
    </row>
    <row r="42" spans="1:5">
      <c r="A42" s="208">
        <v>171113000</v>
      </c>
      <c r="B42" s="174" t="s">
        <v>3332</v>
      </c>
      <c r="C42" s="174" t="s">
        <v>2143</v>
      </c>
      <c r="D42" s="174">
        <v>1</v>
      </c>
      <c r="E42" s="174" t="s">
        <v>235</v>
      </c>
    </row>
    <row r="43" spans="1:5">
      <c r="A43" s="208">
        <v>171119200</v>
      </c>
      <c r="B43" s="174" t="s">
        <v>712</v>
      </c>
      <c r="C43" s="174" t="s">
        <v>2143</v>
      </c>
      <c r="D43" s="174">
        <v>1</v>
      </c>
      <c r="E43" s="174" t="s">
        <v>235</v>
      </c>
    </row>
    <row r="44" spans="1:5">
      <c r="A44" s="208">
        <v>172111000</v>
      </c>
      <c r="B44" s="174" t="s">
        <v>3353</v>
      </c>
      <c r="C44" s="174" t="s">
        <v>2143</v>
      </c>
      <c r="D44" s="174">
        <v>1</v>
      </c>
      <c r="E44" s="174" t="s">
        <v>235</v>
      </c>
    </row>
    <row r="45" spans="1:5">
      <c r="A45" s="208">
        <v>172112000</v>
      </c>
      <c r="B45" s="174" t="s">
        <v>722</v>
      </c>
      <c r="C45" s="174" t="s">
        <v>2143</v>
      </c>
      <c r="D45" s="174">
        <v>1</v>
      </c>
      <c r="E45" s="174" t="s">
        <v>235</v>
      </c>
    </row>
    <row r="46" spans="1:5">
      <c r="A46" s="208">
        <v>172113000</v>
      </c>
      <c r="B46" s="174" t="s">
        <v>723</v>
      </c>
      <c r="C46" s="174" t="s">
        <v>2143</v>
      </c>
      <c r="D46" s="174">
        <v>1</v>
      </c>
      <c r="E46" s="174" t="s">
        <v>235</v>
      </c>
    </row>
    <row r="47" spans="1:5">
      <c r="A47" s="208">
        <v>172114000</v>
      </c>
      <c r="B47" s="174" t="s">
        <v>724</v>
      </c>
      <c r="C47" s="174" t="s">
        <v>2143</v>
      </c>
      <c r="D47" s="174">
        <v>1</v>
      </c>
      <c r="E47" s="174" t="s">
        <v>235</v>
      </c>
    </row>
    <row r="48" spans="1:5">
      <c r="A48" s="208">
        <v>172115000</v>
      </c>
      <c r="B48" s="174" t="s">
        <v>3358</v>
      </c>
      <c r="C48" s="174" t="s">
        <v>2143</v>
      </c>
      <c r="D48" s="174">
        <v>1</v>
      </c>
      <c r="E48" s="174" t="s">
        <v>235</v>
      </c>
    </row>
    <row r="49" spans="1:5">
      <c r="A49" s="208">
        <v>172116000</v>
      </c>
      <c r="B49" s="174" t="s">
        <v>725</v>
      </c>
      <c r="C49" s="174" t="s">
        <v>2143</v>
      </c>
      <c r="D49" s="174">
        <v>1</v>
      </c>
      <c r="E49" s="174" t="s">
        <v>235</v>
      </c>
    </row>
    <row r="50" spans="1:5">
      <c r="A50" s="208">
        <v>172119100</v>
      </c>
      <c r="B50" s="174" t="s">
        <v>729</v>
      </c>
      <c r="C50" s="174" t="s">
        <v>2143</v>
      </c>
      <c r="D50" s="174">
        <v>1</v>
      </c>
      <c r="E50" s="174" t="s">
        <v>235</v>
      </c>
    </row>
    <row r="51" spans="1:5">
      <c r="A51" s="208">
        <v>172119200</v>
      </c>
      <c r="B51" s="174" t="s">
        <v>727</v>
      </c>
      <c r="C51" s="174" t="s">
        <v>2143</v>
      </c>
      <c r="D51" s="174">
        <v>1</v>
      </c>
      <c r="E51" s="174" t="s">
        <v>235</v>
      </c>
    </row>
    <row r="52" spans="1:5">
      <c r="A52" s="208">
        <v>172200000</v>
      </c>
      <c r="B52" s="174" t="s">
        <v>3379</v>
      </c>
      <c r="C52" s="174" t="s">
        <v>2143</v>
      </c>
      <c r="D52" s="174">
        <v>1</v>
      </c>
      <c r="E52" s="174" t="s">
        <v>235</v>
      </c>
    </row>
    <row r="53" spans="1:5">
      <c r="A53" s="208">
        <v>172212000</v>
      </c>
      <c r="B53" s="174" t="s">
        <v>731</v>
      </c>
      <c r="C53" s="174" t="s">
        <v>2143</v>
      </c>
      <c r="D53" s="174">
        <v>1</v>
      </c>
      <c r="E53" s="174" t="s">
        <v>235</v>
      </c>
    </row>
    <row r="54" spans="1:5">
      <c r="A54" s="208">
        <v>172213000</v>
      </c>
      <c r="B54" s="174" t="s">
        <v>3383</v>
      </c>
      <c r="C54" s="174" t="s">
        <v>2143</v>
      </c>
      <c r="D54" s="174">
        <v>1</v>
      </c>
      <c r="E54" s="174" t="s">
        <v>235</v>
      </c>
    </row>
    <row r="55" spans="1:5">
      <c r="A55" s="208">
        <v>172215000</v>
      </c>
      <c r="B55" s="174" t="s">
        <v>733</v>
      </c>
      <c r="C55" s="174" t="s">
        <v>2143</v>
      </c>
      <c r="D55" s="174">
        <v>1</v>
      </c>
      <c r="E55" s="174" t="s">
        <v>235</v>
      </c>
    </row>
    <row r="56" spans="1:5">
      <c r="A56" s="208">
        <v>172311000</v>
      </c>
      <c r="B56" s="174" t="s">
        <v>3394</v>
      </c>
      <c r="C56" s="174" t="s">
        <v>2143</v>
      </c>
      <c r="D56" s="174">
        <v>1</v>
      </c>
      <c r="E56" s="174" t="s">
        <v>278</v>
      </c>
    </row>
    <row r="57" spans="1:5">
      <c r="A57" s="208">
        <v>172313000</v>
      </c>
      <c r="B57" s="174" t="s">
        <v>736</v>
      </c>
      <c r="C57" s="174" t="s">
        <v>2143</v>
      </c>
      <c r="D57" s="174">
        <v>1</v>
      </c>
      <c r="E57" s="174" t="s">
        <v>235</v>
      </c>
    </row>
    <row r="58" spans="1:5">
      <c r="A58" s="208">
        <v>172314200</v>
      </c>
      <c r="B58" s="174" t="s">
        <v>737</v>
      </c>
      <c r="C58" s="174" t="s">
        <v>2143</v>
      </c>
      <c r="D58" s="174">
        <v>1</v>
      </c>
      <c r="E58" s="174" t="s">
        <v>235</v>
      </c>
    </row>
    <row r="59" spans="1:5">
      <c r="A59" s="208">
        <v>172315000</v>
      </c>
      <c r="B59" s="174" t="s">
        <v>738</v>
      </c>
      <c r="C59" s="174" t="s">
        <v>2143</v>
      </c>
      <c r="D59" s="174">
        <v>1</v>
      </c>
      <c r="E59" s="174" t="s">
        <v>278</v>
      </c>
    </row>
    <row r="60" spans="1:5">
      <c r="A60" s="208">
        <v>172319000</v>
      </c>
      <c r="B60" s="174" t="s">
        <v>739</v>
      </c>
      <c r="C60" s="174" t="s">
        <v>2143</v>
      </c>
      <c r="D60" s="174">
        <v>1</v>
      </c>
      <c r="E60" s="174" t="s">
        <v>278</v>
      </c>
    </row>
    <row r="61" spans="1:5">
      <c r="A61" s="208">
        <v>172319101</v>
      </c>
      <c r="B61" s="174" t="s">
        <v>741</v>
      </c>
      <c r="C61" s="174" t="s">
        <v>2143</v>
      </c>
      <c r="D61" s="174">
        <v>1</v>
      </c>
      <c r="E61" s="174" t="s">
        <v>278</v>
      </c>
    </row>
    <row r="62" spans="1:5">
      <c r="A62" s="208">
        <v>172319202</v>
      </c>
      <c r="B62" s="174" t="s">
        <v>3413</v>
      </c>
      <c r="C62" s="174" t="s">
        <v>2143</v>
      </c>
      <c r="D62" s="174">
        <v>1</v>
      </c>
      <c r="E62" s="174" t="s">
        <v>278</v>
      </c>
    </row>
    <row r="63" spans="1:5">
      <c r="A63" s="208">
        <v>172319203</v>
      </c>
      <c r="B63" s="174" t="s">
        <v>5783</v>
      </c>
      <c r="C63" s="174" t="s">
        <v>2143</v>
      </c>
      <c r="D63" s="174">
        <v>1</v>
      </c>
      <c r="E63" s="174" t="s">
        <v>278</v>
      </c>
    </row>
    <row r="64" spans="1:5">
      <c r="A64" s="208">
        <v>172411000</v>
      </c>
      <c r="B64" s="174" t="s">
        <v>742</v>
      </c>
      <c r="C64" s="174" t="s">
        <v>2143</v>
      </c>
      <c r="D64" s="174">
        <v>1</v>
      </c>
      <c r="E64" s="174" t="s">
        <v>235</v>
      </c>
    </row>
    <row r="65" spans="1:5">
      <c r="A65" s="208">
        <v>172921000</v>
      </c>
      <c r="B65" s="174" t="s">
        <v>3431</v>
      </c>
      <c r="C65" s="174" t="s">
        <v>2143</v>
      </c>
      <c r="D65" s="174">
        <v>1</v>
      </c>
      <c r="E65" s="174" t="s">
        <v>235</v>
      </c>
    </row>
    <row r="66" spans="1:5">
      <c r="A66" s="208">
        <v>172922000</v>
      </c>
      <c r="B66" s="174" t="s">
        <v>3437</v>
      </c>
      <c r="C66" s="174" t="s">
        <v>2143</v>
      </c>
      <c r="D66" s="174">
        <v>1</v>
      </c>
      <c r="E66" s="174" t="s">
        <v>235</v>
      </c>
    </row>
    <row r="67" spans="1:5">
      <c r="A67" s="208">
        <v>172923100</v>
      </c>
      <c r="B67" s="174" t="s">
        <v>175</v>
      </c>
      <c r="C67" s="174" t="s">
        <v>2143</v>
      </c>
      <c r="D67" s="174">
        <v>1</v>
      </c>
      <c r="E67" s="174" t="s">
        <v>235</v>
      </c>
    </row>
    <row r="68" spans="1:5">
      <c r="A68" s="208">
        <v>172923200</v>
      </c>
      <c r="B68" s="174" t="s">
        <v>747</v>
      </c>
      <c r="C68" s="174" t="s">
        <v>2152</v>
      </c>
      <c r="D68" s="174">
        <v>1</v>
      </c>
      <c r="E68" s="174" t="s">
        <v>235</v>
      </c>
    </row>
    <row r="69" spans="1:5">
      <c r="A69" s="208">
        <v>172925000</v>
      </c>
      <c r="B69" s="174" t="s">
        <v>752</v>
      </c>
      <c r="C69" s="174" t="s">
        <v>2143</v>
      </c>
      <c r="D69" s="174">
        <v>1</v>
      </c>
      <c r="E69" s="174" t="s">
        <v>235</v>
      </c>
    </row>
    <row r="70" spans="1:5">
      <c r="A70" s="208">
        <v>172926000</v>
      </c>
      <c r="B70" s="174" t="s">
        <v>753</v>
      </c>
      <c r="C70" s="174" t="s">
        <v>2143</v>
      </c>
      <c r="D70" s="174">
        <v>1</v>
      </c>
      <c r="E70" s="174" t="s">
        <v>235</v>
      </c>
    </row>
    <row r="71" spans="1:5">
      <c r="A71" s="208">
        <v>172928000</v>
      </c>
      <c r="B71" s="174" t="s">
        <v>755</v>
      </c>
      <c r="C71" s="174" t="s">
        <v>2143</v>
      </c>
      <c r="D71" s="174">
        <v>1</v>
      </c>
      <c r="E71" s="174" t="s">
        <v>235</v>
      </c>
    </row>
    <row r="72" spans="1:5">
      <c r="A72" s="208">
        <v>172932000</v>
      </c>
      <c r="B72" s="174" t="s">
        <v>758</v>
      </c>
      <c r="C72" s="174" t="s">
        <v>2143</v>
      </c>
      <c r="D72" s="174">
        <v>1</v>
      </c>
      <c r="E72" s="174" t="s">
        <v>235</v>
      </c>
    </row>
    <row r="73" spans="1:5">
      <c r="A73" s="208">
        <v>172933000</v>
      </c>
      <c r="B73" s="174" t="s">
        <v>3460</v>
      </c>
      <c r="C73" s="174" t="s">
        <v>2143</v>
      </c>
      <c r="D73" s="174">
        <v>1</v>
      </c>
      <c r="E73" s="174" t="s">
        <v>235</v>
      </c>
    </row>
    <row r="74" spans="1:5">
      <c r="A74" s="208">
        <v>172949105</v>
      </c>
      <c r="B74" s="174" t="s">
        <v>3465</v>
      </c>
      <c r="C74" s="174" t="s">
        <v>2143</v>
      </c>
      <c r="D74" s="174">
        <v>1</v>
      </c>
      <c r="E74" s="174" t="s">
        <v>235</v>
      </c>
    </row>
    <row r="75" spans="1:5">
      <c r="A75" s="208">
        <v>172949224</v>
      </c>
      <c r="B75" s="174" t="s">
        <v>772</v>
      </c>
      <c r="C75" s="174" t="s">
        <v>2143</v>
      </c>
      <c r="D75" s="174">
        <v>1</v>
      </c>
      <c r="E75" s="174" t="s">
        <v>235</v>
      </c>
    </row>
    <row r="76" spans="1:5">
      <c r="A76" s="208">
        <v>172949225</v>
      </c>
      <c r="B76" s="174" t="s">
        <v>5806</v>
      </c>
      <c r="C76" s="174" t="s">
        <v>2143</v>
      </c>
      <c r="D76" s="174">
        <v>1</v>
      </c>
      <c r="E76" s="174" t="s">
        <v>235</v>
      </c>
    </row>
    <row r="77" spans="1:5">
      <c r="A77" s="208">
        <v>172949226</v>
      </c>
      <c r="B77" s="174" t="s">
        <v>773</v>
      </c>
      <c r="C77" s="174" t="s">
        <v>2143</v>
      </c>
      <c r="D77" s="174">
        <v>1</v>
      </c>
      <c r="E77" s="174" t="s">
        <v>235</v>
      </c>
    </row>
    <row r="78" spans="1:5">
      <c r="A78" s="208">
        <v>172949245</v>
      </c>
      <c r="B78" s="174" t="s">
        <v>783</v>
      </c>
      <c r="C78" s="174" t="s">
        <v>2143</v>
      </c>
      <c r="D78" s="174">
        <v>1</v>
      </c>
      <c r="E78" s="174" t="s">
        <v>235</v>
      </c>
    </row>
    <row r="79" spans="1:5">
      <c r="A79" s="208">
        <v>173111000</v>
      </c>
      <c r="B79" s="174" t="s">
        <v>3472</v>
      </c>
      <c r="C79" s="174" t="s">
        <v>2143</v>
      </c>
      <c r="D79" s="174">
        <v>1</v>
      </c>
      <c r="E79" s="174" t="s">
        <v>235</v>
      </c>
    </row>
    <row r="80" spans="1:5">
      <c r="A80" s="208">
        <v>173115000</v>
      </c>
      <c r="B80" s="174" t="s">
        <v>3483</v>
      </c>
      <c r="C80" s="174" t="s">
        <v>2143</v>
      </c>
      <c r="D80" s="174">
        <v>1</v>
      </c>
      <c r="E80" s="174" t="s">
        <v>235</v>
      </c>
    </row>
    <row r="81" spans="1:5">
      <c r="A81" s="208">
        <v>173116000</v>
      </c>
      <c r="B81" s="174" t="s">
        <v>3489</v>
      </c>
      <c r="C81" s="174" t="s">
        <v>2143</v>
      </c>
      <c r="D81" s="174">
        <v>1</v>
      </c>
      <c r="E81" s="174" t="s">
        <v>235</v>
      </c>
    </row>
    <row r="82" spans="1:5">
      <c r="A82" s="208">
        <v>173213000</v>
      </c>
      <c r="B82" s="174" t="s">
        <v>881</v>
      </c>
      <c r="C82" s="174" t="s">
        <v>2143</v>
      </c>
      <c r="D82" s="174">
        <v>1</v>
      </c>
      <c r="E82" s="174" t="s">
        <v>235</v>
      </c>
    </row>
    <row r="83" spans="1:5">
      <c r="A83" s="208">
        <v>173214000</v>
      </c>
      <c r="B83" s="174" t="s">
        <v>3516</v>
      </c>
      <c r="C83" s="174" t="s">
        <v>2143</v>
      </c>
      <c r="D83" s="174">
        <v>1</v>
      </c>
      <c r="E83" s="174" t="s">
        <v>235</v>
      </c>
    </row>
    <row r="84" spans="1:5">
      <c r="A84" s="208">
        <v>173216000</v>
      </c>
      <c r="B84" s="174" t="s">
        <v>787</v>
      </c>
      <c r="C84" s="174" t="s">
        <v>2143</v>
      </c>
      <c r="D84" s="174">
        <v>1</v>
      </c>
      <c r="E84" s="174" t="s">
        <v>235</v>
      </c>
    </row>
    <row r="85" spans="1:5">
      <c r="A85" s="208">
        <v>173239191</v>
      </c>
      <c r="B85" s="174" t="s">
        <v>5861</v>
      </c>
      <c r="C85" s="174" t="s">
        <v>2143</v>
      </c>
      <c r="D85" s="174">
        <v>1</v>
      </c>
      <c r="E85" s="174" t="s">
        <v>235</v>
      </c>
    </row>
    <row r="86" spans="1:5">
      <c r="A86" s="208">
        <v>173239204</v>
      </c>
      <c r="B86" s="174" t="s">
        <v>3540</v>
      </c>
      <c r="C86" s="174" t="s">
        <v>2143</v>
      </c>
      <c r="D86" s="174">
        <v>1</v>
      </c>
      <c r="E86" s="174" t="s">
        <v>235</v>
      </c>
    </row>
    <row r="87" spans="1:5">
      <c r="A87" s="208">
        <v>173239209</v>
      </c>
      <c r="B87" s="174" t="s">
        <v>845</v>
      </c>
      <c r="C87" s="174" t="s">
        <v>2143</v>
      </c>
      <c r="D87" s="174">
        <v>1</v>
      </c>
      <c r="E87" s="174" t="s">
        <v>235</v>
      </c>
    </row>
    <row r="88" spans="1:5">
      <c r="A88" s="208">
        <v>173239212</v>
      </c>
      <c r="B88" s="174" t="s">
        <v>847</v>
      </c>
      <c r="C88" s="174" t="s">
        <v>2143</v>
      </c>
      <c r="D88" s="174">
        <v>1</v>
      </c>
      <c r="E88" s="174" t="s">
        <v>235</v>
      </c>
    </row>
    <row r="89" spans="1:5">
      <c r="A89" s="208">
        <v>173239213</v>
      </c>
      <c r="B89" s="174" t="s">
        <v>3544</v>
      </c>
      <c r="C89" s="174" t="s">
        <v>2143</v>
      </c>
      <c r="D89" s="174">
        <v>1</v>
      </c>
      <c r="E89" s="174" t="s">
        <v>235</v>
      </c>
    </row>
    <row r="90" spans="1:5">
      <c r="A90" s="208">
        <v>173429137</v>
      </c>
      <c r="B90" s="174" t="s">
        <v>897</v>
      </c>
      <c r="C90" s="174" t="s">
        <v>2143</v>
      </c>
      <c r="D90" s="174">
        <v>1</v>
      </c>
      <c r="E90" s="174" t="s">
        <v>235</v>
      </c>
    </row>
    <row r="91" spans="1:5">
      <c r="A91" s="208">
        <v>173500000</v>
      </c>
      <c r="B91" s="174" t="s">
        <v>3584</v>
      </c>
      <c r="C91" s="174" t="s">
        <v>2143</v>
      </c>
      <c r="D91" s="174">
        <v>1</v>
      </c>
      <c r="E91" s="174" t="s">
        <v>235</v>
      </c>
    </row>
    <row r="92" spans="1:5">
      <c r="A92" s="208">
        <v>173511000</v>
      </c>
      <c r="B92" s="174" t="s">
        <v>913</v>
      </c>
      <c r="C92" s="174" t="s">
        <v>2143</v>
      </c>
      <c r="D92" s="174">
        <v>1</v>
      </c>
      <c r="E92" s="174" t="s">
        <v>235</v>
      </c>
    </row>
    <row r="93" spans="1:5">
      <c r="A93" s="208">
        <v>173512000</v>
      </c>
      <c r="B93" s="174" t="s">
        <v>3587</v>
      </c>
      <c r="C93" s="174" t="s">
        <v>2143</v>
      </c>
      <c r="D93" s="174">
        <v>1</v>
      </c>
      <c r="E93" s="174" t="s">
        <v>235</v>
      </c>
    </row>
    <row r="94" spans="1:5">
      <c r="A94" s="208">
        <v>173513000</v>
      </c>
      <c r="B94" s="174" t="s">
        <v>3589</v>
      </c>
      <c r="C94" s="174" t="s">
        <v>2143</v>
      </c>
      <c r="D94" s="174">
        <v>1</v>
      </c>
      <c r="E94" s="174" t="s">
        <v>235</v>
      </c>
    </row>
    <row r="95" spans="1:5">
      <c r="A95" s="208">
        <v>173514000</v>
      </c>
      <c r="B95" s="174" t="s">
        <v>914</v>
      </c>
      <c r="C95" s="174" t="s">
        <v>2143</v>
      </c>
      <c r="D95" s="174">
        <v>1</v>
      </c>
      <c r="E95" s="174" t="s">
        <v>235</v>
      </c>
    </row>
    <row r="96" spans="1:5">
      <c r="A96" s="208">
        <v>173516000</v>
      </c>
      <c r="B96" s="174" t="s">
        <v>916</v>
      </c>
      <c r="C96" s="174" t="s">
        <v>2143</v>
      </c>
      <c r="D96" s="174">
        <v>1</v>
      </c>
      <c r="E96" s="174" t="s">
        <v>235</v>
      </c>
    </row>
    <row r="97" spans="1:5">
      <c r="A97" s="208">
        <v>173517000</v>
      </c>
      <c r="B97" s="174" t="s">
        <v>289</v>
      </c>
      <c r="C97" s="174" t="s">
        <v>2143</v>
      </c>
      <c r="D97" s="174">
        <v>1</v>
      </c>
      <c r="E97" s="174" t="s">
        <v>235</v>
      </c>
    </row>
    <row r="98" spans="1:5">
      <c r="A98" s="208">
        <v>173517105</v>
      </c>
      <c r="B98" s="174" t="s">
        <v>3604</v>
      </c>
      <c r="C98" s="174" t="s">
        <v>2143</v>
      </c>
      <c r="D98" s="174">
        <v>1</v>
      </c>
      <c r="E98" s="174" t="s">
        <v>235</v>
      </c>
    </row>
    <row r="99" spans="1:5">
      <c r="A99" s="208">
        <v>173517106</v>
      </c>
      <c r="B99" s="174" t="s">
        <v>291</v>
      </c>
      <c r="C99" s="174" t="s">
        <v>2143</v>
      </c>
      <c r="D99" s="174">
        <v>1</v>
      </c>
      <c r="E99" s="174" t="s">
        <v>235</v>
      </c>
    </row>
    <row r="100" spans="1:5">
      <c r="A100" s="208">
        <v>173518000</v>
      </c>
      <c r="B100" s="174" t="s">
        <v>292</v>
      </c>
      <c r="C100" s="174" t="s">
        <v>2143</v>
      </c>
      <c r="D100" s="174">
        <v>1</v>
      </c>
      <c r="E100" s="174" t="s">
        <v>235</v>
      </c>
    </row>
    <row r="101" spans="1:5">
      <c r="A101" s="208">
        <v>173521000</v>
      </c>
      <c r="B101" s="174" t="s">
        <v>3608</v>
      </c>
      <c r="C101" s="174" t="s">
        <v>2143</v>
      </c>
      <c r="D101" s="174">
        <v>1</v>
      </c>
      <c r="E101" s="174" t="s">
        <v>235</v>
      </c>
    </row>
    <row r="102" spans="1:5">
      <c r="A102" s="208">
        <v>173522000</v>
      </c>
      <c r="B102" s="174" t="s">
        <v>293</v>
      </c>
      <c r="C102" s="174" t="s">
        <v>2143</v>
      </c>
      <c r="D102" s="174">
        <v>1</v>
      </c>
      <c r="E102" s="174" t="s">
        <v>235</v>
      </c>
    </row>
    <row r="103" spans="1:5">
      <c r="A103" s="208">
        <v>173524000</v>
      </c>
      <c r="B103" s="174" t="s">
        <v>295</v>
      </c>
      <c r="C103" s="174" t="s">
        <v>2143</v>
      </c>
      <c r="D103" s="174">
        <v>1</v>
      </c>
      <c r="E103" s="174" t="s">
        <v>235</v>
      </c>
    </row>
    <row r="104" spans="1:5">
      <c r="A104" s="208">
        <v>173525000</v>
      </c>
      <c r="B104" s="174" t="s">
        <v>296</v>
      </c>
      <c r="C104" s="174" t="s">
        <v>2143</v>
      </c>
      <c r="D104" s="174">
        <v>1</v>
      </c>
      <c r="E104" s="174" t="s">
        <v>235</v>
      </c>
    </row>
    <row r="105" spans="1:5">
      <c r="A105" s="208">
        <v>173526000</v>
      </c>
      <c r="B105" s="174" t="s">
        <v>297</v>
      </c>
      <c r="C105" s="174" t="s">
        <v>2143</v>
      </c>
      <c r="D105" s="174">
        <v>1</v>
      </c>
      <c r="E105" s="174" t="s">
        <v>235</v>
      </c>
    </row>
    <row r="106" spans="1:5">
      <c r="A106" s="208">
        <v>173527000</v>
      </c>
      <c r="B106" s="174" t="s">
        <v>919</v>
      </c>
      <c r="C106" s="174" t="s">
        <v>2143</v>
      </c>
      <c r="D106" s="174">
        <v>1</v>
      </c>
      <c r="E106" s="174" t="s">
        <v>235</v>
      </c>
    </row>
    <row r="107" spans="1:5">
      <c r="A107" s="208">
        <v>173528000</v>
      </c>
      <c r="B107" s="174" t="s">
        <v>920</v>
      </c>
      <c r="C107" s="174" t="s">
        <v>2143</v>
      </c>
      <c r="D107" s="174">
        <v>1</v>
      </c>
      <c r="E107" s="174" t="s">
        <v>235</v>
      </c>
    </row>
    <row r="108" spans="1:5">
      <c r="A108" s="208">
        <v>173531000</v>
      </c>
      <c r="B108" s="174" t="s">
        <v>921</v>
      </c>
      <c r="C108" s="174" t="s">
        <v>2143</v>
      </c>
      <c r="D108" s="174">
        <v>1</v>
      </c>
      <c r="E108" s="174" t="s">
        <v>235</v>
      </c>
    </row>
    <row r="109" spans="1:5">
      <c r="A109" s="208">
        <v>173532000</v>
      </c>
      <c r="B109" s="174" t="s">
        <v>922</v>
      </c>
      <c r="C109" s="174" t="s">
        <v>2143</v>
      </c>
      <c r="D109" s="174">
        <v>1</v>
      </c>
      <c r="E109" s="174" t="s">
        <v>235</v>
      </c>
    </row>
    <row r="110" spans="1:5">
      <c r="A110" s="208">
        <v>173539000</v>
      </c>
      <c r="B110" s="174" t="s">
        <v>923</v>
      </c>
      <c r="C110" s="174" t="s">
        <v>2143</v>
      </c>
      <c r="D110" s="174">
        <v>1</v>
      </c>
      <c r="E110" s="174" t="s">
        <v>235</v>
      </c>
    </row>
    <row r="111" spans="1:5">
      <c r="A111" s="208">
        <v>173539201</v>
      </c>
      <c r="B111" s="174" t="s">
        <v>5893</v>
      </c>
      <c r="C111" s="174" t="s">
        <v>2143</v>
      </c>
      <c r="D111" s="174">
        <v>1</v>
      </c>
      <c r="E111" s="174" t="s">
        <v>235</v>
      </c>
    </row>
    <row r="112" spans="1:5">
      <c r="A112" s="208">
        <v>173600000</v>
      </c>
      <c r="B112" s="174" t="s">
        <v>3625</v>
      </c>
      <c r="C112" s="174" t="s">
        <v>2143</v>
      </c>
      <c r="D112" s="174">
        <v>1</v>
      </c>
      <c r="E112" s="174" t="s">
        <v>235</v>
      </c>
    </row>
    <row r="113" spans="1:5">
      <c r="A113" s="208">
        <v>173611101</v>
      </c>
      <c r="B113" s="174" t="s">
        <v>935</v>
      </c>
      <c r="C113" s="174" t="s">
        <v>2143</v>
      </c>
      <c r="D113" s="174">
        <v>1</v>
      </c>
      <c r="E113" s="174" t="s">
        <v>235</v>
      </c>
    </row>
    <row r="114" spans="1:5">
      <c r="A114" s="208">
        <v>173611102</v>
      </c>
      <c r="B114" s="174" t="s">
        <v>936</v>
      </c>
      <c r="C114" s="174" t="s">
        <v>2143</v>
      </c>
      <c r="D114" s="174">
        <v>1</v>
      </c>
      <c r="E114" s="174" t="s">
        <v>235</v>
      </c>
    </row>
    <row r="115" spans="1:5">
      <c r="A115" s="208">
        <v>173611103</v>
      </c>
      <c r="B115" s="174" t="s">
        <v>3630</v>
      </c>
      <c r="C115" s="174" t="s">
        <v>2143</v>
      </c>
      <c r="D115" s="174">
        <v>1</v>
      </c>
      <c r="E115" s="174" t="s">
        <v>235</v>
      </c>
    </row>
    <row r="116" spans="1:5">
      <c r="A116" s="208">
        <v>173611104</v>
      </c>
      <c r="B116" s="174" t="s">
        <v>937</v>
      </c>
      <c r="C116" s="174" t="s">
        <v>2143</v>
      </c>
      <c r="D116" s="174">
        <v>1</v>
      </c>
      <c r="E116" s="174" t="s">
        <v>235</v>
      </c>
    </row>
    <row r="117" spans="1:5">
      <c r="A117" s="208">
        <v>173611105</v>
      </c>
      <c r="B117" s="174" t="s">
        <v>938</v>
      </c>
      <c r="C117" s="174" t="s">
        <v>2143</v>
      </c>
      <c r="D117" s="174">
        <v>1</v>
      </c>
      <c r="E117" s="174" t="s">
        <v>235</v>
      </c>
    </row>
    <row r="118" spans="1:5">
      <c r="A118" s="208">
        <v>173911000</v>
      </c>
      <c r="B118" s="174" t="s">
        <v>940</v>
      </c>
      <c r="C118" s="174" t="s">
        <v>2143</v>
      </c>
      <c r="D118" s="174">
        <v>1</v>
      </c>
      <c r="E118" s="174" t="s">
        <v>235</v>
      </c>
    </row>
    <row r="119" spans="1:5">
      <c r="A119" s="208">
        <v>173919100</v>
      </c>
      <c r="B119" s="174" t="s">
        <v>943</v>
      </c>
      <c r="C119" s="174" t="s">
        <v>2143</v>
      </c>
      <c r="D119" s="174">
        <v>1</v>
      </c>
      <c r="E119" s="174" t="s">
        <v>235</v>
      </c>
    </row>
    <row r="120" spans="1:5">
      <c r="A120" s="208">
        <v>173919105</v>
      </c>
      <c r="B120" s="174" t="s">
        <v>949</v>
      </c>
      <c r="C120" s="174" t="s">
        <v>2143</v>
      </c>
      <c r="D120" s="174">
        <v>1</v>
      </c>
      <c r="E120" s="174" t="s">
        <v>235</v>
      </c>
    </row>
    <row r="121" spans="1:5">
      <c r="A121" s="208">
        <v>173919111</v>
      </c>
      <c r="B121" s="174" t="s">
        <v>5550</v>
      </c>
      <c r="C121" s="174" t="s">
        <v>2143</v>
      </c>
      <c r="D121" s="174">
        <v>1</v>
      </c>
      <c r="E121" s="174" t="s">
        <v>235</v>
      </c>
    </row>
    <row r="122" spans="1:5">
      <c r="A122" s="208">
        <v>173949105</v>
      </c>
      <c r="B122" s="174" t="s">
        <v>962</v>
      </c>
      <c r="C122" s="174" t="s">
        <v>2143</v>
      </c>
      <c r="D122" s="174">
        <v>1</v>
      </c>
      <c r="E122" s="174" t="s">
        <v>235</v>
      </c>
    </row>
    <row r="123" spans="1:5">
      <c r="A123" s="208">
        <v>175100000</v>
      </c>
      <c r="B123" s="174" t="s">
        <v>3683</v>
      </c>
      <c r="C123" s="174" t="s">
        <v>2143</v>
      </c>
      <c r="D123" s="174">
        <v>1</v>
      </c>
      <c r="E123" s="174" t="s">
        <v>235</v>
      </c>
    </row>
    <row r="124" spans="1:5">
      <c r="A124" s="208">
        <v>175114000</v>
      </c>
      <c r="B124" s="174" t="s">
        <v>3690</v>
      </c>
      <c r="C124" s="174" t="s">
        <v>2143</v>
      </c>
      <c r="D124" s="174">
        <v>1</v>
      </c>
      <c r="E124" s="174" t="s">
        <v>235</v>
      </c>
    </row>
    <row r="125" spans="1:5">
      <c r="A125" s="208">
        <v>175225000</v>
      </c>
      <c r="B125" s="174" t="s">
        <v>989</v>
      </c>
      <c r="C125" s="174" t="s">
        <v>2143</v>
      </c>
      <c r="D125" s="174">
        <v>1</v>
      </c>
      <c r="E125" s="174" t="s">
        <v>235</v>
      </c>
    </row>
    <row r="126" spans="1:5">
      <c r="A126" s="208">
        <v>175311000</v>
      </c>
      <c r="B126" s="174" t="s">
        <v>990</v>
      </c>
      <c r="C126" s="174" t="s">
        <v>2143</v>
      </c>
      <c r="D126" s="174">
        <v>1</v>
      </c>
      <c r="E126" s="174" t="s">
        <v>235</v>
      </c>
    </row>
    <row r="127" spans="1:5">
      <c r="A127" s="208">
        <v>175312000</v>
      </c>
      <c r="B127" s="174" t="s">
        <v>991</v>
      </c>
      <c r="C127" s="174" t="s">
        <v>2143</v>
      </c>
      <c r="D127" s="174">
        <v>1</v>
      </c>
      <c r="E127" s="174" t="s">
        <v>235</v>
      </c>
    </row>
    <row r="128" spans="1:5">
      <c r="A128" s="208">
        <v>175313000</v>
      </c>
      <c r="B128" s="174" t="s">
        <v>992</v>
      </c>
      <c r="C128" s="174" t="s">
        <v>2143</v>
      </c>
      <c r="D128" s="174">
        <v>1</v>
      </c>
      <c r="E128" s="174" t="s">
        <v>235</v>
      </c>
    </row>
    <row r="129" spans="1:5">
      <c r="A129" s="208">
        <v>175400000</v>
      </c>
      <c r="B129" s="174" t="s">
        <v>3714</v>
      </c>
      <c r="C129" s="174" t="s">
        <v>2143</v>
      </c>
      <c r="D129" s="174">
        <v>1</v>
      </c>
      <c r="E129" s="174" t="s">
        <v>235</v>
      </c>
    </row>
    <row r="130" spans="1:5">
      <c r="A130" s="208">
        <v>179200000</v>
      </c>
      <c r="B130" s="174" t="s">
        <v>3765</v>
      </c>
      <c r="C130" s="174" t="s">
        <v>2143</v>
      </c>
      <c r="D130" s="174">
        <v>1</v>
      </c>
      <c r="E130" s="174" t="s">
        <v>235</v>
      </c>
    </row>
    <row r="131" spans="1:5">
      <c r="A131" s="208">
        <v>179919100</v>
      </c>
      <c r="B131" s="174" t="s">
        <v>5970</v>
      </c>
      <c r="C131" s="174" t="s">
        <v>2143</v>
      </c>
      <c r="D131" s="174">
        <v>1</v>
      </c>
      <c r="E131" s="174" t="s">
        <v>278</v>
      </c>
    </row>
    <row r="132" spans="1:5">
      <c r="A132" s="208">
        <v>179919200</v>
      </c>
      <c r="B132" s="174" t="s">
        <v>3801</v>
      </c>
      <c r="C132" s="174" t="s">
        <v>2143</v>
      </c>
      <c r="D132" s="174">
        <v>1</v>
      </c>
      <c r="E132" s="174" t="s">
        <v>278</v>
      </c>
    </row>
    <row r="133" spans="1:5">
      <c r="A133" s="208">
        <v>181111801</v>
      </c>
      <c r="B133" s="174" t="s">
        <v>3806</v>
      </c>
      <c r="C133" s="174" t="s">
        <v>2143</v>
      </c>
      <c r="D133" s="174">
        <v>1</v>
      </c>
      <c r="E133" s="174" t="s">
        <v>279</v>
      </c>
    </row>
    <row r="134" spans="1:5">
      <c r="A134" s="208">
        <v>181112000</v>
      </c>
      <c r="B134" s="174" t="s">
        <v>105</v>
      </c>
      <c r="C134" s="174" t="s">
        <v>2143</v>
      </c>
      <c r="D134" s="174">
        <v>1</v>
      </c>
      <c r="E134" s="174" t="s">
        <v>400</v>
      </c>
    </row>
    <row r="135" spans="1:5">
      <c r="A135" s="208">
        <v>181112801</v>
      </c>
      <c r="B135" s="174" t="s">
        <v>3809</v>
      </c>
      <c r="C135" s="174" t="s">
        <v>2143</v>
      </c>
      <c r="D135" s="174">
        <v>1</v>
      </c>
      <c r="E135" s="174" t="s">
        <v>279</v>
      </c>
    </row>
    <row r="136" spans="1:5">
      <c r="A136" s="208">
        <v>181113801</v>
      </c>
      <c r="B136" s="174" t="s">
        <v>3812</v>
      </c>
      <c r="C136" s="174" t="s">
        <v>2143</v>
      </c>
      <c r="D136" s="174">
        <v>1</v>
      </c>
      <c r="E136" s="174" t="s">
        <v>279</v>
      </c>
    </row>
    <row r="137" spans="1:5">
      <c r="A137" s="208">
        <v>181114801</v>
      </c>
      <c r="B137" s="174" t="s">
        <v>3815</v>
      </c>
      <c r="C137" s="174" t="s">
        <v>2143</v>
      </c>
      <c r="D137" s="174">
        <v>1</v>
      </c>
      <c r="E137" s="174" t="s">
        <v>279</v>
      </c>
    </row>
    <row r="138" spans="1:5">
      <c r="A138" s="208">
        <v>181115801</v>
      </c>
      <c r="B138" s="174" t="s">
        <v>3820</v>
      </c>
      <c r="C138" s="174" t="s">
        <v>2143</v>
      </c>
      <c r="D138" s="174">
        <v>1</v>
      </c>
      <c r="E138" s="174" t="s">
        <v>279</v>
      </c>
    </row>
    <row r="139" spans="1:5">
      <c r="A139" s="208">
        <v>181116801</v>
      </c>
      <c r="B139" s="174" t="s">
        <v>3827</v>
      </c>
      <c r="C139" s="174" t="s">
        <v>2143</v>
      </c>
      <c r="D139" s="174">
        <v>1</v>
      </c>
      <c r="E139" s="174" t="s">
        <v>279</v>
      </c>
    </row>
    <row r="140" spans="1:5">
      <c r="A140" s="208">
        <v>181118801</v>
      </c>
      <c r="B140" s="174" t="s">
        <v>3833</v>
      </c>
      <c r="C140" s="174" t="s">
        <v>2143</v>
      </c>
      <c r="D140" s="174">
        <v>1</v>
      </c>
      <c r="E140" s="174" t="s">
        <v>279</v>
      </c>
    </row>
    <row r="141" spans="1:5">
      <c r="A141" s="208">
        <v>181121000</v>
      </c>
      <c r="B141" s="174" t="s">
        <v>3835</v>
      </c>
      <c r="C141" s="174" t="s">
        <v>2143</v>
      </c>
      <c r="D141" s="174">
        <v>1</v>
      </c>
      <c r="E141" s="174" t="s">
        <v>400</v>
      </c>
    </row>
    <row r="142" spans="1:5">
      <c r="A142" s="208">
        <v>181124801</v>
      </c>
      <c r="B142" s="174" t="s">
        <v>3840</v>
      </c>
      <c r="C142" s="174" t="s">
        <v>2143</v>
      </c>
      <c r="D142" s="174">
        <v>1</v>
      </c>
      <c r="E142" s="174" t="s">
        <v>279</v>
      </c>
    </row>
    <row r="143" spans="1:5">
      <c r="A143" s="208">
        <v>181125801</v>
      </c>
      <c r="B143" s="174" t="s">
        <v>3846</v>
      </c>
      <c r="C143" s="174" t="s">
        <v>2143</v>
      </c>
      <c r="D143" s="174">
        <v>1</v>
      </c>
      <c r="E143" s="174" t="s">
        <v>279</v>
      </c>
    </row>
    <row r="144" spans="1:5">
      <c r="A144" s="208">
        <v>183111801</v>
      </c>
      <c r="B144" s="174" t="s">
        <v>3866</v>
      </c>
      <c r="C144" s="174" t="s">
        <v>2143</v>
      </c>
      <c r="D144" s="174">
        <v>1</v>
      </c>
      <c r="E144" s="174" t="s">
        <v>279</v>
      </c>
    </row>
    <row r="145" spans="1:5">
      <c r="A145" s="208">
        <v>183112000</v>
      </c>
      <c r="B145" s="174" t="s">
        <v>3870</v>
      </c>
      <c r="C145" s="174" t="s">
        <v>2143</v>
      </c>
      <c r="D145" s="174">
        <v>1</v>
      </c>
      <c r="E145" s="174" t="s">
        <v>278</v>
      </c>
    </row>
    <row r="146" spans="1:5">
      <c r="A146" s="208">
        <v>183112801</v>
      </c>
      <c r="B146" s="174" t="s">
        <v>3872</v>
      </c>
      <c r="C146" s="174" t="s">
        <v>2143</v>
      </c>
      <c r="D146" s="174">
        <v>1</v>
      </c>
      <c r="E146" s="174" t="s">
        <v>279</v>
      </c>
    </row>
    <row r="147" spans="1:5">
      <c r="A147" s="208">
        <v>183112802</v>
      </c>
      <c r="B147" s="174" t="s">
        <v>3874</v>
      </c>
      <c r="C147" s="174" t="s">
        <v>2143</v>
      </c>
      <c r="D147" s="174">
        <v>1</v>
      </c>
      <c r="E147" s="174" t="s">
        <v>279</v>
      </c>
    </row>
    <row r="148" spans="1:5">
      <c r="A148" s="208">
        <v>183112803</v>
      </c>
      <c r="B148" s="174" t="s">
        <v>3876</v>
      </c>
      <c r="C148" s="174" t="s">
        <v>2143</v>
      </c>
      <c r="D148" s="174">
        <v>1</v>
      </c>
      <c r="E148" s="174" t="s">
        <v>279</v>
      </c>
    </row>
    <row r="149" spans="1:5">
      <c r="A149" s="208">
        <v>183112804</v>
      </c>
      <c r="B149" s="174" t="s">
        <v>3878</v>
      </c>
      <c r="C149" s="174" t="s">
        <v>2143</v>
      </c>
      <c r="D149" s="174">
        <v>1</v>
      </c>
      <c r="E149" s="174" t="s">
        <v>279</v>
      </c>
    </row>
    <row r="150" spans="1:5">
      <c r="A150" s="208">
        <v>189919801</v>
      </c>
      <c r="B150" s="174" t="s">
        <v>3896</v>
      </c>
      <c r="C150" s="174" t="s">
        <v>2143</v>
      </c>
      <c r="D150" s="174">
        <v>1</v>
      </c>
      <c r="E150" s="174" t="s">
        <v>279</v>
      </c>
    </row>
    <row r="151" spans="1:5">
      <c r="A151" s="208">
        <v>191100000</v>
      </c>
      <c r="B151" s="174" t="s">
        <v>3898</v>
      </c>
      <c r="C151" s="174" t="s">
        <v>2143</v>
      </c>
      <c r="D151" s="174">
        <v>1</v>
      </c>
      <c r="E151" s="174" t="s">
        <v>235</v>
      </c>
    </row>
    <row r="152" spans="1:5">
      <c r="A152" s="208">
        <v>191200000</v>
      </c>
      <c r="B152" s="174" t="s">
        <v>3907</v>
      </c>
      <c r="C152" s="174" t="s">
        <v>2143</v>
      </c>
      <c r="D152" s="174">
        <v>1</v>
      </c>
      <c r="E152" s="174" t="s">
        <v>235</v>
      </c>
    </row>
    <row r="153" spans="1:5">
      <c r="A153" s="208">
        <v>192100000</v>
      </c>
      <c r="B153" s="174" t="s">
        <v>3919</v>
      </c>
      <c r="C153" s="174" t="s">
        <v>2143</v>
      </c>
      <c r="D153" s="174">
        <v>1</v>
      </c>
      <c r="E153" s="174" t="s">
        <v>235</v>
      </c>
    </row>
    <row r="154" spans="1:5">
      <c r="A154" s="208">
        <v>192511100</v>
      </c>
      <c r="B154" s="174" t="s">
        <v>3939</v>
      </c>
      <c r="C154" s="174" t="s">
        <v>2143</v>
      </c>
      <c r="D154" s="174">
        <v>1</v>
      </c>
      <c r="E154" s="174" t="s">
        <v>235</v>
      </c>
    </row>
    <row r="155" spans="1:5">
      <c r="A155" s="208">
        <v>192511101</v>
      </c>
      <c r="B155" s="174" t="s">
        <v>3941</v>
      </c>
      <c r="C155" s="174" t="s">
        <v>2143</v>
      </c>
      <c r="D155" s="174">
        <v>1</v>
      </c>
      <c r="E155" s="174" t="s">
        <v>235</v>
      </c>
    </row>
    <row r="156" spans="1:5">
      <c r="A156" s="208">
        <v>194111100</v>
      </c>
      <c r="B156" s="174" t="s">
        <v>5998</v>
      </c>
      <c r="C156" s="174" t="s">
        <v>2143</v>
      </c>
      <c r="D156" s="174">
        <v>1</v>
      </c>
      <c r="E156" s="174" t="s">
        <v>235</v>
      </c>
    </row>
    <row r="157" spans="1:5">
      <c r="A157" s="208">
        <v>194111101</v>
      </c>
      <c r="B157" s="174" t="s">
        <v>5999</v>
      </c>
      <c r="C157" s="174" t="s">
        <v>2143</v>
      </c>
      <c r="D157" s="174">
        <v>1</v>
      </c>
      <c r="E157" s="174" t="s">
        <v>235</v>
      </c>
    </row>
    <row r="158" spans="1:5">
      <c r="A158" s="208">
        <v>194412000</v>
      </c>
      <c r="B158" s="174" t="s">
        <v>1074</v>
      </c>
      <c r="C158" s="174" t="s">
        <v>2143</v>
      </c>
      <c r="D158" s="174">
        <v>1</v>
      </c>
      <c r="E158" s="174" t="s">
        <v>235</v>
      </c>
    </row>
    <row r="159" spans="1:5">
      <c r="A159" s="208">
        <v>194419000</v>
      </c>
      <c r="B159" s="174" t="s">
        <v>1075</v>
      </c>
      <c r="C159" s="174" t="s">
        <v>2143</v>
      </c>
      <c r="D159" s="174">
        <v>1</v>
      </c>
      <c r="E159" s="174" t="s">
        <v>235</v>
      </c>
    </row>
    <row r="160" spans="1:5">
      <c r="A160" s="208">
        <v>195112000</v>
      </c>
      <c r="B160" s="174" t="s">
        <v>1078</v>
      </c>
      <c r="C160" s="174" t="s">
        <v>2143</v>
      </c>
      <c r="D160" s="174">
        <v>1</v>
      </c>
      <c r="E160" s="174" t="s">
        <v>235</v>
      </c>
    </row>
    <row r="161" spans="1:5">
      <c r="A161" s="208">
        <v>195211100</v>
      </c>
      <c r="B161" s="174" t="s">
        <v>1083</v>
      </c>
      <c r="C161" s="174" t="s">
        <v>2143</v>
      </c>
      <c r="D161" s="174">
        <v>1</v>
      </c>
      <c r="E161" s="174" t="s">
        <v>2144</v>
      </c>
    </row>
    <row r="162" spans="1:5">
      <c r="A162" s="208">
        <v>195211101</v>
      </c>
      <c r="B162" s="174" t="s">
        <v>1084</v>
      </c>
      <c r="C162" s="174" t="s">
        <v>2143</v>
      </c>
      <c r="D162" s="174">
        <v>1</v>
      </c>
      <c r="E162" s="174" t="s">
        <v>235</v>
      </c>
    </row>
    <row r="163" spans="1:5">
      <c r="A163" s="208">
        <v>203316000</v>
      </c>
      <c r="B163" s="174" t="s">
        <v>1122</v>
      </c>
      <c r="C163" s="174" t="s">
        <v>2143</v>
      </c>
      <c r="D163" s="174">
        <v>1</v>
      </c>
      <c r="E163" s="174" t="s">
        <v>235</v>
      </c>
    </row>
    <row r="164" spans="1:5">
      <c r="A164" s="208">
        <v>221314000</v>
      </c>
      <c r="B164" s="174" t="s">
        <v>1172</v>
      </c>
      <c r="C164" s="174" t="s">
        <v>2143</v>
      </c>
      <c r="D164" s="174">
        <v>1</v>
      </c>
      <c r="E164" s="174" t="s">
        <v>235</v>
      </c>
    </row>
    <row r="165" spans="1:5">
      <c r="A165" s="208">
        <v>221711000</v>
      </c>
      <c r="B165" s="174" t="s">
        <v>4115</v>
      </c>
      <c r="C165" s="174" t="s">
        <v>2143</v>
      </c>
      <c r="D165" s="174">
        <v>1</v>
      </c>
      <c r="E165" s="174" t="s">
        <v>235</v>
      </c>
    </row>
    <row r="166" spans="1:5">
      <c r="A166" s="208">
        <v>221712000</v>
      </c>
      <c r="B166" s="174" t="s">
        <v>4117</v>
      </c>
      <c r="C166" s="174" t="s">
        <v>2143</v>
      </c>
      <c r="D166" s="174">
        <v>1</v>
      </c>
      <c r="E166" s="174" t="s">
        <v>235</v>
      </c>
    </row>
    <row r="167" spans="1:5">
      <c r="A167" s="208">
        <v>222111000</v>
      </c>
      <c r="B167" s="174" t="s">
        <v>1189</v>
      </c>
      <c r="C167" s="174" t="s">
        <v>2143</v>
      </c>
      <c r="D167" s="174">
        <v>1</v>
      </c>
      <c r="E167" s="174" t="s">
        <v>235</v>
      </c>
    </row>
    <row r="168" spans="1:5">
      <c r="A168" s="208">
        <v>222112000</v>
      </c>
      <c r="B168" s="174" t="s">
        <v>1190</v>
      </c>
      <c r="C168" s="174" t="s">
        <v>2143</v>
      </c>
      <c r="D168" s="174">
        <v>1</v>
      </c>
      <c r="E168" s="174" t="s">
        <v>235</v>
      </c>
    </row>
    <row r="169" spans="1:5">
      <c r="A169" s="208">
        <v>222119000</v>
      </c>
      <c r="B169" s="174" t="s">
        <v>1191</v>
      </c>
      <c r="C169" s="174" t="s">
        <v>2143</v>
      </c>
      <c r="D169" s="174">
        <v>1</v>
      </c>
      <c r="E169" s="174" t="s">
        <v>235</v>
      </c>
    </row>
    <row r="170" spans="1:5">
      <c r="A170" s="208">
        <v>222119200</v>
      </c>
      <c r="B170" s="174" t="s">
        <v>6062</v>
      </c>
      <c r="C170" s="174" t="s">
        <v>2143</v>
      </c>
      <c r="D170" s="174">
        <v>1</v>
      </c>
      <c r="E170" s="174" t="s">
        <v>235</v>
      </c>
    </row>
    <row r="171" spans="1:5">
      <c r="A171" s="208">
        <v>222119201</v>
      </c>
      <c r="B171" s="174" t="s">
        <v>6063</v>
      </c>
      <c r="C171" s="174" t="s">
        <v>2143</v>
      </c>
      <c r="D171" s="174">
        <v>1</v>
      </c>
      <c r="E171" s="174" t="s">
        <v>235</v>
      </c>
    </row>
    <row r="172" spans="1:5">
      <c r="A172" s="208">
        <v>222211000</v>
      </c>
      <c r="B172" s="174" t="s">
        <v>1192</v>
      </c>
      <c r="C172" s="174" t="s">
        <v>2143</v>
      </c>
      <c r="D172" s="174">
        <v>1</v>
      </c>
      <c r="E172" s="174" t="s">
        <v>278</v>
      </c>
    </row>
    <row r="173" spans="1:5">
      <c r="A173" s="208">
        <v>222300200</v>
      </c>
      <c r="B173" s="174" t="s">
        <v>1193</v>
      </c>
      <c r="C173" s="174" t="s">
        <v>2143</v>
      </c>
      <c r="D173" s="174">
        <v>1</v>
      </c>
      <c r="E173" s="174" t="s">
        <v>235</v>
      </c>
    </row>
    <row r="174" spans="1:5">
      <c r="A174" s="208">
        <v>225100000</v>
      </c>
      <c r="B174" s="174" t="s">
        <v>4188</v>
      </c>
      <c r="C174" s="174" t="s">
        <v>2143</v>
      </c>
      <c r="D174" s="174">
        <v>1</v>
      </c>
      <c r="E174" s="174" t="s">
        <v>235</v>
      </c>
    </row>
    <row r="175" spans="1:5">
      <c r="A175" s="208">
        <v>225911000</v>
      </c>
      <c r="B175" s="174" t="s">
        <v>1244</v>
      </c>
      <c r="C175" s="174" t="s">
        <v>2143</v>
      </c>
      <c r="D175" s="174">
        <v>1</v>
      </c>
      <c r="E175" s="174" t="s">
        <v>235</v>
      </c>
    </row>
    <row r="176" spans="1:5">
      <c r="A176" s="208">
        <v>226119100</v>
      </c>
      <c r="B176" s="174" t="s">
        <v>1248</v>
      </c>
      <c r="C176" s="174" t="s">
        <v>2143</v>
      </c>
      <c r="D176" s="174">
        <v>1</v>
      </c>
      <c r="E176" s="174" t="s">
        <v>235</v>
      </c>
    </row>
    <row r="177" spans="1:5">
      <c r="A177" s="208">
        <v>226211000</v>
      </c>
      <c r="B177" s="174" t="s">
        <v>1249</v>
      </c>
      <c r="C177" s="174" t="s">
        <v>2143</v>
      </c>
      <c r="D177" s="174">
        <v>1</v>
      </c>
      <c r="E177" s="174" t="s">
        <v>235</v>
      </c>
    </row>
    <row r="178" spans="1:5">
      <c r="A178" s="208">
        <v>226913000</v>
      </c>
      <c r="B178" s="174" t="s">
        <v>1253</v>
      </c>
      <c r="C178" s="174" t="s">
        <v>2143</v>
      </c>
      <c r="D178" s="174">
        <v>1</v>
      </c>
      <c r="E178" s="174" t="s">
        <v>235</v>
      </c>
    </row>
    <row r="179" spans="1:5">
      <c r="A179" s="208">
        <v>229711000</v>
      </c>
      <c r="B179" s="174" t="s">
        <v>1276</v>
      </c>
      <c r="C179" s="174" t="s">
        <v>2143</v>
      </c>
      <c r="D179" s="174">
        <v>1</v>
      </c>
      <c r="E179" s="174" t="s">
        <v>235</v>
      </c>
    </row>
    <row r="180" spans="1:5">
      <c r="A180" s="208">
        <v>229712000</v>
      </c>
      <c r="B180" s="174" t="s">
        <v>1277</v>
      </c>
      <c r="C180" s="174" t="s">
        <v>2143</v>
      </c>
      <c r="D180" s="174">
        <v>1</v>
      </c>
      <c r="E180" s="174" t="s">
        <v>235</v>
      </c>
    </row>
    <row r="181" spans="1:5">
      <c r="A181" s="208">
        <v>229713000</v>
      </c>
      <c r="B181" s="174" t="s">
        <v>1278</v>
      </c>
      <c r="C181" s="174" t="s">
        <v>2143</v>
      </c>
      <c r="D181" s="174">
        <v>1</v>
      </c>
      <c r="E181" s="174" t="s">
        <v>235</v>
      </c>
    </row>
    <row r="182" spans="1:5">
      <c r="A182" s="208">
        <v>232100000</v>
      </c>
      <c r="B182" s="174" t="s">
        <v>4281</v>
      </c>
      <c r="C182" s="174" t="s">
        <v>2143</v>
      </c>
      <c r="D182" s="174">
        <v>1</v>
      </c>
      <c r="E182" s="174" t="s">
        <v>235</v>
      </c>
    </row>
    <row r="183" spans="1:5">
      <c r="A183" s="208">
        <v>232111000</v>
      </c>
      <c r="B183" s="174" t="s">
        <v>1306</v>
      </c>
      <c r="C183" s="174" t="s">
        <v>2143</v>
      </c>
      <c r="D183" s="174">
        <v>1</v>
      </c>
      <c r="E183" s="174" t="s">
        <v>235</v>
      </c>
    </row>
    <row r="184" spans="1:5">
      <c r="A184" s="208">
        <v>232112000</v>
      </c>
      <c r="B184" s="174" t="s">
        <v>1307</v>
      </c>
      <c r="C184" s="174" t="s">
        <v>2143</v>
      </c>
      <c r="D184" s="174">
        <v>1</v>
      </c>
      <c r="E184" s="174" t="s">
        <v>235</v>
      </c>
    </row>
    <row r="185" spans="1:5">
      <c r="A185" s="208">
        <v>232113000</v>
      </c>
      <c r="B185" s="174" t="s">
        <v>1308</v>
      </c>
      <c r="C185" s="174" t="s">
        <v>2143</v>
      </c>
      <c r="D185" s="174">
        <v>1</v>
      </c>
      <c r="E185" s="174" t="s">
        <v>235</v>
      </c>
    </row>
    <row r="186" spans="1:5">
      <c r="A186" s="208">
        <v>232114000</v>
      </c>
      <c r="B186" s="174" t="s">
        <v>1309</v>
      </c>
      <c r="C186" s="174" t="s">
        <v>2143</v>
      </c>
      <c r="D186" s="174">
        <v>1</v>
      </c>
      <c r="E186" s="174" t="s">
        <v>235</v>
      </c>
    </row>
    <row r="187" spans="1:5">
      <c r="A187" s="208">
        <v>232114100</v>
      </c>
      <c r="B187" s="174" t="s">
        <v>6099</v>
      </c>
      <c r="C187" s="174" t="s">
        <v>2143</v>
      </c>
      <c r="D187" s="174">
        <v>1</v>
      </c>
      <c r="E187" s="174" t="s">
        <v>235</v>
      </c>
    </row>
    <row r="188" spans="1:5">
      <c r="A188" s="208">
        <v>232115000</v>
      </c>
      <c r="B188" s="174" t="s">
        <v>1310</v>
      </c>
      <c r="C188" s="174" t="s">
        <v>2143</v>
      </c>
      <c r="D188" s="174">
        <v>1</v>
      </c>
      <c r="E188" s="174" t="s">
        <v>235</v>
      </c>
    </row>
    <row r="189" spans="1:5">
      <c r="A189" s="208">
        <v>232116000</v>
      </c>
      <c r="B189" s="174" t="s">
        <v>1311</v>
      </c>
      <c r="C189" s="174" t="s">
        <v>2143</v>
      </c>
      <c r="D189" s="174">
        <v>1</v>
      </c>
      <c r="E189" s="174" t="s">
        <v>235</v>
      </c>
    </row>
    <row r="190" spans="1:5">
      <c r="A190" s="208">
        <v>232117101</v>
      </c>
      <c r="B190" s="174" t="s">
        <v>6101</v>
      </c>
      <c r="C190" s="174" t="s">
        <v>2143</v>
      </c>
      <c r="D190" s="174">
        <v>1</v>
      </c>
      <c r="E190" s="174" t="s">
        <v>235</v>
      </c>
    </row>
    <row r="191" spans="1:5">
      <c r="A191" s="208">
        <v>232119000</v>
      </c>
      <c r="B191" s="174" t="s">
        <v>1313</v>
      </c>
      <c r="C191" s="174" t="s">
        <v>2143</v>
      </c>
      <c r="D191" s="174">
        <v>1</v>
      </c>
      <c r="E191" s="174" t="s">
        <v>235</v>
      </c>
    </row>
    <row r="192" spans="1:5">
      <c r="A192" s="208">
        <v>232123201</v>
      </c>
      <c r="B192" s="174" t="s">
        <v>1317</v>
      </c>
      <c r="C192" s="174" t="s">
        <v>2143</v>
      </c>
      <c r="D192" s="174">
        <v>1</v>
      </c>
      <c r="E192" s="174" t="s">
        <v>235</v>
      </c>
    </row>
    <row r="193" spans="1:5">
      <c r="A193" s="208">
        <v>232123202</v>
      </c>
      <c r="B193" s="174" t="s">
        <v>1318</v>
      </c>
      <c r="C193" s="174" t="s">
        <v>2143</v>
      </c>
      <c r="D193" s="174">
        <v>1</v>
      </c>
      <c r="E193" s="174" t="s">
        <v>235</v>
      </c>
    </row>
    <row r="194" spans="1:5">
      <c r="A194" s="208">
        <v>232124000</v>
      </c>
      <c r="B194" s="174" t="s">
        <v>1319</v>
      </c>
      <c r="C194" s="174" t="s">
        <v>2143</v>
      </c>
      <c r="D194" s="174">
        <v>1</v>
      </c>
      <c r="E194" s="174" t="s">
        <v>235</v>
      </c>
    </row>
    <row r="195" spans="1:5">
      <c r="A195" s="208">
        <v>233100000</v>
      </c>
      <c r="B195" s="174" t="s">
        <v>4297</v>
      </c>
      <c r="C195" s="174" t="s">
        <v>2143</v>
      </c>
      <c r="D195" s="174">
        <v>1</v>
      </c>
      <c r="E195" s="174" t="s">
        <v>235</v>
      </c>
    </row>
    <row r="196" spans="1:5">
      <c r="A196" s="208">
        <v>233111000</v>
      </c>
      <c r="B196" s="174" t="s">
        <v>1320</v>
      </c>
      <c r="C196" s="174" t="s">
        <v>2143</v>
      </c>
      <c r="D196" s="174">
        <v>1</v>
      </c>
      <c r="E196" s="174" t="s">
        <v>235</v>
      </c>
    </row>
    <row r="197" spans="1:5">
      <c r="A197" s="208">
        <v>233112000</v>
      </c>
      <c r="B197" s="174" t="s">
        <v>1321</v>
      </c>
      <c r="C197" s="174" t="s">
        <v>2143</v>
      </c>
      <c r="D197" s="174">
        <v>1</v>
      </c>
      <c r="E197" s="174" t="s">
        <v>235</v>
      </c>
    </row>
    <row r="198" spans="1:5">
      <c r="A198" s="208">
        <v>233113000</v>
      </c>
      <c r="B198" s="174" t="s">
        <v>1322</v>
      </c>
      <c r="C198" s="174" t="s">
        <v>2143</v>
      </c>
      <c r="D198" s="174">
        <v>1</v>
      </c>
      <c r="E198" s="174" t="s">
        <v>235</v>
      </c>
    </row>
    <row r="199" spans="1:5">
      <c r="A199" s="208">
        <v>233114000</v>
      </c>
      <c r="B199" s="174" t="s">
        <v>1323</v>
      </c>
      <c r="C199" s="174" t="s">
        <v>2143</v>
      </c>
      <c r="D199" s="174">
        <v>1</v>
      </c>
      <c r="E199" s="174" t="s">
        <v>235</v>
      </c>
    </row>
    <row r="200" spans="1:5">
      <c r="A200" s="208">
        <v>233115000</v>
      </c>
      <c r="B200" s="174" t="s">
        <v>1324</v>
      </c>
      <c r="C200" s="174" t="s">
        <v>2143</v>
      </c>
      <c r="D200" s="174">
        <v>1</v>
      </c>
      <c r="E200" s="174" t="s">
        <v>235</v>
      </c>
    </row>
    <row r="201" spans="1:5">
      <c r="A201" s="208">
        <v>233116000</v>
      </c>
      <c r="B201" s="174" t="s">
        <v>1325</v>
      </c>
      <c r="C201" s="174" t="s">
        <v>2143</v>
      </c>
      <c r="D201" s="174">
        <v>1</v>
      </c>
      <c r="E201" s="174" t="s">
        <v>235</v>
      </c>
    </row>
    <row r="202" spans="1:5">
      <c r="A202" s="208">
        <v>233117000</v>
      </c>
      <c r="B202" s="174" t="s">
        <v>1326</v>
      </c>
      <c r="C202" s="174" t="s">
        <v>2143</v>
      </c>
      <c r="D202" s="174">
        <v>1</v>
      </c>
      <c r="E202" s="174" t="s">
        <v>235</v>
      </c>
    </row>
    <row r="203" spans="1:5">
      <c r="A203" s="208">
        <v>233122000</v>
      </c>
      <c r="B203" s="174" t="s">
        <v>1328</v>
      </c>
      <c r="C203" s="174" t="s">
        <v>2143</v>
      </c>
      <c r="D203" s="174">
        <v>1</v>
      </c>
      <c r="E203" s="174" t="s">
        <v>235</v>
      </c>
    </row>
    <row r="204" spans="1:5">
      <c r="A204" s="208">
        <v>233123000</v>
      </c>
      <c r="B204" s="174" t="s">
        <v>1329</v>
      </c>
      <c r="C204" s="174" t="s">
        <v>2143</v>
      </c>
      <c r="D204" s="174">
        <v>1</v>
      </c>
      <c r="E204" s="174" t="s">
        <v>235</v>
      </c>
    </row>
    <row r="205" spans="1:5">
      <c r="A205" s="208">
        <v>233126000</v>
      </c>
      <c r="B205" s="174" t="s">
        <v>1331</v>
      </c>
      <c r="C205" s="174" t="s">
        <v>2143</v>
      </c>
      <c r="D205" s="174">
        <v>1</v>
      </c>
      <c r="E205" s="174" t="s">
        <v>235</v>
      </c>
    </row>
    <row r="206" spans="1:5">
      <c r="A206" s="208">
        <v>233127000</v>
      </c>
      <c r="B206" s="174" t="s">
        <v>1332</v>
      </c>
      <c r="C206" s="174" t="s">
        <v>2143</v>
      </c>
      <c r="D206" s="174">
        <v>1</v>
      </c>
      <c r="E206" s="174" t="s">
        <v>235</v>
      </c>
    </row>
    <row r="207" spans="1:5">
      <c r="A207" s="208">
        <v>234100000</v>
      </c>
      <c r="B207" s="174" t="s">
        <v>4314</v>
      </c>
      <c r="C207" s="174" t="s">
        <v>2143</v>
      </c>
      <c r="D207" s="174">
        <v>1</v>
      </c>
      <c r="E207" s="174" t="s">
        <v>235</v>
      </c>
    </row>
    <row r="208" spans="1:5">
      <c r="A208" s="208">
        <v>234111000</v>
      </c>
      <c r="B208" s="174" t="s">
        <v>1333</v>
      </c>
      <c r="C208" s="174" t="s">
        <v>2143</v>
      </c>
      <c r="D208" s="174">
        <v>1</v>
      </c>
      <c r="E208" s="174" t="s">
        <v>235</v>
      </c>
    </row>
    <row r="209" spans="1:5">
      <c r="A209" s="208">
        <v>234112000</v>
      </c>
      <c r="B209" s="174" t="s">
        <v>1334</v>
      </c>
      <c r="C209" s="174" t="s">
        <v>2143</v>
      </c>
      <c r="D209" s="174">
        <v>1</v>
      </c>
      <c r="E209" s="174" t="s">
        <v>235</v>
      </c>
    </row>
    <row r="210" spans="1:5">
      <c r="A210" s="208">
        <v>234113000</v>
      </c>
      <c r="B210" s="174" t="s">
        <v>1335</v>
      </c>
      <c r="C210" s="174" t="s">
        <v>2143</v>
      </c>
      <c r="D210" s="174">
        <v>1</v>
      </c>
      <c r="E210" s="174" t="s">
        <v>235</v>
      </c>
    </row>
    <row r="211" spans="1:5">
      <c r="A211" s="208">
        <v>234114000</v>
      </c>
      <c r="B211" s="174" t="s">
        <v>1336</v>
      </c>
      <c r="C211" s="174" t="s">
        <v>2143</v>
      </c>
      <c r="D211" s="174">
        <v>1</v>
      </c>
      <c r="E211" s="174" t="s">
        <v>235</v>
      </c>
    </row>
    <row r="212" spans="1:5">
      <c r="A212" s="208">
        <v>234115000</v>
      </c>
      <c r="B212" s="174" t="s">
        <v>1337</v>
      </c>
      <c r="C212" s="174" t="s">
        <v>2143</v>
      </c>
      <c r="D212" s="174">
        <v>1</v>
      </c>
      <c r="E212" s="174" t="s">
        <v>235</v>
      </c>
    </row>
    <row r="213" spans="1:5">
      <c r="A213" s="208">
        <v>234115101</v>
      </c>
      <c r="B213" s="174" t="s">
        <v>1338</v>
      </c>
      <c r="C213" s="174" t="s">
        <v>2143</v>
      </c>
      <c r="D213" s="174">
        <v>1</v>
      </c>
      <c r="E213" s="174" t="s">
        <v>235</v>
      </c>
    </row>
    <row r="214" spans="1:5">
      <c r="A214" s="208">
        <v>234115102</v>
      </c>
      <c r="B214" s="174" t="s">
        <v>1339</v>
      </c>
      <c r="C214" s="174" t="s">
        <v>2143</v>
      </c>
      <c r="D214" s="174">
        <v>1</v>
      </c>
      <c r="E214" s="174" t="s">
        <v>235</v>
      </c>
    </row>
    <row r="215" spans="1:5">
      <c r="A215" s="208">
        <v>234116000</v>
      </c>
      <c r="B215" s="174" t="s">
        <v>1340</v>
      </c>
      <c r="C215" s="174" t="s">
        <v>2143</v>
      </c>
      <c r="D215" s="174">
        <v>1</v>
      </c>
      <c r="E215" s="174" t="s">
        <v>235</v>
      </c>
    </row>
    <row r="216" spans="1:5">
      <c r="A216" s="208">
        <v>234116101</v>
      </c>
      <c r="B216" s="174" t="s">
        <v>1341</v>
      </c>
      <c r="C216" s="174" t="s">
        <v>2143</v>
      </c>
      <c r="D216" s="174">
        <v>1</v>
      </c>
      <c r="E216" s="174" t="s">
        <v>235</v>
      </c>
    </row>
    <row r="217" spans="1:5">
      <c r="A217" s="208">
        <v>234116102</v>
      </c>
      <c r="B217" s="174" t="s">
        <v>1342</v>
      </c>
      <c r="C217" s="174" t="s">
        <v>2143</v>
      </c>
      <c r="D217" s="174">
        <v>1</v>
      </c>
      <c r="E217" s="174" t="s">
        <v>235</v>
      </c>
    </row>
    <row r="218" spans="1:5">
      <c r="A218" s="208">
        <v>234117000</v>
      </c>
      <c r="B218" s="174" t="s">
        <v>1343</v>
      </c>
      <c r="C218" s="174" t="s">
        <v>2143</v>
      </c>
      <c r="D218" s="174">
        <v>1</v>
      </c>
      <c r="E218" s="174" t="s">
        <v>235</v>
      </c>
    </row>
    <row r="219" spans="1:5">
      <c r="A219" s="208">
        <v>235300000</v>
      </c>
      <c r="B219" s="174" t="s">
        <v>4333</v>
      </c>
      <c r="C219" s="174" t="s">
        <v>2143</v>
      </c>
      <c r="D219" s="174">
        <v>1</v>
      </c>
      <c r="E219" s="174" t="s">
        <v>235</v>
      </c>
    </row>
    <row r="220" spans="1:5">
      <c r="A220" s="208">
        <v>235500000</v>
      </c>
      <c r="B220" s="174" t="s">
        <v>4343</v>
      </c>
      <c r="C220" s="174" t="s">
        <v>2143</v>
      </c>
      <c r="D220" s="174">
        <v>1</v>
      </c>
      <c r="E220" s="174" t="s">
        <v>235</v>
      </c>
    </row>
    <row r="221" spans="1:5">
      <c r="A221" s="208">
        <v>239300000</v>
      </c>
      <c r="B221" s="174" t="s">
        <v>4350</v>
      </c>
      <c r="C221" s="174" t="s">
        <v>2143</v>
      </c>
      <c r="D221" s="174">
        <v>1</v>
      </c>
      <c r="E221" s="174" t="s">
        <v>235</v>
      </c>
    </row>
    <row r="222" spans="1:5">
      <c r="A222" s="208">
        <v>241112000</v>
      </c>
      <c r="B222" s="174" t="s">
        <v>4359</v>
      </c>
      <c r="C222" s="174" t="s">
        <v>2143</v>
      </c>
      <c r="D222" s="174">
        <v>1</v>
      </c>
      <c r="E222" s="174" t="s">
        <v>235</v>
      </c>
    </row>
    <row r="223" spans="1:5">
      <c r="A223" s="208">
        <v>241211000</v>
      </c>
      <c r="B223" s="174" t="s">
        <v>4365</v>
      </c>
      <c r="C223" s="174" t="s">
        <v>2143</v>
      </c>
      <c r="D223" s="174">
        <v>1</v>
      </c>
      <c r="E223" s="174" t="s">
        <v>235</v>
      </c>
    </row>
    <row r="224" spans="1:5">
      <c r="A224" s="208">
        <v>241313000</v>
      </c>
      <c r="B224" s="174" t="s">
        <v>1361</v>
      </c>
      <c r="C224" s="174" t="s">
        <v>2143</v>
      </c>
      <c r="D224" s="174">
        <v>1</v>
      </c>
      <c r="E224" s="174" t="s">
        <v>235</v>
      </c>
    </row>
    <row r="225" spans="1:5">
      <c r="A225" s="208">
        <v>241911102</v>
      </c>
      <c r="B225" s="174" t="s">
        <v>1364</v>
      </c>
      <c r="C225" s="174" t="s">
        <v>2143</v>
      </c>
      <c r="D225" s="174">
        <v>1</v>
      </c>
      <c r="E225" s="174" t="s">
        <v>235</v>
      </c>
    </row>
    <row r="226" spans="1:5">
      <c r="A226" s="208">
        <v>241929240</v>
      </c>
      <c r="B226" s="174" t="s">
        <v>1386</v>
      </c>
      <c r="C226" s="174" t="s">
        <v>2155</v>
      </c>
      <c r="D226" s="174">
        <v>1</v>
      </c>
      <c r="E226" s="174" t="s">
        <v>235</v>
      </c>
    </row>
    <row r="227" spans="1:5">
      <c r="A227" s="208">
        <v>241929315</v>
      </c>
      <c r="B227" s="174" t="s">
        <v>6134</v>
      </c>
      <c r="C227" s="174" t="s">
        <v>2143</v>
      </c>
      <c r="D227" s="174">
        <v>1</v>
      </c>
      <c r="E227" s="174" t="s">
        <v>235</v>
      </c>
    </row>
    <row r="228" spans="1:5">
      <c r="A228" s="208">
        <v>242911000</v>
      </c>
      <c r="B228" s="174" t="s">
        <v>2021</v>
      </c>
      <c r="C228" s="174" t="s">
        <v>2143</v>
      </c>
      <c r="D228" s="174">
        <v>1</v>
      </c>
      <c r="E228" s="174" t="s">
        <v>235</v>
      </c>
    </row>
    <row r="229" spans="1:5">
      <c r="A229" s="208">
        <v>242912000</v>
      </c>
      <c r="B229" s="174" t="s">
        <v>2023</v>
      </c>
      <c r="C229" s="174" t="s">
        <v>2143</v>
      </c>
      <c r="D229" s="174">
        <v>1</v>
      </c>
      <c r="E229" s="174" t="s">
        <v>235</v>
      </c>
    </row>
    <row r="230" spans="1:5">
      <c r="A230" s="208">
        <v>243100000</v>
      </c>
      <c r="B230" s="174" t="s">
        <v>4433</v>
      </c>
      <c r="C230" s="174" t="s">
        <v>2143</v>
      </c>
      <c r="D230" s="174">
        <v>1</v>
      </c>
      <c r="E230" s="174" t="s">
        <v>235</v>
      </c>
    </row>
    <row r="231" spans="1:5">
      <c r="A231" s="208">
        <v>243211000</v>
      </c>
      <c r="B231" s="174" t="s">
        <v>1406</v>
      </c>
      <c r="C231" s="174" t="s">
        <v>2143</v>
      </c>
      <c r="D231" s="174">
        <v>1</v>
      </c>
      <c r="E231" s="174" t="s">
        <v>235</v>
      </c>
    </row>
    <row r="232" spans="1:5">
      <c r="A232" s="208">
        <v>243211204</v>
      </c>
      <c r="B232" s="174" t="s">
        <v>1411</v>
      </c>
      <c r="C232" s="174" t="s">
        <v>2143</v>
      </c>
      <c r="D232" s="174">
        <v>1</v>
      </c>
      <c r="E232" s="174" t="s">
        <v>235</v>
      </c>
    </row>
    <row r="233" spans="1:5">
      <c r="A233" s="208">
        <v>243211206</v>
      </c>
      <c r="B233" s="174" t="s">
        <v>1413</v>
      </c>
      <c r="C233" s="174" t="s">
        <v>2143</v>
      </c>
      <c r="D233" s="174">
        <v>1</v>
      </c>
      <c r="E233" s="174" t="s">
        <v>235</v>
      </c>
    </row>
    <row r="234" spans="1:5">
      <c r="A234" s="208">
        <v>243212000</v>
      </c>
      <c r="B234" s="174" t="s">
        <v>4443</v>
      </c>
      <c r="C234" s="174" t="s">
        <v>2143</v>
      </c>
      <c r="D234" s="174">
        <v>1</v>
      </c>
      <c r="E234" s="174" t="s">
        <v>235</v>
      </c>
    </row>
    <row r="235" spans="1:5">
      <c r="A235" s="208">
        <v>243212203</v>
      </c>
      <c r="B235" s="174" t="s">
        <v>1416</v>
      </c>
      <c r="C235" s="174" t="s">
        <v>2143</v>
      </c>
      <c r="D235" s="174">
        <v>1</v>
      </c>
      <c r="E235" s="174" t="s">
        <v>235</v>
      </c>
    </row>
    <row r="236" spans="1:5">
      <c r="A236" s="208">
        <v>243212204</v>
      </c>
      <c r="B236" s="174" t="s">
        <v>1417</v>
      </c>
      <c r="C236" s="174" t="s">
        <v>2143</v>
      </c>
      <c r="D236" s="174">
        <v>1</v>
      </c>
      <c r="E236" s="174" t="s">
        <v>235</v>
      </c>
    </row>
    <row r="237" spans="1:5">
      <c r="A237" s="208">
        <v>243213000</v>
      </c>
      <c r="B237" s="174" t="s">
        <v>1418</v>
      </c>
      <c r="C237" s="174" t="s">
        <v>2143</v>
      </c>
      <c r="D237" s="174">
        <v>1</v>
      </c>
      <c r="E237" s="174" t="s">
        <v>235</v>
      </c>
    </row>
    <row r="238" spans="1:5">
      <c r="A238" s="208">
        <v>243919200</v>
      </c>
      <c r="B238" s="174" t="s">
        <v>1428</v>
      </c>
      <c r="C238" s="174" t="s">
        <v>2143</v>
      </c>
      <c r="D238" s="174">
        <v>1</v>
      </c>
      <c r="E238" s="174" t="s">
        <v>235</v>
      </c>
    </row>
    <row r="239" spans="1:5">
      <c r="A239" s="208">
        <v>243919201</v>
      </c>
      <c r="B239" s="174" t="s">
        <v>1429</v>
      </c>
      <c r="C239" s="174" t="s">
        <v>2143</v>
      </c>
      <c r="D239" s="174">
        <v>1</v>
      </c>
      <c r="E239" s="174" t="s">
        <v>235</v>
      </c>
    </row>
    <row r="240" spans="1:5">
      <c r="A240" s="208">
        <v>244100000</v>
      </c>
      <c r="B240" s="174" t="s">
        <v>6147</v>
      </c>
      <c r="C240" s="174" t="s">
        <v>2143</v>
      </c>
      <c r="D240" s="174">
        <v>1</v>
      </c>
      <c r="E240" s="174" t="s">
        <v>235</v>
      </c>
    </row>
    <row r="241" spans="1:5">
      <c r="A241" s="208">
        <v>244117000</v>
      </c>
      <c r="B241" s="174" t="s">
        <v>1436</v>
      </c>
      <c r="C241" s="174" t="s">
        <v>2143</v>
      </c>
      <c r="D241" s="174">
        <v>1</v>
      </c>
      <c r="E241" s="174" t="s">
        <v>235</v>
      </c>
    </row>
    <row r="242" spans="1:5">
      <c r="A242" s="208">
        <v>245211000</v>
      </c>
      <c r="B242" s="174" t="s">
        <v>4479</v>
      </c>
      <c r="C242" s="174" t="s">
        <v>2143</v>
      </c>
      <c r="D242" s="174">
        <v>1</v>
      </c>
      <c r="E242" s="174" t="s">
        <v>235</v>
      </c>
    </row>
    <row r="243" spans="1:5">
      <c r="A243" s="208">
        <v>245311000</v>
      </c>
      <c r="B243" s="174" t="s">
        <v>4484</v>
      </c>
      <c r="C243" s="174" t="s">
        <v>2143</v>
      </c>
      <c r="D243" s="174">
        <v>1</v>
      </c>
      <c r="E243" s="174" t="s">
        <v>235</v>
      </c>
    </row>
    <row r="244" spans="1:5">
      <c r="A244" s="208">
        <v>254111000</v>
      </c>
      <c r="B244" s="174" t="s">
        <v>1477</v>
      </c>
      <c r="C244" s="174" t="s">
        <v>2143</v>
      </c>
      <c r="D244" s="174">
        <v>1</v>
      </c>
      <c r="E244" s="174" t="s">
        <v>235</v>
      </c>
    </row>
    <row r="245" spans="1:5">
      <c r="A245" s="208">
        <v>254312000</v>
      </c>
      <c r="B245" s="174" t="s">
        <v>4564</v>
      </c>
      <c r="C245" s="174" t="s">
        <v>2143</v>
      </c>
      <c r="D245" s="174">
        <v>1</v>
      </c>
      <c r="E245" s="174" t="s">
        <v>235</v>
      </c>
    </row>
    <row r="246" spans="1:5">
      <c r="A246" s="208">
        <v>341111000</v>
      </c>
      <c r="B246" s="174" t="s">
        <v>118</v>
      </c>
      <c r="C246" s="174" t="s">
        <v>2143</v>
      </c>
      <c r="D246" s="174">
        <v>1</v>
      </c>
      <c r="E246" s="174" t="s">
        <v>278</v>
      </c>
    </row>
    <row r="247" spans="1:5">
      <c r="A247" s="208">
        <v>341111801</v>
      </c>
      <c r="B247" s="174" t="s">
        <v>5298</v>
      </c>
      <c r="C247" s="174" t="s">
        <v>2143</v>
      </c>
      <c r="D247" s="174">
        <v>1</v>
      </c>
      <c r="E247" s="174" t="s">
        <v>279</v>
      </c>
    </row>
    <row r="248" spans="1:5">
      <c r="A248" s="208">
        <v>351111000</v>
      </c>
      <c r="B248" s="174" t="s">
        <v>1968</v>
      </c>
      <c r="C248" s="174" t="s">
        <v>2143</v>
      </c>
      <c r="D248" s="174">
        <v>1</v>
      </c>
      <c r="E248" s="174" t="s">
        <v>279</v>
      </c>
    </row>
    <row r="249" spans="1:5">
      <c r="A249" s="208">
        <v>351211100</v>
      </c>
      <c r="B249" s="174" t="s">
        <v>1969</v>
      </c>
      <c r="C249" s="174" t="s">
        <v>2143</v>
      </c>
      <c r="D249" s="174">
        <v>1</v>
      </c>
      <c r="E249" s="174" t="s">
        <v>235</v>
      </c>
    </row>
    <row r="250" spans="1:5">
      <c r="A250" s="208">
        <v>361100000</v>
      </c>
      <c r="B250" s="174" t="s">
        <v>5308</v>
      </c>
      <c r="C250" s="174" t="s">
        <v>2143</v>
      </c>
      <c r="D250" s="174">
        <v>1</v>
      </c>
      <c r="E250" s="174" t="s">
        <v>278</v>
      </c>
    </row>
    <row r="251" spans="1:5">
      <c r="A251" s="208">
        <v>362100000</v>
      </c>
      <c r="B251" s="174" t="s">
        <v>5315</v>
      </c>
      <c r="C251" s="174" t="s">
        <v>2143</v>
      </c>
      <c r="D251" s="174">
        <v>1</v>
      </c>
      <c r="E251" s="174" t="s">
        <v>278</v>
      </c>
    </row>
    <row r="252" spans="1:5">
      <c r="A252" s="208">
        <v>449900200</v>
      </c>
      <c r="B252" s="174" t="s">
        <v>6701</v>
      </c>
      <c r="C252" s="174" t="s">
        <v>2155</v>
      </c>
      <c r="D252" s="174">
        <v>1</v>
      </c>
      <c r="E252" s="174" t="s">
        <v>2287</v>
      </c>
    </row>
    <row r="253" spans="1:5">
      <c r="A253" s="208">
        <v>451200107</v>
      </c>
      <c r="B253" s="174" t="s">
        <v>6709</v>
      </c>
      <c r="C253" s="174" t="s">
        <v>2143</v>
      </c>
      <c r="D253" s="174">
        <v>1</v>
      </c>
      <c r="E253" s="174" t="s">
        <v>1693</v>
      </c>
    </row>
    <row r="254" spans="1:5">
      <c r="A254" s="208">
        <v>451200108</v>
      </c>
      <c r="B254" s="174" t="s">
        <v>6710</v>
      </c>
      <c r="C254" s="174" t="s">
        <v>2143</v>
      </c>
      <c r="D254" s="174">
        <v>1</v>
      </c>
      <c r="E254" s="174" t="s">
        <v>1693</v>
      </c>
    </row>
    <row r="255" spans="1:5">
      <c r="A255" s="208">
        <v>452200000</v>
      </c>
      <c r="B255" s="174" t="s">
        <v>6719</v>
      </c>
      <c r="C255" s="174" t="s">
        <v>2143</v>
      </c>
      <c r="D255" s="174">
        <v>1</v>
      </c>
      <c r="E255" s="174" t="s">
        <v>1693</v>
      </c>
    </row>
    <row r="256" spans="1:5">
      <c r="A256" s="208">
        <v>462111000</v>
      </c>
      <c r="B256" s="174" t="s">
        <v>6728</v>
      </c>
      <c r="C256" s="174" t="s">
        <v>2143</v>
      </c>
      <c r="D256" s="174">
        <v>1</v>
      </c>
      <c r="E256" s="174" t="s">
        <v>1693</v>
      </c>
    </row>
    <row r="257" spans="1:5">
      <c r="A257" s="208">
        <v>462112000</v>
      </c>
      <c r="B257" s="174" t="s">
        <v>6729</v>
      </c>
      <c r="C257" s="174" t="s">
        <v>2143</v>
      </c>
      <c r="D257" s="174">
        <v>1</v>
      </c>
      <c r="E257" s="174" t="s">
        <v>1693</v>
      </c>
    </row>
    <row r="258" spans="1:5">
      <c r="A258" s="208">
        <v>519100801</v>
      </c>
      <c r="B258" s="174" t="s">
        <v>5413</v>
      </c>
      <c r="C258" s="174" t="s">
        <v>2143</v>
      </c>
      <c r="D258" s="174">
        <v>1</v>
      </c>
      <c r="E258" s="174" t="s">
        <v>279</v>
      </c>
    </row>
    <row r="259" spans="1:5">
      <c r="A259" s="208">
        <v>519100802</v>
      </c>
      <c r="B259" s="174" t="s">
        <v>5415</v>
      </c>
      <c r="C259" s="174" t="s">
        <v>2143</v>
      </c>
      <c r="D259" s="174">
        <v>1</v>
      </c>
      <c r="E259" s="174" t="s">
        <v>279</v>
      </c>
    </row>
    <row r="260" spans="1:5">
      <c r="A260" s="208">
        <v>519100803</v>
      </c>
      <c r="B260" s="174" t="s">
        <v>5417</v>
      </c>
      <c r="C260" s="174" t="s">
        <v>2143</v>
      </c>
      <c r="D260" s="174">
        <v>1</v>
      </c>
      <c r="E260" s="174" t="s">
        <v>279</v>
      </c>
    </row>
    <row r="261" spans="1:5">
      <c r="A261" s="208">
        <v>851811000</v>
      </c>
      <c r="B261" s="174" t="s">
        <v>1977</v>
      </c>
      <c r="C261" s="174" t="s">
        <v>2143</v>
      </c>
      <c r="D261" s="174">
        <v>1</v>
      </c>
      <c r="E261" s="174" t="s">
        <v>278</v>
      </c>
    </row>
    <row r="262" spans="1:5">
      <c r="A262" s="208">
        <v>852111000</v>
      </c>
      <c r="B262" s="174" t="s">
        <v>6883</v>
      </c>
      <c r="C262" s="174" t="s">
        <v>2143</v>
      </c>
      <c r="D262" s="174">
        <v>1</v>
      </c>
      <c r="E262" s="174" t="s">
        <v>235</v>
      </c>
    </row>
    <row r="263" spans="1:5">
      <c r="A263" s="208">
        <v>852200000</v>
      </c>
      <c r="B263" s="174" t="s">
        <v>5424</v>
      </c>
      <c r="C263" s="174" t="s">
        <v>2143</v>
      </c>
      <c r="D263" s="174">
        <v>1</v>
      </c>
      <c r="E263" s="174" t="s">
        <v>235</v>
      </c>
    </row>
    <row r="264" spans="1:5">
      <c r="A264" s="208">
        <v>852200201</v>
      </c>
      <c r="B264" s="174" t="s">
        <v>6884</v>
      </c>
      <c r="C264" s="174" t="s">
        <v>2143</v>
      </c>
      <c r="D264" s="174">
        <v>1</v>
      </c>
      <c r="E264" s="174" t="s">
        <v>235</v>
      </c>
    </row>
    <row r="265" spans="1:5">
      <c r="A265" s="208">
        <v>852200202</v>
      </c>
      <c r="B265" s="174" t="s">
        <v>6885</v>
      </c>
      <c r="C265" s="174" t="s">
        <v>2143</v>
      </c>
      <c r="D265" s="174">
        <v>1</v>
      </c>
      <c r="E265" s="174" t="s">
        <v>235</v>
      </c>
    </row>
    <row r="266" spans="1:5">
      <c r="A266" s="208">
        <v>852200203</v>
      </c>
      <c r="B266" s="174" t="s">
        <v>6886</v>
      </c>
      <c r="C266" s="174" t="s">
        <v>2143</v>
      </c>
      <c r="D266" s="174">
        <v>1</v>
      </c>
      <c r="E266" s="174" t="s">
        <v>235</v>
      </c>
    </row>
    <row r="267" spans="1:5">
      <c r="A267" s="208">
        <v>852200204</v>
      </c>
      <c r="B267" s="174" t="s">
        <v>6887</v>
      </c>
      <c r="C267" s="174" t="s">
        <v>2143</v>
      </c>
      <c r="D267" s="174">
        <v>1</v>
      </c>
      <c r="E267" s="174" t="s">
        <v>235</v>
      </c>
    </row>
    <row r="268" spans="1:5">
      <c r="A268" s="208">
        <v>852200205</v>
      </c>
      <c r="B268" s="174" t="s">
        <v>6888</v>
      </c>
      <c r="C268" s="174" t="s">
        <v>2143</v>
      </c>
      <c r="D268" s="174">
        <v>1</v>
      </c>
      <c r="E268" s="174" t="s">
        <v>235</v>
      </c>
    </row>
    <row r="269" spans="1:5">
      <c r="A269" s="208">
        <v>852200206</v>
      </c>
      <c r="B269" s="174" t="s">
        <v>6889</v>
      </c>
      <c r="C269" s="174" t="s">
        <v>2143</v>
      </c>
      <c r="D269" s="174">
        <v>1</v>
      </c>
      <c r="E269" s="174" t="s">
        <v>235</v>
      </c>
    </row>
    <row r="270" spans="1:5">
      <c r="A270" s="208">
        <v>852200207</v>
      </c>
      <c r="B270" s="174" t="s">
        <v>6890</v>
      </c>
      <c r="C270" s="174" t="s">
        <v>2143</v>
      </c>
      <c r="D270" s="174">
        <v>1</v>
      </c>
      <c r="E270" s="174" t="s">
        <v>235</v>
      </c>
    </row>
    <row r="271" spans="1:5">
      <c r="A271" s="208">
        <v>852200208</v>
      </c>
      <c r="B271" s="174" t="s">
        <v>6891</v>
      </c>
      <c r="C271" s="174" t="s">
        <v>2143</v>
      </c>
      <c r="D271" s="174">
        <v>1</v>
      </c>
      <c r="E271" s="174" t="s">
        <v>235</v>
      </c>
    </row>
    <row r="272" spans="1:5">
      <c r="A272" s="208">
        <v>852200209</v>
      </c>
      <c r="B272" s="174" t="s">
        <v>6892</v>
      </c>
      <c r="C272" s="174" t="s">
        <v>2143</v>
      </c>
      <c r="D272" s="174">
        <v>1</v>
      </c>
      <c r="E272" s="174" t="s">
        <v>235</v>
      </c>
    </row>
    <row r="273" spans="1:5">
      <c r="A273" s="208">
        <v>852200210</v>
      </c>
      <c r="B273" s="174" t="s">
        <v>6893</v>
      </c>
      <c r="C273" s="174" t="s">
        <v>2143</v>
      </c>
      <c r="D273" s="174">
        <v>1</v>
      </c>
      <c r="E273" s="174" t="s">
        <v>235</v>
      </c>
    </row>
    <row r="274" spans="1:5">
      <c r="A274" s="208">
        <v>852200211</v>
      </c>
      <c r="B274" s="174" t="s">
        <v>6894</v>
      </c>
      <c r="C274" s="174" t="s">
        <v>2143</v>
      </c>
      <c r="D274" s="174">
        <v>1</v>
      </c>
      <c r="E274" s="174" t="s">
        <v>235</v>
      </c>
    </row>
    <row r="275" spans="1:5">
      <c r="A275" s="208">
        <v>852200212</v>
      </c>
      <c r="B275" s="174" t="s">
        <v>6895</v>
      </c>
      <c r="C275" s="174" t="s">
        <v>2143</v>
      </c>
      <c r="D275" s="174">
        <v>1</v>
      </c>
      <c r="E275" s="174" t="s">
        <v>235</v>
      </c>
    </row>
    <row r="276" spans="1:5">
      <c r="A276" s="208">
        <v>852200213</v>
      </c>
      <c r="B276" s="174" t="s">
        <v>6896</v>
      </c>
      <c r="C276" s="174" t="s">
        <v>2143</v>
      </c>
      <c r="D276" s="174">
        <v>1</v>
      </c>
      <c r="E276" s="174" t="s">
        <v>235</v>
      </c>
    </row>
    <row r="277" spans="1:5">
      <c r="A277" s="208">
        <v>852200214</v>
      </c>
      <c r="B277" s="174" t="s">
        <v>6897</v>
      </c>
      <c r="C277" s="174" t="s">
        <v>2143</v>
      </c>
      <c r="D277" s="174">
        <v>1</v>
      </c>
      <c r="E277" s="174" t="s">
        <v>235</v>
      </c>
    </row>
    <row r="278" spans="1:5">
      <c r="A278" s="208">
        <v>852200215</v>
      </c>
      <c r="B278" s="174" t="s">
        <v>6898</v>
      </c>
      <c r="C278" s="174" t="s">
        <v>2143</v>
      </c>
      <c r="D278" s="174">
        <v>1</v>
      </c>
      <c r="E278" s="174" t="s">
        <v>235</v>
      </c>
    </row>
    <row r="279" spans="1:5">
      <c r="A279" s="208">
        <v>852200216</v>
      </c>
      <c r="B279" s="174" t="s">
        <v>6899</v>
      </c>
      <c r="C279" s="174" t="s">
        <v>2143</v>
      </c>
      <c r="D279" s="174">
        <v>1</v>
      </c>
      <c r="E279" s="174" t="s">
        <v>235</v>
      </c>
    </row>
    <row r="280" spans="1:5">
      <c r="A280" s="208">
        <v>852200217</v>
      </c>
      <c r="B280" s="174" t="s">
        <v>6900</v>
      </c>
      <c r="C280" s="174" t="s">
        <v>2143</v>
      </c>
      <c r="D280" s="174">
        <v>1</v>
      </c>
      <c r="E280" s="174" t="s">
        <v>235</v>
      </c>
    </row>
    <row r="281" spans="1:5">
      <c r="A281" s="208">
        <v>852200218</v>
      </c>
      <c r="B281" s="174" t="s">
        <v>6901</v>
      </c>
      <c r="C281" s="174" t="s">
        <v>2143</v>
      </c>
      <c r="D281" s="174">
        <v>1</v>
      </c>
      <c r="E281" s="174" t="s">
        <v>235</v>
      </c>
    </row>
    <row r="282" spans="1:5">
      <c r="A282" s="208">
        <v>852200219</v>
      </c>
      <c r="B282" s="174" t="s">
        <v>6902</v>
      </c>
      <c r="C282" s="174" t="s">
        <v>2143</v>
      </c>
      <c r="D282" s="174">
        <v>1</v>
      </c>
      <c r="E282" s="174" t="s">
        <v>235</v>
      </c>
    </row>
    <row r="283" spans="1:5">
      <c r="A283" s="208">
        <v>852211000</v>
      </c>
      <c r="B283" s="174" t="s">
        <v>5426</v>
      </c>
      <c r="C283" s="174" t="s">
        <v>2143</v>
      </c>
      <c r="D283" s="174">
        <v>1</v>
      </c>
      <c r="E283" s="174" t="s">
        <v>235</v>
      </c>
    </row>
    <row r="284" spans="1:5">
      <c r="A284" s="208">
        <v>852211201</v>
      </c>
      <c r="B284" s="174" t="s">
        <v>6903</v>
      </c>
      <c r="C284" s="174" t="s">
        <v>2143</v>
      </c>
      <c r="D284" s="174">
        <v>1</v>
      </c>
      <c r="E284" s="174" t="s">
        <v>235</v>
      </c>
    </row>
    <row r="285" spans="1:5">
      <c r="A285" s="208">
        <v>852211202</v>
      </c>
      <c r="B285" s="174" t="s">
        <v>6904</v>
      </c>
      <c r="C285" s="174" t="s">
        <v>2143</v>
      </c>
      <c r="D285" s="174">
        <v>1</v>
      </c>
      <c r="E285" s="174" t="s">
        <v>235</v>
      </c>
    </row>
    <row r="286" spans="1:5">
      <c r="A286" s="208">
        <v>852211203</v>
      </c>
      <c r="B286" s="174" t="s">
        <v>6905</v>
      </c>
      <c r="C286" s="174" t="s">
        <v>2143</v>
      </c>
      <c r="D286" s="174">
        <v>1</v>
      </c>
      <c r="E286" s="174" t="s">
        <v>235</v>
      </c>
    </row>
    <row r="287" spans="1:5">
      <c r="A287" s="208">
        <v>852211204</v>
      </c>
      <c r="B287" s="174" t="s">
        <v>6906</v>
      </c>
      <c r="C287" s="174" t="s">
        <v>2143</v>
      </c>
      <c r="D287" s="174">
        <v>1</v>
      </c>
      <c r="E287" s="174" t="s">
        <v>235</v>
      </c>
    </row>
    <row r="288" spans="1:5">
      <c r="A288" s="208">
        <v>852211205</v>
      </c>
      <c r="B288" s="174" t="s">
        <v>6907</v>
      </c>
      <c r="C288" s="174" t="s">
        <v>2143</v>
      </c>
      <c r="D288" s="174">
        <v>1</v>
      </c>
      <c r="E288" s="174" t="s">
        <v>235</v>
      </c>
    </row>
    <row r="289" spans="1:5">
      <c r="A289" s="208">
        <v>852211206</v>
      </c>
      <c r="B289" s="174" t="s">
        <v>6908</v>
      </c>
      <c r="C289" s="174" t="s">
        <v>2143</v>
      </c>
      <c r="D289" s="174">
        <v>1</v>
      </c>
      <c r="E289" s="174" t="s">
        <v>235</v>
      </c>
    </row>
    <row r="290" spans="1:5">
      <c r="A290" s="208">
        <v>852211207</v>
      </c>
      <c r="B290" s="174" t="s">
        <v>6909</v>
      </c>
      <c r="C290" s="174" t="s">
        <v>2143</v>
      </c>
      <c r="D290" s="174">
        <v>1</v>
      </c>
      <c r="E290" s="174" t="s">
        <v>235</v>
      </c>
    </row>
    <row r="291" spans="1:5">
      <c r="A291" s="208">
        <v>852211208</v>
      </c>
      <c r="B291" s="174" t="s">
        <v>6910</v>
      </c>
      <c r="C291" s="174" t="s">
        <v>2143</v>
      </c>
      <c r="D291" s="174">
        <v>1</v>
      </c>
      <c r="E291" s="174" t="s">
        <v>235</v>
      </c>
    </row>
    <row r="292" spans="1:5">
      <c r="A292" s="208">
        <v>852212000</v>
      </c>
      <c r="B292" s="174" t="s">
        <v>5428</v>
      </c>
      <c r="C292" s="174" t="s">
        <v>2143</v>
      </c>
      <c r="D292" s="174">
        <v>1</v>
      </c>
      <c r="E292" s="174" t="s">
        <v>235</v>
      </c>
    </row>
    <row r="293" spans="1:5">
      <c r="A293" s="208">
        <v>852212228</v>
      </c>
      <c r="B293" s="174" t="s">
        <v>6911</v>
      </c>
      <c r="C293" s="174" t="s">
        <v>2143</v>
      </c>
      <c r="D293" s="174">
        <v>1</v>
      </c>
      <c r="E293" s="174" t="s">
        <v>235</v>
      </c>
    </row>
    <row r="294" spans="1:5">
      <c r="A294" s="208">
        <v>852212229</v>
      </c>
      <c r="B294" s="174" t="s">
        <v>6912</v>
      </c>
      <c r="C294" s="174" t="s">
        <v>2143</v>
      </c>
      <c r="D294" s="174">
        <v>1</v>
      </c>
      <c r="E294" s="174" t="s">
        <v>235</v>
      </c>
    </row>
    <row r="295" spans="1:5">
      <c r="A295" s="208">
        <v>852212230</v>
      </c>
      <c r="B295" s="174" t="s">
        <v>6913</v>
      </c>
      <c r="C295" s="174" t="s">
        <v>2143</v>
      </c>
      <c r="D295" s="174">
        <v>1</v>
      </c>
      <c r="E295" s="174" t="s">
        <v>235</v>
      </c>
    </row>
    <row r="296" spans="1:5">
      <c r="A296" s="208">
        <v>852212231</v>
      </c>
      <c r="B296" s="174" t="s">
        <v>6914</v>
      </c>
      <c r="C296" s="174" t="s">
        <v>2143</v>
      </c>
      <c r="D296" s="174">
        <v>1</v>
      </c>
      <c r="E296" s="174" t="s">
        <v>235</v>
      </c>
    </row>
    <row r="297" spans="1:5">
      <c r="A297" s="208">
        <v>852212232</v>
      </c>
      <c r="B297" s="174" t="s">
        <v>6915</v>
      </c>
      <c r="C297" s="174" t="s">
        <v>2143</v>
      </c>
      <c r="D297" s="174">
        <v>1</v>
      </c>
      <c r="E297" s="174" t="s">
        <v>235</v>
      </c>
    </row>
    <row r="298" spans="1:5">
      <c r="A298" s="208">
        <v>852212233</v>
      </c>
      <c r="B298" s="174" t="s">
        <v>6916</v>
      </c>
      <c r="C298" s="174" t="s">
        <v>2143</v>
      </c>
      <c r="D298" s="174">
        <v>1</v>
      </c>
      <c r="E298" s="174" t="s">
        <v>235</v>
      </c>
    </row>
    <row r="299" spans="1:5">
      <c r="A299" s="208">
        <v>852212234</v>
      </c>
      <c r="B299" s="174" t="s">
        <v>6917</v>
      </c>
      <c r="C299" s="174" t="s">
        <v>2143</v>
      </c>
      <c r="D299" s="174">
        <v>1</v>
      </c>
      <c r="E299" s="174" t="s">
        <v>235</v>
      </c>
    </row>
    <row r="300" spans="1:5">
      <c r="A300" s="208">
        <v>852212235</v>
      </c>
      <c r="B300" s="174" t="s">
        <v>6918</v>
      </c>
      <c r="C300" s="174" t="s">
        <v>2143</v>
      </c>
      <c r="D300" s="174">
        <v>1</v>
      </c>
      <c r="E300" s="174" t="s">
        <v>235</v>
      </c>
    </row>
    <row r="301" spans="1:5">
      <c r="A301" s="208">
        <v>852511000</v>
      </c>
      <c r="B301" s="174" t="s">
        <v>1991</v>
      </c>
      <c r="C301" s="174" t="s">
        <v>2143</v>
      </c>
      <c r="D301" s="174">
        <v>1</v>
      </c>
      <c r="E301" s="174" t="s">
        <v>278</v>
      </c>
    </row>
    <row r="302" spans="1:5">
      <c r="A302" s="208">
        <v>859911000</v>
      </c>
      <c r="B302" s="174" t="s">
        <v>6934</v>
      </c>
      <c r="C302" s="174" t="s">
        <v>2143</v>
      </c>
      <c r="D302" s="174">
        <v>1</v>
      </c>
      <c r="E302" s="174" t="s">
        <v>235</v>
      </c>
    </row>
  </sheetData>
  <autoFilter ref="A2:F2"/>
  <phoneticPr fontId="3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F4021"/>
  <sheetViews>
    <sheetView topLeftCell="A1683" workbookViewId="0">
      <selection activeCell="B1706" sqref="B1706"/>
    </sheetView>
  </sheetViews>
  <sheetFormatPr defaultRowHeight="13.8"/>
  <cols>
    <col min="1" max="1" width="14.59765625" style="208" customWidth="1"/>
    <col min="2" max="2" width="53.09765625" style="174" customWidth="1"/>
    <col min="3" max="3" width="7.59765625" style="174" customWidth="1"/>
    <col min="4" max="4" width="9.3984375" style="174" customWidth="1"/>
    <col min="5" max="5" width="7.59765625" style="174" customWidth="1"/>
    <col min="6" max="6" width="9.09765625" style="174" bestFit="1" customWidth="1"/>
    <col min="7" max="236" width="9" style="174"/>
    <col min="237" max="237" width="14.59765625" style="174" customWidth="1"/>
    <col min="238" max="238" width="53.09765625" style="174" customWidth="1"/>
    <col min="239" max="239" width="7.59765625" style="174" customWidth="1"/>
    <col min="240" max="240" width="9.3984375" style="174" customWidth="1"/>
    <col min="241" max="241" width="7.59765625" style="174" customWidth="1"/>
    <col min="242" max="254" width="9.09765625" style="174" bestFit="1" customWidth="1"/>
    <col min="255" max="255" width="9.59765625" style="174" bestFit="1" customWidth="1"/>
    <col min="256" max="257" width="9.09765625" style="174" bestFit="1" customWidth="1"/>
    <col min="258" max="258" width="9.69921875" style="174" bestFit="1" customWidth="1"/>
    <col min="259" max="261" width="9.09765625" style="174" bestFit="1" customWidth="1"/>
    <col min="262" max="492" width="9" style="174"/>
    <col min="493" max="493" width="14.59765625" style="174" customWidth="1"/>
    <col min="494" max="494" width="53.09765625" style="174" customWidth="1"/>
    <col min="495" max="495" width="7.59765625" style="174" customWidth="1"/>
    <col min="496" max="496" width="9.3984375" style="174" customWidth="1"/>
    <col min="497" max="497" width="7.59765625" style="174" customWidth="1"/>
    <col min="498" max="510" width="9.09765625" style="174" bestFit="1" customWidth="1"/>
    <col min="511" max="511" width="9.59765625" style="174" bestFit="1" customWidth="1"/>
    <col min="512" max="513" width="9.09765625" style="174" bestFit="1" customWidth="1"/>
    <col min="514" max="514" width="9.69921875" style="174" bestFit="1" customWidth="1"/>
    <col min="515" max="517" width="9.09765625" style="174" bestFit="1" customWidth="1"/>
    <col min="518" max="748" width="9" style="174"/>
    <col min="749" max="749" width="14.59765625" style="174" customWidth="1"/>
    <col min="750" max="750" width="53.09765625" style="174" customWidth="1"/>
    <col min="751" max="751" width="7.59765625" style="174" customWidth="1"/>
    <col min="752" max="752" width="9.3984375" style="174" customWidth="1"/>
    <col min="753" max="753" width="7.59765625" style="174" customWidth="1"/>
    <col min="754" max="766" width="9.09765625" style="174" bestFit="1" customWidth="1"/>
    <col min="767" max="767" width="9.59765625" style="174" bestFit="1" customWidth="1"/>
    <col min="768" max="769" width="9.09765625" style="174" bestFit="1" customWidth="1"/>
    <col min="770" max="770" width="9.69921875" style="174" bestFit="1" customWidth="1"/>
    <col min="771" max="773" width="9.09765625" style="174" bestFit="1" customWidth="1"/>
    <col min="774" max="1004" width="9" style="174"/>
    <col min="1005" max="1005" width="14.59765625" style="174" customWidth="1"/>
    <col min="1006" max="1006" width="53.09765625" style="174" customWidth="1"/>
    <col min="1007" max="1007" width="7.59765625" style="174" customWidth="1"/>
    <col min="1008" max="1008" width="9.3984375" style="174" customWidth="1"/>
    <col min="1009" max="1009" width="7.59765625" style="174" customWidth="1"/>
    <col min="1010" max="1022" width="9.09765625" style="174" bestFit="1" customWidth="1"/>
    <col min="1023" max="1023" width="9.59765625" style="174" bestFit="1" customWidth="1"/>
    <col min="1024" max="1025" width="9.09765625" style="174" bestFit="1" customWidth="1"/>
    <col min="1026" max="1026" width="9.69921875" style="174" bestFit="1" customWidth="1"/>
    <col min="1027" max="1029" width="9.09765625" style="174" bestFit="1" customWidth="1"/>
    <col min="1030" max="1260" width="9" style="174"/>
    <col min="1261" max="1261" width="14.59765625" style="174" customWidth="1"/>
    <col min="1262" max="1262" width="53.09765625" style="174" customWidth="1"/>
    <col min="1263" max="1263" width="7.59765625" style="174" customWidth="1"/>
    <col min="1264" max="1264" width="9.3984375" style="174" customWidth="1"/>
    <col min="1265" max="1265" width="7.59765625" style="174" customWidth="1"/>
    <col min="1266" max="1278" width="9.09765625" style="174" bestFit="1" customWidth="1"/>
    <col min="1279" max="1279" width="9.59765625" style="174" bestFit="1" customWidth="1"/>
    <col min="1280" max="1281" width="9.09765625" style="174" bestFit="1" customWidth="1"/>
    <col min="1282" max="1282" width="9.69921875" style="174" bestFit="1" customWidth="1"/>
    <col min="1283" max="1285" width="9.09765625" style="174" bestFit="1" customWidth="1"/>
    <col min="1286" max="1516" width="9" style="174"/>
    <col min="1517" max="1517" width="14.59765625" style="174" customWidth="1"/>
    <col min="1518" max="1518" width="53.09765625" style="174" customWidth="1"/>
    <col min="1519" max="1519" width="7.59765625" style="174" customWidth="1"/>
    <col min="1520" max="1520" width="9.3984375" style="174" customWidth="1"/>
    <col min="1521" max="1521" width="7.59765625" style="174" customWidth="1"/>
    <col min="1522" max="1534" width="9.09765625" style="174" bestFit="1" customWidth="1"/>
    <col min="1535" max="1535" width="9.59765625" style="174" bestFit="1" customWidth="1"/>
    <col min="1536" max="1537" width="9.09765625" style="174" bestFit="1" customWidth="1"/>
    <col min="1538" max="1538" width="9.69921875" style="174" bestFit="1" customWidth="1"/>
    <col min="1539" max="1541" width="9.09765625" style="174" bestFit="1" customWidth="1"/>
    <col min="1542" max="1772" width="9" style="174"/>
    <col min="1773" max="1773" width="14.59765625" style="174" customWidth="1"/>
    <col min="1774" max="1774" width="53.09765625" style="174" customWidth="1"/>
    <col min="1775" max="1775" width="7.59765625" style="174" customWidth="1"/>
    <col min="1776" max="1776" width="9.3984375" style="174" customWidth="1"/>
    <col min="1777" max="1777" width="7.59765625" style="174" customWidth="1"/>
    <col min="1778" max="1790" width="9.09765625" style="174" bestFit="1" customWidth="1"/>
    <col min="1791" max="1791" width="9.59765625" style="174" bestFit="1" customWidth="1"/>
    <col min="1792" max="1793" width="9.09765625" style="174" bestFit="1" customWidth="1"/>
    <col min="1794" max="1794" width="9.69921875" style="174" bestFit="1" customWidth="1"/>
    <col min="1795" max="1797" width="9.09765625" style="174" bestFit="1" customWidth="1"/>
    <col min="1798" max="2028" width="9" style="174"/>
    <col min="2029" max="2029" width="14.59765625" style="174" customWidth="1"/>
    <col min="2030" max="2030" width="53.09765625" style="174" customWidth="1"/>
    <col min="2031" max="2031" width="7.59765625" style="174" customWidth="1"/>
    <col min="2032" max="2032" width="9.3984375" style="174" customWidth="1"/>
    <col min="2033" max="2033" width="7.59765625" style="174" customWidth="1"/>
    <col min="2034" max="2046" width="9.09765625" style="174" bestFit="1" customWidth="1"/>
    <col min="2047" max="2047" width="9.59765625" style="174" bestFit="1" customWidth="1"/>
    <col min="2048" max="2049" width="9.09765625" style="174" bestFit="1" customWidth="1"/>
    <col min="2050" max="2050" width="9.69921875" style="174" bestFit="1" customWidth="1"/>
    <col min="2051" max="2053" width="9.09765625" style="174" bestFit="1" customWidth="1"/>
    <col min="2054" max="2284" width="9" style="174"/>
    <col min="2285" max="2285" width="14.59765625" style="174" customWidth="1"/>
    <col min="2286" max="2286" width="53.09765625" style="174" customWidth="1"/>
    <col min="2287" max="2287" width="7.59765625" style="174" customWidth="1"/>
    <col min="2288" max="2288" width="9.3984375" style="174" customWidth="1"/>
    <col min="2289" max="2289" width="7.59765625" style="174" customWidth="1"/>
    <col min="2290" max="2302" width="9.09765625" style="174" bestFit="1" customWidth="1"/>
    <col min="2303" max="2303" width="9.59765625" style="174" bestFit="1" customWidth="1"/>
    <col min="2304" max="2305" width="9.09765625" style="174" bestFit="1" customWidth="1"/>
    <col min="2306" max="2306" width="9.69921875" style="174" bestFit="1" customWidth="1"/>
    <col min="2307" max="2309" width="9.09765625" style="174" bestFit="1" customWidth="1"/>
    <col min="2310" max="2540" width="9" style="174"/>
    <col min="2541" max="2541" width="14.59765625" style="174" customWidth="1"/>
    <col min="2542" max="2542" width="53.09765625" style="174" customWidth="1"/>
    <col min="2543" max="2543" width="7.59765625" style="174" customWidth="1"/>
    <col min="2544" max="2544" width="9.3984375" style="174" customWidth="1"/>
    <col min="2545" max="2545" width="7.59765625" style="174" customWidth="1"/>
    <col min="2546" max="2558" width="9.09765625" style="174" bestFit="1" customWidth="1"/>
    <col min="2559" max="2559" width="9.59765625" style="174" bestFit="1" customWidth="1"/>
    <col min="2560" max="2561" width="9.09765625" style="174" bestFit="1" customWidth="1"/>
    <col min="2562" max="2562" width="9.69921875" style="174" bestFit="1" customWidth="1"/>
    <col min="2563" max="2565" width="9.09765625" style="174" bestFit="1" customWidth="1"/>
    <col min="2566" max="2796" width="9" style="174"/>
    <col min="2797" max="2797" width="14.59765625" style="174" customWidth="1"/>
    <col min="2798" max="2798" width="53.09765625" style="174" customWidth="1"/>
    <col min="2799" max="2799" width="7.59765625" style="174" customWidth="1"/>
    <col min="2800" max="2800" width="9.3984375" style="174" customWidth="1"/>
    <col min="2801" max="2801" width="7.59765625" style="174" customWidth="1"/>
    <col min="2802" max="2814" width="9.09765625" style="174" bestFit="1" customWidth="1"/>
    <col min="2815" max="2815" width="9.59765625" style="174" bestFit="1" customWidth="1"/>
    <col min="2816" max="2817" width="9.09765625" style="174" bestFit="1" customWidth="1"/>
    <col min="2818" max="2818" width="9.69921875" style="174" bestFit="1" customWidth="1"/>
    <col min="2819" max="2821" width="9.09765625" style="174" bestFit="1" customWidth="1"/>
    <col min="2822" max="3052" width="9" style="174"/>
    <col min="3053" max="3053" width="14.59765625" style="174" customWidth="1"/>
    <col min="3054" max="3054" width="53.09765625" style="174" customWidth="1"/>
    <col min="3055" max="3055" width="7.59765625" style="174" customWidth="1"/>
    <col min="3056" max="3056" width="9.3984375" style="174" customWidth="1"/>
    <col min="3057" max="3057" width="7.59765625" style="174" customWidth="1"/>
    <col min="3058" max="3070" width="9.09765625" style="174" bestFit="1" customWidth="1"/>
    <col min="3071" max="3071" width="9.59765625" style="174" bestFit="1" customWidth="1"/>
    <col min="3072" max="3073" width="9.09765625" style="174" bestFit="1" customWidth="1"/>
    <col min="3074" max="3074" width="9.69921875" style="174" bestFit="1" customWidth="1"/>
    <col min="3075" max="3077" width="9.09765625" style="174" bestFit="1" customWidth="1"/>
    <col min="3078" max="3308" width="9" style="174"/>
    <col min="3309" max="3309" width="14.59765625" style="174" customWidth="1"/>
    <col min="3310" max="3310" width="53.09765625" style="174" customWidth="1"/>
    <col min="3311" max="3311" width="7.59765625" style="174" customWidth="1"/>
    <col min="3312" max="3312" width="9.3984375" style="174" customWidth="1"/>
    <col min="3313" max="3313" width="7.59765625" style="174" customWidth="1"/>
    <col min="3314" max="3326" width="9.09765625" style="174" bestFit="1" customWidth="1"/>
    <col min="3327" max="3327" width="9.59765625" style="174" bestFit="1" customWidth="1"/>
    <col min="3328" max="3329" width="9.09765625" style="174" bestFit="1" customWidth="1"/>
    <col min="3330" max="3330" width="9.69921875" style="174" bestFit="1" customWidth="1"/>
    <col min="3331" max="3333" width="9.09765625" style="174" bestFit="1" customWidth="1"/>
    <col min="3334" max="3564" width="9" style="174"/>
    <col min="3565" max="3565" width="14.59765625" style="174" customWidth="1"/>
    <col min="3566" max="3566" width="53.09765625" style="174" customWidth="1"/>
    <col min="3567" max="3567" width="7.59765625" style="174" customWidth="1"/>
    <col min="3568" max="3568" width="9.3984375" style="174" customWidth="1"/>
    <col min="3569" max="3569" width="7.59765625" style="174" customWidth="1"/>
    <col min="3570" max="3582" width="9.09765625" style="174" bestFit="1" customWidth="1"/>
    <col min="3583" max="3583" width="9.59765625" style="174" bestFit="1" customWidth="1"/>
    <col min="3584" max="3585" width="9.09765625" style="174" bestFit="1" customWidth="1"/>
    <col min="3586" max="3586" width="9.69921875" style="174" bestFit="1" customWidth="1"/>
    <col min="3587" max="3589" width="9.09765625" style="174" bestFit="1" customWidth="1"/>
    <col min="3590" max="3820" width="9" style="174"/>
    <col min="3821" max="3821" width="14.59765625" style="174" customWidth="1"/>
    <col min="3822" max="3822" width="53.09765625" style="174" customWidth="1"/>
    <col min="3823" max="3823" width="7.59765625" style="174" customWidth="1"/>
    <col min="3824" max="3824" width="9.3984375" style="174" customWidth="1"/>
    <col min="3825" max="3825" width="7.59765625" style="174" customWidth="1"/>
    <col min="3826" max="3838" width="9.09765625" style="174" bestFit="1" customWidth="1"/>
    <col min="3839" max="3839" width="9.59765625" style="174" bestFit="1" customWidth="1"/>
    <col min="3840" max="3841" width="9.09765625" style="174" bestFit="1" customWidth="1"/>
    <col min="3842" max="3842" width="9.69921875" style="174" bestFit="1" customWidth="1"/>
    <col min="3843" max="3845" width="9.09765625" style="174" bestFit="1" customWidth="1"/>
    <col min="3846" max="4076" width="9" style="174"/>
    <col min="4077" max="4077" width="14.59765625" style="174" customWidth="1"/>
    <col min="4078" max="4078" width="53.09765625" style="174" customWidth="1"/>
    <col min="4079" max="4079" width="7.59765625" style="174" customWidth="1"/>
    <col min="4080" max="4080" width="9.3984375" style="174" customWidth="1"/>
    <col min="4081" max="4081" width="7.59765625" style="174" customWidth="1"/>
    <col min="4082" max="4094" width="9.09765625" style="174" bestFit="1" customWidth="1"/>
    <col min="4095" max="4095" width="9.59765625" style="174" bestFit="1" customWidth="1"/>
    <col min="4096" max="4097" width="9.09765625" style="174" bestFit="1" customWidth="1"/>
    <col min="4098" max="4098" width="9.69921875" style="174" bestFit="1" customWidth="1"/>
    <col min="4099" max="4101" width="9.09765625" style="174" bestFit="1" customWidth="1"/>
    <col min="4102" max="4332" width="9" style="174"/>
    <col min="4333" max="4333" width="14.59765625" style="174" customWidth="1"/>
    <col min="4334" max="4334" width="53.09765625" style="174" customWidth="1"/>
    <col min="4335" max="4335" width="7.59765625" style="174" customWidth="1"/>
    <col min="4336" max="4336" width="9.3984375" style="174" customWidth="1"/>
    <col min="4337" max="4337" width="7.59765625" style="174" customWidth="1"/>
    <col min="4338" max="4350" width="9.09765625" style="174" bestFit="1" customWidth="1"/>
    <col min="4351" max="4351" width="9.59765625" style="174" bestFit="1" customWidth="1"/>
    <col min="4352" max="4353" width="9.09765625" style="174" bestFit="1" customWidth="1"/>
    <col min="4354" max="4354" width="9.69921875" style="174" bestFit="1" customWidth="1"/>
    <col min="4355" max="4357" width="9.09765625" style="174" bestFit="1" customWidth="1"/>
    <col min="4358" max="4588" width="9" style="174"/>
    <col min="4589" max="4589" width="14.59765625" style="174" customWidth="1"/>
    <col min="4590" max="4590" width="53.09765625" style="174" customWidth="1"/>
    <col min="4591" max="4591" width="7.59765625" style="174" customWidth="1"/>
    <col min="4592" max="4592" width="9.3984375" style="174" customWidth="1"/>
    <col min="4593" max="4593" width="7.59765625" style="174" customWidth="1"/>
    <col min="4594" max="4606" width="9.09765625" style="174" bestFit="1" customWidth="1"/>
    <col min="4607" max="4607" width="9.59765625" style="174" bestFit="1" customWidth="1"/>
    <col min="4608" max="4609" width="9.09765625" style="174" bestFit="1" customWidth="1"/>
    <col min="4610" max="4610" width="9.69921875" style="174" bestFit="1" customWidth="1"/>
    <col min="4611" max="4613" width="9.09765625" style="174" bestFit="1" customWidth="1"/>
    <col min="4614" max="4844" width="9" style="174"/>
    <col min="4845" max="4845" width="14.59765625" style="174" customWidth="1"/>
    <col min="4846" max="4846" width="53.09765625" style="174" customWidth="1"/>
    <col min="4847" max="4847" width="7.59765625" style="174" customWidth="1"/>
    <col min="4848" max="4848" width="9.3984375" style="174" customWidth="1"/>
    <col min="4849" max="4849" width="7.59765625" style="174" customWidth="1"/>
    <col min="4850" max="4862" width="9.09765625" style="174" bestFit="1" customWidth="1"/>
    <col min="4863" max="4863" width="9.59765625" style="174" bestFit="1" customWidth="1"/>
    <col min="4864" max="4865" width="9.09765625" style="174" bestFit="1" customWidth="1"/>
    <col min="4866" max="4866" width="9.69921875" style="174" bestFit="1" customWidth="1"/>
    <col min="4867" max="4869" width="9.09765625" style="174" bestFit="1" customWidth="1"/>
    <col min="4870" max="5100" width="9" style="174"/>
    <col min="5101" max="5101" width="14.59765625" style="174" customWidth="1"/>
    <col min="5102" max="5102" width="53.09765625" style="174" customWidth="1"/>
    <col min="5103" max="5103" width="7.59765625" style="174" customWidth="1"/>
    <col min="5104" max="5104" width="9.3984375" style="174" customWidth="1"/>
    <col min="5105" max="5105" width="7.59765625" style="174" customWidth="1"/>
    <col min="5106" max="5118" width="9.09765625" style="174" bestFit="1" customWidth="1"/>
    <col min="5119" max="5119" width="9.59765625" style="174" bestFit="1" customWidth="1"/>
    <col min="5120" max="5121" width="9.09765625" style="174" bestFit="1" customWidth="1"/>
    <col min="5122" max="5122" width="9.69921875" style="174" bestFit="1" customWidth="1"/>
    <col min="5123" max="5125" width="9.09765625" style="174" bestFit="1" customWidth="1"/>
    <col min="5126" max="5356" width="9" style="174"/>
    <col min="5357" max="5357" width="14.59765625" style="174" customWidth="1"/>
    <col min="5358" max="5358" width="53.09765625" style="174" customWidth="1"/>
    <col min="5359" max="5359" width="7.59765625" style="174" customWidth="1"/>
    <col min="5360" max="5360" width="9.3984375" style="174" customWidth="1"/>
    <col min="5361" max="5361" width="7.59765625" style="174" customWidth="1"/>
    <col min="5362" max="5374" width="9.09765625" style="174" bestFit="1" customWidth="1"/>
    <col min="5375" max="5375" width="9.59765625" style="174" bestFit="1" customWidth="1"/>
    <col min="5376" max="5377" width="9.09765625" style="174" bestFit="1" customWidth="1"/>
    <col min="5378" max="5378" width="9.69921875" style="174" bestFit="1" customWidth="1"/>
    <col min="5379" max="5381" width="9.09765625" style="174" bestFit="1" customWidth="1"/>
    <col min="5382" max="5612" width="9" style="174"/>
    <col min="5613" max="5613" width="14.59765625" style="174" customWidth="1"/>
    <col min="5614" max="5614" width="53.09765625" style="174" customWidth="1"/>
    <col min="5615" max="5615" width="7.59765625" style="174" customWidth="1"/>
    <col min="5616" max="5616" width="9.3984375" style="174" customWidth="1"/>
    <col min="5617" max="5617" width="7.59765625" style="174" customWidth="1"/>
    <col min="5618" max="5630" width="9.09765625" style="174" bestFit="1" customWidth="1"/>
    <col min="5631" max="5631" width="9.59765625" style="174" bestFit="1" customWidth="1"/>
    <col min="5632" max="5633" width="9.09765625" style="174" bestFit="1" customWidth="1"/>
    <col min="5634" max="5634" width="9.69921875" style="174" bestFit="1" customWidth="1"/>
    <col min="5635" max="5637" width="9.09765625" style="174" bestFit="1" customWidth="1"/>
    <col min="5638" max="5868" width="9" style="174"/>
    <col min="5869" max="5869" width="14.59765625" style="174" customWidth="1"/>
    <col min="5870" max="5870" width="53.09765625" style="174" customWidth="1"/>
    <col min="5871" max="5871" width="7.59765625" style="174" customWidth="1"/>
    <col min="5872" max="5872" width="9.3984375" style="174" customWidth="1"/>
    <col min="5873" max="5873" width="7.59765625" style="174" customWidth="1"/>
    <col min="5874" max="5886" width="9.09765625" style="174" bestFit="1" customWidth="1"/>
    <col min="5887" max="5887" width="9.59765625" style="174" bestFit="1" customWidth="1"/>
    <col min="5888" max="5889" width="9.09765625" style="174" bestFit="1" customWidth="1"/>
    <col min="5890" max="5890" width="9.69921875" style="174" bestFit="1" customWidth="1"/>
    <col min="5891" max="5893" width="9.09765625" style="174" bestFit="1" customWidth="1"/>
    <col min="5894" max="6124" width="9" style="174"/>
    <col min="6125" max="6125" width="14.59765625" style="174" customWidth="1"/>
    <col min="6126" max="6126" width="53.09765625" style="174" customWidth="1"/>
    <col min="6127" max="6127" width="7.59765625" style="174" customWidth="1"/>
    <col min="6128" max="6128" width="9.3984375" style="174" customWidth="1"/>
    <col min="6129" max="6129" width="7.59765625" style="174" customWidth="1"/>
    <col min="6130" max="6142" width="9.09765625" style="174" bestFit="1" customWidth="1"/>
    <col min="6143" max="6143" width="9.59765625" style="174" bestFit="1" customWidth="1"/>
    <col min="6144" max="6145" width="9.09765625" style="174" bestFit="1" customWidth="1"/>
    <col min="6146" max="6146" width="9.69921875" style="174" bestFit="1" customWidth="1"/>
    <col min="6147" max="6149" width="9.09765625" style="174" bestFit="1" customWidth="1"/>
    <col min="6150" max="6380" width="9" style="174"/>
    <col min="6381" max="6381" width="14.59765625" style="174" customWidth="1"/>
    <col min="6382" max="6382" width="53.09765625" style="174" customWidth="1"/>
    <col min="6383" max="6383" width="7.59765625" style="174" customWidth="1"/>
    <col min="6384" max="6384" width="9.3984375" style="174" customWidth="1"/>
    <col min="6385" max="6385" width="7.59765625" style="174" customWidth="1"/>
    <col min="6386" max="6398" width="9.09765625" style="174" bestFit="1" customWidth="1"/>
    <col min="6399" max="6399" width="9.59765625" style="174" bestFit="1" customWidth="1"/>
    <col min="6400" max="6401" width="9.09765625" style="174" bestFit="1" customWidth="1"/>
    <col min="6402" max="6402" width="9.69921875" style="174" bestFit="1" customWidth="1"/>
    <col min="6403" max="6405" width="9.09765625" style="174" bestFit="1" customWidth="1"/>
    <col min="6406" max="6636" width="9" style="174"/>
    <col min="6637" max="6637" width="14.59765625" style="174" customWidth="1"/>
    <col min="6638" max="6638" width="53.09765625" style="174" customWidth="1"/>
    <col min="6639" max="6639" width="7.59765625" style="174" customWidth="1"/>
    <col min="6640" max="6640" width="9.3984375" style="174" customWidth="1"/>
    <col min="6641" max="6641" width="7.59765625" style="174" customWidth="1"/>
    <col min="6642" max="6654" width="9.09765625" style="174" bestFit="1" customWidth="1"/>
    <col min="6655" max="6655" width="9.59765625" style="174" bestFit="1" customWidth="1"/>
    <col min="6656" max="6657" width="9.09765625" style="174" bestFit="1" customWidth="1"/>
    <col min="6658" max="6658" width="9.69921875" style="174" bestFit="1" customWidth="1"/>
    <col min="6659" max="6661" width="9.09765625" style="174" bestFit="1" customWidth="1"/>
    <col min="6662" max="6892" width="9" style="174"/>
    <col min="6893" max="6893" width="14.59765625" style="174" customWidth="1"/>
    <col min="6894" max="6894" width="53.09765625" style="174" customWidth="1"/>
    <col min="6895" max="6895" width="7.59765625" style="174" customWidth="1"/>
    <col min="6896" max="6896" width="9.3984375" style="174" customWidth="1"/>
    <col min="6897" max="6897" width="7.59765625" style="174" customWidth="1"/>
    <col min="6898" max="6910" width="9.09765625" style="174" bestFit="1" customWidth="1"/>
    <col min="6911" max="6911" width="9.59765625" style="174" bestFit="1" customWidth="1"/>
    <col min="6912" max="6913" width="9.09765625" style="174" bestFit="1" customWidth="1"/>
    <col min="6914" max="6914" width="9.69921875" style="174" bestFit="1" customWidth="1"/>
    <col min="6915" max="6917" width="9.09765625" style="174" bestFit="1" customWidth="1"/>
    <col min="6918" max="7148" width="9" style="174"/>
    <col min="7149" max="7149" width="14.59765625" style="174" customWidth="1"/>
    <col min="7150" max="7150" width="53.09765625" style="174" customWidth="1"/>
    <col min="7151" max="7151" width="7.59765625" style="174" customWidth="1"/>
    <col min="7152" max="7152" width="9.3984375" style="174" customWidth="1"/>
    <col min="7153" max="7153" width="7.59765625" style="174" customWidth="1"/>
    <col min="7154" max="7166" width="9.09765625" style="174" bestFit="1" customWidth="1"/>
    <col min="7167" max="7167" width="9.59765625" style="174" bestFit="1" customWidth="1"/>
    <col min="7168" max="7169" width="9.09765625" style="174" bestFit="1" customWidth="1"/>
    <col min="7170" max="7170" width="9.69921875" style="174" bestFit="1" customWidth="1"/>
    <col min="7171" max="7173" width="9.09765625" style="174" bestFit="1" customWidth="1"/>
    <col min="7174" max="7404" width="9" style="174"/>
    <col min="7405" max="7405" width="14.59765625" style="174" customWidth="1"/>
    <col min="7406" max="7406" width="53.09765625" style="174" customWidth="1"/>
    <col min="7407" max="7407" width="7.59765625" style="174" customWidth="1"/>
    <col min="7408" max="7408" width="9.3984375" style="174" customWidth="1"/>
    <col min="7409" max="7409" width="7.59765625" style="174" customWidth="1"/>
    <col min="7410" max="7422" width="9.09765625" style="174" bestFit="1" customWidth="1"/>
    <col min="7423" max="7423" width="9.59765625" style="174" bestFit="1" customWidth="1"/>
    <col min="7424" max="7425" width="9.09765625" style="174" bestFit="1" customWidth="1"/>
    <col min="7426" max="7426" width="9.69921875" style="174" bestFit="1" customWidth="1"/>
    <col min="7427" max="7429" width="9.09765625" style="174" bestFit="1" customWidth="1"/>
    <col min="7430" max="7660" width="9" style="174"/>
    <col min="7661" max="7661" width="14.59765625" style="174" customWidth="1"/>
    <col min="7662" max="7662" width="53.09765625" style="174" customWidth="1"/>
    <col min="7663" max="7663" width="7.59765625" style="174" customWidth="1"/>
    <col min="7664" max="7664" width="9.3984375" style="174" customWidth="1"/>
    <col min="7665" max="7665" width="7.59765625" style="174" customWidth="1"/>
    <col min="7666" max="7678" width="9.09765625" style="174" bestFit="1" customWidth="1"/>
    <col min="7679" max="7679" width="9.59765625" style="174" bestFit="1" customWidth="1"/>
    <col min="7680" max="7681" width="9.09765625" style="174" bestFit="1" customWidth="1"/>
    <col min="7682" max="7682" width="9.69921875" style="174" bestFit="1" customWidth="1"/>
    <col min="7683" max="7685" width="9.09765625" style="174" bestFit="1" customWidth="1"/>
    <col min="7686" max="7916" width="9" style="174"/>
    <col min="7917" max="7917" width="14.59765625" style="174" customWidth="1"/>
    <col min="7918" max="7918" width="53.09765625" style="174" customWidth="1"/>
    <col min="7919" max="7919" width="7.59765625" style="174" customWidth="1"/>
    <col min="7920" max="7920" width="9.3984375" style="174" customWidth="1"/>
    <col min="7921" max="7921" width="7.59765625" style="174" customWidth="1"/>
    <col min="7922" max="7934" width="9.09765625" style="174" bestFit="1" customWidth="1"/>
    <col min="7935" max="7935" width="9.59765625" style="174" bestFit="1" customWidth="1"/>
    <col min="7936" max="7937" width="9.09765625" style="174" bestFit="1" customWidth="1"/>
    <col min="7938" max="7938" width="9.69921875" style="174" bestFit="1" customWidth="1"/>
    <col min="7939" max="7941" width="9.09765625" style="174" bestFit="1" customWidth="1"/>
    <col min="7942" max="8172" width="9" style="174"/>
    <col min="8173" max="8173" width="14.59765625" style="174" customWidth="1"/>
    <col min="8174" max="8174" width="53.09765625" style="174" customWidth="1"/>
    <col min="8175" max="8175" width="7.59765625" style="174" customWidth="1"/>
    <col min="8176" max="8176" width="9.3984375" style="174" customWidth="1"/>
    <col min="8177" max="8177" width="7.59765625" style="174" customWidth="1"/>
    <col min="8178" max="8190" width="9.09765625" style="174" bestFit="1" customWidth="1"/>
    <col min="8191" max="8191" width="9.59765625" style="174" bestFit="1" customWidth="1"/>
    <col min="8192" max="8193" width="9.09765625" style="174" bestFit="1" customWidth="1"/>
    <col min="8194" max="8194" width="9.69921875" style="174" bestFit="1" customWidth="1"/>
    <col min="8195" max="8197" width="9.09765625" style="174" bestFit="1" customWidth="1"/>
    <col min="8198" max="8428" width="9" style="174"/>
    <col min="8429" max="8429" width="14.59765625" style="174" customWidth="1"/>
    <col min="8430" max="8430" width="53.09765625" style="174" customWidth="1"/>
    <col min="8431" max="8431" width="7.59765625" style="174" customWidth="1"/>
    <col min="8432" max="8432" width="9.3984375" style="174" customWidth="1"/>
    <col min="8433" max="8433" width="7.59765625" style="174" customWidth="1"/>
    <col min="8434" max="8446" width="9.09765625" style="174" bestFit="1" customWidth="1"/>
    <col min="8447" max="8447" width="9.59765625" style="174" bestFit="1" customWidth="1"/>
    <col min="8448" max="8449" width="9.09765625" style="174" bestFit="1" customWidth="1"/>
    <col min="8450" max="8450" width="9.69921875" style="174" bestFit="1" customWidth="1"/>
    <col min="8451" max="8453" width="9.09765625" style="174" bestFit="1" customWidth="1"/>
    <col min="8454" max="8684" width="9" style="174"/>
    <col min="8685" max="8685" width="14.59765625" style="174" customWidth="1"/>
    <col min="8686" max="8686" width="53.09765625" style="174" customWidth="1"/>
    <col min="8687" max="8687" width="7.59765625" style="174" customWidth="1"/>
    <col min="8688" max="8688" width="9.3984375" style="174" customWidth="1"/>
    <col min="8689" max="8689" width="7.59765625" style="174" customWidth="1"/>
    <col min="8690" max="8702" width="9.09765625" style="174" bestFit="1" customWidth="1"/>
    <col min="8703" max="8703" width="9.59765625" style="174" bestFit="1" customWidth="1"/>
    <col min="8704" max="8705" width="9.09765625" style="174" bestFit="1" customWidth="1"/>
    <col min="8706" max="8706" width="9.69921875" style="174" bestFit="1" customWidth="1"/>
    <col min="8707" max="8709" width="9.09765625" style="174" bestFit="1" customWidth="1"/>
    <col min="8710" max="8940" width="9" style="174"/>
    <col min="8941" max="8941" width="14.59765625" style="174" customWidth="1"/>
    <col min="8942" max="8942" width="53.09765625" style="174" customWidth="1"/>
    <col min="8943" max="8943" width="7.59765625" style="174" customWidth="1"/>
    <col min="8944" max="8944" width="9.3984375" style="174" customWidth="1"/>
    <col min="8945" max="8945" width="7.59765625" style="174" customWidth="1"/>
    <col min="8946" max="8958" width="9.09765625" style="174" bestFit="1" customWidth="1"/>
    <col min="8959" max="8959" width="9.59765625" style="174" bestFit="1" customWidth="1"/>
    <col min="8960" max="8961" width="9.09765625" style="174" bestFit="1" customWidth="1"/>
    <col min="8962" max="8962" width="9.69921875" style="174" bestFit="1" customWidth="1"/>
    <col min="8963" max="8965" width="9.09765625" style="174" bestFit="1" customWidth="1"/>
    <col min="8966" max="9196" width="9" style="174"/>
    <col min="9197" max="9197" width="14.59765625" style="174" customWidth="1"/>
    <col min="9198" max="9198" width="53.09765625" style="174" customWidth="1"/>
    <col min="9199" max="9199" width="7.59765625" style="174" customWidth="1"/>
    <col min="9200" max="9200" width="9.3984375" style="174" customWidth="1"/>
    <col min="9201" max="9201" width="7.59765625" style="174" customWidth="1"/>
    <col min="9202" max="9214" width="9.09765625" style="174" bestFit="1" customWidth="1"/>
    <col min="9215" max="9215" width="9.59765625" style="174" bestFit="1" customWidth="1"/>
    <col min="9216" max="9217" width="9.09765625" style="174" bestFit="1" customWidth="1"/>
    <col min="9218" max="9218" width="9.69921875" style="174" bestFit="1" customWidth="1"/>
    <col min="9219" max="9221" width="9.09765625" style="174" bestFit="1" customWidth="1"/>
    <col min="9222" max="9452" width="9" style="174"/>
    <col min="9453" max="9453" width="14.59765625" style="174" customWidth="1"/>
    <col min="9454" max="9454" width="53.09765625" style="174" customWidth="1"/>
    <col min="9455" max="9455" width="7.59765625" style="174" customWidth="1"/>
    <col min="9456" max="9456" width="9.3984375" style="174" customWidth="1"/>
    <col min="9457" max="9457" width="7.59765625" style="174" customWidth="1"/>
    <col min="9458" max="9470" width="9.09765625" style="174" bestFit="1" customWidth="1"/>
    <col min="9471" max="9471" width="9.59765625" style="174" bestFit="1" customWidth="1"/>
    <col min="9472" max="9473" width="9.09765625" style="174" bestFit="1" customWidth="1"/>
    <col min="9474" max="9474" width="9.69921875" style="174" bestFit="1" customWidth="1"/>
    <col min="9475" max="9477" width="9.09765625" style="174" bestFit="1" customWidth="1"/>
    <col min="9478" max="9708" width="9" style="174"/>
    <col min="9709" max="9709" width="14.59765625" style="174" customWidth="1"/>
    <col min="9710" max="9710" width="53.09765625" style="174" customWidth="1"/>
    <col min="9711" max="9711" width="7.59765625" style="174" customWidth="1"/>
    <col min="9712" max="9712" width="9.3984375" style="174" customWidth="1"/>
    <col min="9713" max="9713" width="7.59765625" style="174" customWidth="1"/>
    <col min="9714" max="9726" width="9.09765625" style="174" bestFit="1" customWidth="1"/>
    <col min="9727" max="9727" width="9.59765625" style="174" bestFit="1" customWidth="1"/>
    <col min="9728" max="9729" width="9.09765625" style="174" bestFit="1" customWidth="1"/>
    <col min="9730" max="9730" width="9.69921875" style="174" bestFit="1" customWidth="1"/>
    <col min="9731" max="9733" width="9.09765625" style="174" bestFit="1" customWidth="1"/>
    <col min="9734" max="9964" width="9" style="174"/>
    <col min="9965" max="9965" width="14.59765625" style="174" customWidth="1"/>
    <col min="9966" max="9966" width="53.09765625" style="174" customWidth="1"/>
    <col min="9967" max="9967" width="7.59765625" style="174" customWidth="1"/>
    <col min="9968" max="9968" width="9.3984375" style="174" customWidth="1"/>
    <col min="9969" max="9969" width="7.59765625" style="174" customWidth="1"/>
    <col min="9970" max="9982" width="9.09765625" style="174" bestFit="1" customWidth="1"/>
    <col min="9983" max="9983" width="9.59765625" style="174" bestFit="1" customWidth="1"/>
    <col min="9984" max="9985" width="9.09765625" style="174" bestFit="1" customWidth="1"/>
    <col min="9986" max="9986" width="9.69921875" style="174" bestFit="1" customWidth="1"/>
    <col min="9987" max="9989" width="9.09765625" style="174" bestFit="1" customWidth="1"/>
    <col min="9990" max="10220" width="9" style="174"/>
    <col min="10221" max="10221" width="14.59765625" style="174" customWidth="1"/>
    <col min="10222" max="10222" width="53.09765625" style="174" customWidth="1"/>
    <col min="10223" max="10223" width="7.59765625" style="174" customWidth="1"/>
    <col min="10224" max="10224" width="9.3984375" style="174" customWidth="1"/>
    <col min="10225" max="10225" width="7.59765625" style="174" customWidth="1"/>
    <col min="10226" max="10238" width="9.09765625" style="174" bestFit="1" customWidth="1"/>
    <col min="10239" max="10239" width="9.59765625" style="174" bestFit="1" customWidth="1"/>
    <col min="10240" max="10241" width="9.09765625" style="174" bestFit="1" customWidth="1"/>
    <col min="10242" max="10242" width="9.69921875" style="174" bestFit="1" customWidth="1"/>
    <col min="10243" max="10245" width="9.09765625" style="174" bestFit="1" customWidth="1"/>
    <col min="10246" max="10476" width="9" style="174"/>
    <col min="10477" max="10477" width="14.59765625" style="174" customWidth="1"/>
    <col min="10478" max="10478" width="53.09765625" style="174" customWidth="1"/>
    <col min="10479" max="10479" width="7.59765625" style="174" customWidth="1"/>
    <col min="10480" max="10480" width="9.3984375" style="174" customWidth="1"/>
    <col min="10481" max="10481" width="7.59765625" style="174" customWidth="1"/>
    <col min="10482" max="10494" width="9.09765625" style="174" bestFit="1" customWidth="1"/>
    <col min="10495" max="10495" width="9.59765625" style="174" bestFit="1" customWidth="1"/>
    <col min="10496" max="10497" width="9.09765625" style="174" bestFit="1" customWidth="1"/>
    <col min="10498" max="10498" width="9.69921875" style="174" bestFit="1" customWidth="1"/>
    <col min="10499" max="10501" width="9.09765625" style="174" bestFit="1" customWidth="1"/>
    <col min="10502" max="10732" width="9" style="174"/>
    <col min="10733" max="10733" width="14.59765625" style="174" customWidth="1"/>
    <col min="10734" max="10734" width="53.09765625" style="174" customWidth="1"/>
    <col min="10735" max="10735" width="7.59765625" style="174" customWidth="1"/>
    <col min="10736" max="10736" width="9.3984375" style="174" customWidth="1"/>
    <col min="10737" max="10737" width="7.59765625" style="174" customWidth="1"/>
    <col min="10738" max="10750" width="9.09765625" style="174" bestFit="1" customWidth="1"/>
    <col min="10751" max="10751" width="9.59765625" style="174" bestFit="1" customWidth="1"/>
    <col min="10752" max="10753" width="9.09765625" style="174" bestFit="1" customWidth="1"/>
    <col min="10754" max="10754" width="9.69921875" style="174" bestFit="1" customWidth="1"/>
    <col min="10755" max="10757" width="9.09765625" style="174" bestFit="1" customWidth="1"/>
    <col min="10758" max="10988" width="9" style="174"/>
    <col min="10989" max="10989" width="14.59765625" style="174" customWidth="1"/>
    <col min="10990" max="10990" width="53.09765625" style="174" customWidth="1"/>
    <col min="10991" max="10991" width="7.59765625" style="174" customWidth="1"/>
    <col min="10992" max="10992" width="9.3984375" style="174" customWidth="1"/>
    <col min="10993" max="10993" width="7.59765625" style="174" customWidth="1"/>
    <col min="10994" max="11006" width="9.09765625" style="174" bestFit="1" customWidth="1"/>
    <col min="11007" max="11007" width="9.59765625" style="174" bestFit="1" customWidth="1"/>
    <col min="11008" max="11009" width="9.09765625" style="174" bestFit="1" customWidth="1"/>
    <col min="11010" max="11010" width="9.69921875" style="174" bestFit="1" customWidth="1"/>
    <col min="11011" max="11013" width="9.09765625" style="174" bestFit="1" customWidth="1"/>
    <col min="11014" max="11244" width="9" style="174"/>
    <col min="11245" max="11245" width="14.59765625" style="174" customWidth="1"/>
    <col min="11246" max="11246" width="53.09765625" style="174" customWidth="1"/>
    <col min="11247" max="11247" width="7.59765625" style="174" customWidth="1"/>
    <col min="11248" max="11248" width="9.3984375" style="174" customWidth="1"/>
    <col min="11249" max="11249" width="7.59765625" style="174" customWidth="1"/>
    <col min="11250" max="11262" width="9.09765625" style="174" bestFit="1" customWidth="1"/>
    <col min="11263" max="11263" width="9.59765625" style="174" bestFit="1" customWidth="1"/>
    <col min="11264" max="11265" width="9.09765625" style="174" bestFit="1" customWidth="1"/>
    <col min="11266" max="11266" width="9.69921875" style="174" bestFit="1" customWidth="1"/>
    <col min="11267" max="11269" width="9.09765625" style="174" bestFit="1" customWidth="1"/>
    <col min="11270" max="11500" width="9" style="174"/>
    <col min="11501" max="11501" width="14.59765625" style="174" customWidth="1"/>
    <col min="11502" max="11502" width="53.09765625" style="174" customWidth="1"/>
    <col min="11503" max="11503" width="7.59765625" style="174" customWidth="1"/>
    <col min="11504" max="11504" width="9.3984375" style="174" customWidth="1"/>
    <col min="11505" max="11505" width="7.59765625" style="174" customWidth="1"/>
    <col min="11506" max="11518" width="9.09765625" style="174" bestFit="1" customWidth="1"/>
    <col min="11519" max="11519" width="9.59765625" style="174" bestFit="1" customWidth="1"/>
    <col min="11520" max="11521" width="9.09765625" style="174" bestFit="1" customWidth="1"/>
    <col min="11522" max="11522" width="9.69921875" style="174" bestFit="1" customWidth="1"/>
    <col min="11523" max="11525" width="9.09765625" style="174" bestFit="1" customWidth="1"/>
    <col min="11526" max="11756" width="9" style="174"/>
    <col min="11757" max="11757" width="14.59765625" style="174" customWidth="1"/>
    <col min="11758" max="11758" width="53.09765625" style="174" customWidth="1"/>
    <col min="11759" max="11759" width="7.59765625" style="174" customWidth="1"/>
    <col min="11760" max="11760" width="9.3984375" style="174" customWidth="1"/>
    <col min="11761" max="11761" width="7.59765625" style="174" customWidth="1"/>
    <col min="11762" max="11774" width="9.09765625" style="174" bestFit="1" customWidth="1"/>
    <col min="11775" max="11775" width="9.59765625" style="174" bestFit="1" customWidth="1"/>
    <col min="11776" max="11777" width="9.09765625" style="174" bestFit="1" customWidth="1"/>
    <col min="11778" max="11778" width="9.69921875" style="174" bestFit="1" customWidth="1"/>
    <col min="11779" max="11781" width="9.09765625" style="174" bestFit="1" customWidth="1"/>
    <col min="11782" max="12012" width="9" style="174"/>
    <col min="12013" max="12013" width="14.59765625" style="174" customWidth="1"/>
    <col min="12014" max="12014" width="53.09765625" style="174" customWidth="1"/>
    <col min="12015" max="12015" width="7.59765625" style="174" customWidth="1"/>
    <col min="12016" max="12016" width="9.3984375" style="174" customWidth="1"/>
    <col min="12017" max="12017" width="7.59765625" style="174" customWidth="1"/>
    <col min="12018" max="12030" width="9.09765625" style="174" bestFit="1" customWidth="1"/>
    <col min="12031" max="12031" width="9.59765625" style="174" bestFit="1" customWidth="1"/>
    <col min="12032" max="12033" width="9.09765625" style="174" bestFit="1" customWidth="1"/>
    <col min="12034" max="12034" width="9.69921875" style="174" bestFit="1" customWidth="1"/>
    <col min="12035" max="12037" width="9.09765625" style="174" bestFit="1" customWidth="1"/>
    <col min="12038" max="12268" width="9" style="174"/>
    <col min="12269" max="12269" width="14.59765625" style="174" customWidth="1"/>
    <col min="12270" max="12270" width="53.09765625" style="174" customWidth="1"/>
    <col min="12271" max="12271" width="7.59765625" style="174" customWidth="1"/>
    <col min="12272" max="12272" width="9.3984375" style="174" customWidth="1"/>
    <col min="12273" max="12273" width="7.59765625" style="174" customWidth="1"/>
    <col min="12274" max="12286" width="9.09765625" style="174" bestFit="1" customWidth="1"/>
    <col min="12287" max="12287" width="9.59765625" style="174" bestFit="1" customWidth="1"/>
    <col min="12288" max="12289" width="9.09765625" style="174" bestFit="1" customWidth="1"/>
    <col min="12290" max="12290" width="9.69921875" style="174" bestFit="1" customWidth="1"/>
    <col min="12291" max="12293" width="9.09765625" style="174" bestFit="1" customWidth="1"/>
    <col min="12294" max="12524" width="9" style="174"/>
    <col min="12525" max="12525" width="14.59765625" style="174" customWidth="1"/>
    <col min="12526" max="12526" width="53.09765625" style="174" customWidth="1"/>
    <col min="12527" max="12527" width="7.59765625" style="174" customWidth="1"/>
    <col min="12528" max="12528" width="9.3984375" style="174" customWidth="1"/>
    <col min="12529" max="12529" width="7.59765625" style="174" customWidth="1"/>
    <col min="12530" max="12542" width="9.09765625" style="174" bestFit="1" customWidth="1"/>
    <col min="12543" max="12543" width="9.59765625" style="174" bestFit="1" customWidth="1"/>
    <col min="12544" max="12545" width="9.09765625" style="174" bestFit="1" customWidth="1"/>
    <col min="12546" max="12546" width="9.69921875" style="174" bestFit="1" customWidth="1"/>
    <col min="12547" max="12549" width="9.09765625" style="174" bestFit="1" customWidth="1"/>
    <col min="12550" max="12780" width="9" style="174"/>
    <col min="12781" max="12781" width="14.59765625" style="174" customWidth="1"/>
    <col min="12782" max="12782" width="53.09765625" style="174" customWidth="1"/>
    <col min="12783" max="12783" width="7.59765625" style="174" customWidth="1"/>
    <col min="12784" max="12784" width="9.3984375" style="174" customWidth="1"/>
    <col min="12785" max="12785" width="7.59765625" style="174" customWidth="1"/>
    <col min="12786" max="12798" width="9.09765625" style="174" bestFit="1" customWidth="1"/>
    <col min="12799" max="12799" width="9.59765625" style="174" bestFit="1" customWidth="1"/>
    <col min="12800" max="12801" width="9.09765625" style="174" bestFit="1" customWidth="1"/>
    <col min="12802" max="12802" width="9.69921875" style="174" bestFit="1" customWidth="1"/>
    <col min="12803" max="12805" width="9.09765625" style="174" bestFit="1" customWidth="1"/>
    <col min="12806" max="13036" width="9" style="174"/>
    <col min="13037" max="13037" width="14.59765625" style="174" customWidth="1"/>
    <col min="13038" max="13038" width="53.09765625" style="174" customWidth="1"/>
    <col min="13039" max="13039" width="7.59765625" style="174" customWidth="1"/>
    <col min="13040" max="13040" width="9.3984375" style="174" customWidth="1"/>
    <col min="13041" max="13041" width="7.59765625" style="174" customWidth="1"/>
    <col min="13042" max="13054" width="9.09765625" style="174" bestFit="1" customWidth="1"/>
    <col min="13055" max="13055" width="9.59765625" style="174" bestFit="1" customWidth="1"/>
    <col min="13056" max="13057" width="9.09765625" style="174" bestFit="1" customWidth="1"/>
    <col min="13058" max="13058" width="9.69921875" style="174" bestFit="1" customWidth="1"/>
    <col min="13059" max="13061" width="9.09765625" style="174" bestFit="1" customWidth="1"/>
    <col min="13062" max="13292" width="9" style="174"/>
    <col min="13293" max="13293" width="14.59765625" style="174" customWidth="1"/>
    <col min="13294" max="13294" width="53.09765625" style="174" customWidth="1"/>
    <col min="13295" max="13295" width="7.59765625" style="174" customWidth="1"/>
    <col min="13296" max="13296" width="9.3984375" style="174" customWidth="1"/>
    <col min="13297" max="13297" width="7.59765625" style="174" customWidth="1"/>
    <col min="13298" max="13310" width="9.09765625" style="174" bestFit="1" customWidth="1"/>
    <col min="13311" max="13311" width="9.59765625" style="174" bestFit="1" customWidth="1"/>
    <col min="13312" max="13313" width="9.09765625" style="174" bestFit="1" customWidth="1"/>
    <col min="13314" max="13314" width="9.69921875" style="174" bestFit="1" customWidth="1"/>
    <col min="13315" max="13317" width="9.09765625" style="174" bestFit="1" customWidth="1"/>
    <col min="13318" max="13548" width="9" style="174"/>
    <col min="13549" max="13549" width="14.59765625" style="174" customWidth="1"/>
    <col min="13550" max="13550" width="53.09765625" style="174" customWidth="1"/>
    <col min="13551" max="13551" width="7.59765625" style="174" customWidth="1"/>
    <col min="13552" max="13552" width="9.3984375" style="174" customWidth="1"/>
    <col min="13553" max="13553" width="7.59765625" style="174" customWidth="1"/>
    <col min="13554" max="13566" width="9.09765625" style="174" bestFit="1" customWidth="1"/>
    <col min="13567" max="13567" width="9.59765625" style="174" bestFit="1" customWidth="1"/>
    <col min="13568" max="13569" width="9.09765625" style="174" bestFit="1" customWidth="1"/>
    <col min="13570" max="13570" width="9.69921875" style="174" bestFit="1" customWidth="1"/>
    <col min="13571" max="13573" width="9.09765625" style="174" bestFit="1" customWidth="1"/>
    <col min="13574" max="13804" width="9" style="174"/>
    <col min="13805" max="13805" width="14.59765625" style="174" customWidth="1"/>
    <col min="13806" max="13806" width="53.09765625" style="174" customWidth="1"/>
    <col min="13807" max="13807" width="7.59765625" style="174" customWidth="1"/>
    <col min="13808" max="13808" width="9.3984375" style="174" customWidth="1"/>
    <col min="13809" max="13809" width="7.59765625" style="174" customWidth="1"/>
    <col min="13810" max="13822" width="9.09765625" style="174" bestFit="1" customWidth="1"/>
    <col min="13823" max="13823" width="9.59765625" style="174" bestFit="1" customWidth="1"/>
    <col min="13824" max="13825" width="9.09765625" style="174" bestFit="1" customWidth="1"/>
    <col min="13826" max="13826" width="9.69921875" style="174" bestFit="1" customWidth="1"/>
    <col min="13827" max="13829" width="9.09765625" style="174" bestFit="1" customWidth="1"/>
    <col min="13830" max="14060" width="9" style="174"/>
    <col min="14061" max="14061" width="14.59765625" style="174" customWidth="1"/>
    <col min="14062" max="14062" width="53.09765625" style="174" customWidth="1"/>
    <col min="14063" max="14063" width="7.59765625" style="174" customWidth="1"/>
    <col min="14064" max="14064" width="9.3984375" style="174" customWidth="1"/>
    <col min="14065" max="14065" width="7.59765625" style="174" customWidth="1"/>
    <col min="14066" max="14078" width="9.09765625" style="174" bestFit="1" customWidth="1"/>
    <col min="14079" max="14079" width="9.59765625" style="174" bestFit="1" customWidth="1"/>
    <col min="14080" max="14081" width="9.09765625" style="174" bestFit="1" customWidth="1"/>
    <col min="14082" max="14082" width="9.69921875" style="174" bestFit="1" customWidth="1"/>
    <col min="14083" max="14085" width="9.09765625" style="174" bestFit="1" customWidth="1"/>
    <col min="14086" max="14316" width="9" style="174"/>
    <col min="14317" max="14317" width="14.59765625" style="174" customWidth="1"/>
    <col min="14318" max="14318" width="53.09765625" style="174" customWidth="1"/>
    <col min="14319" max="14319" width="7.59765625" style="174" customWidth="1"/>
    <col min="14320" max="14320" width="9.3984375" style="174" customWidth="1"/>
    <col min="14321" max="14321" width="7.59765625" style="174" customWidth="1"/>
    <col min="14322" max="14334" width="9.09765625" style="174" bestFit="1" customWidth="1"/>
    <col min="14335" max="14335" width="9.59765625" style="174" bestFit="1" customWidth="1"/>
    <col min="14336" max="14337" width="9.09765625" style="174" bestFit="1" customWidth="1"/>
    <col min="14338" max="14338" width="9.69921875" style="174" bestFit="1" customWidth="1"/>
    <col min="14339" max="14341" width="9.09765625" style="174" bestFit="1" customWidth="1"/>
    <col min="14342" max="14572" width="9" style="174"/>
    <col min="14573" max="14573" width="14.59765625" style="174" customWidth="1"/>
    <col min="14574" max="14574" width="53.09765625" style="174" customWidth="1"/>
    <col min="14575" max="14575" width="7.59765625" style="174" customWidth="1"/>
    <col min="14576" max="14576" width="9.3984375" style="174" customWidth="1"/>
    <col min="14577" max="14577" width="7.59765625" style="174" customWidth="1"/>
    <col min="14578" max="14590" width="9.09765625" style="174" bestFit="1" customWidth="1"/>
    <col min="14591" max="14591" width="9.59765625" style="174" bestFit="1" customWidth="1"/>
    <col min="14592" max="14593" width="9.09765625" style="174" bestFit="1" customWidth="1"/>
    <col min="14594" max="14594" width="9.69921875" style="174" bestFit="1" customWidth="1"/>
    <col min="14595" max="14597" width="9.09765625" style="174" bestFit="1" customWidth="1"/>
    <col min="14598" max="14828" width="9" style="174"/>
    <col min="14829" max="14829" width="14.59765625" style="174" customWidth="1"/>
    <col min="14830" max="14830" width="53.09765625" style="174" customWidth="1"/>
    <col min="14831" max="14831" width="7.59765625" style="174" customWidth="1"/>
    <col min="14832" max="14832" width="9.3984375" style="174" customWidth="1"/>
    <col min="14833" max="14833" width="7.59765625" style="174" customWidth="1"/>
    <col min="14834" max="14846" width="9.09765625" style="174" bestFit="1" customWidth="1"/>
    <col min="14847" max="14847" width="9.59765625" style="174" bestFit="1" customWidth="1"/>
    <col min="14848" max="14849" width="9.09765625" style="174" bestFit="1" customWidth="1"/>
    <col min="14850" max="14850" width="9.69921875" style="174" bestFit="1" customWidth="1"/>
    <col min="14851" max="14853" width="9.09765625" style="174" bestFit="1" customWidth="1"/>
    <col min="14854" max="15084" width="9" style="174"/>
    <col min="15085" max="15085" width="14.59765625" style="174" customWidth="1"/>
    <col min="15086" max="15086" width="53.09765625" style="174" customWidth="1"/>
    <col min="15087" max="15087" width="7.59765625" style="174" customWidth="1"/>
    <col min="15088" max="15088" width="9.3984375" style="174" customWidth="1"/>
    <col min="15089" max="15089" width="7.59765625" style="174" customWidth="1"/>
    <col min="15090" max="15102" width="9.09765625" style="174" bestFit="1" customWidth="1"/>
    <col min="15103" max="15103" width="9.59765625" style="174" bestFit="1" customWidth="1"/>
    <col min="15104" max="15105" width="9.09765625" style="174" bestFit="1" customWidth="1"/>
    <col min="15106" max="15106" width="9.69921875" style="174" bestFit="1" customWidth="1"/>
    <col min="15107" max="15109" width="9.09765625" style="174" bestFit="1" customWidth="1"/>
    <col min="15110" max="15340" width="9" style="174"/>
    <col min="15341" max="15341" width="14.59765625" style="174" customWidth="1"/>
    <col min="15342" max="15342" width="53.09765625" style="174" customWidth="1"/>
    <col min="15343" max="15343" width="7.59765625" style="174" customWidth="1"/>
    <col min="15344" max="15344" width="9.3984375" style="174" customWidth="1"/>
    <col min="15345" max="15345" width="7.59765625" style="174" customWidth="1"/>
    <col min="15346" max="15358" width="9.09765625" style="174" bestFit="1" customWidth="1"/>
    <col min="15359" max="15359" width="9.59765625" style="174" bestFit="1" customWidth="1"/>
    <col min="15360" max="15361" width="9.09765625" style="174" bestFit="1" customWidth="1"/>
    <col min="15362" max="15362" width="9.69921875" style="174" bestFit="1" customWidth="1"/>
    <col min="15363" max="15365" width="9.09765625" style="174" bestFit="1" customWidth="1"/>
    <col min="15366" max="15596" width="9" style="174"/>
    <col min="15597" max="15597" width="14.59765625" style="174" customWidth="1"/>
    <col min="15598" max="15598" width="53.09765625" style="174" customWidth="1"/>
    <col min="15599" max="15599" width="7.59765625" style="174" customWidth="1"/>
    <col min="15600" max="15600" width="9.3984375" style="174" customWidth="1"/>
    <col min="15601" max="15601" width="7.59765625" style="174" customWidth="1"/>
    <col min="15602" max="15614" width="9.09765625" style="174" bestFit="1" customWidth="1"/>
    <col min="15615" max="15615" width="9.59765625" style="174" bestFit="1" customWidth="1"/>
    <col min="15616" max="15617" width="9.09765625" style="174" bestFit="1" customWidth="1"/>
    <col min="15618" max="15618" width="9.69921875" style="174" bestFit="1" customWidth="1"/>
    <col min="15619" max="15621" width="9.09765625" style="174" bestFit="1" customWidth="1"/>
    <col min="15622" max="15852" width="9" style="174"/>
    <col min="15853" max="15853" width="14.59765625" style="174" customWidth="1"/>
    <col min="15854" max="15854" width="53.09765625" style="174" customWidth="1"/>
    <col min="15855" max="15855" width="7.59765625" style="174" customWidth="1"/>
    <col min="15856" max="15856" width="9.3984375" style="174" customWidth="1"/>
    <col min="15857" max="15857" width="7.59765625" style="174" customWidth="1"/>
    <col min="15858" max="15870" width="9.09765625" style="174" bestFit="1" customWidth="1"/>
    <col min="15871" max="15871" width="9.59765625" style="174" bestFit="1" customWidth="1"/>
    <col min="15872" max="15873" width="9.09765625" style="174" bestFit="1" customWidth="1"/>
    <col min="15874" max="15874" width="9.69921875" style="174" bestFit="1" customWidth="1"/>
    <col min="15875" max="15877" width="9.09765625" style="174" bestFit="1" customWidth="1"/>
    <col min="15878" max="16108" width="9" style="174"/>
    <col min="16109" max="16109" width="14.59765625" style="174" customWidth="1"/>
    <col min="16110" max="16110" width="53.09765625" style="174" customWidth="1"/>
    <col min="16111" max="16111" width="7.59765625" style="174" customWidth="1"/>
    <col min="16112" max="16112" width="9.3984375" style="174" customWidth="1"/>
    <col min="16113" max="16113" width="7.59765625" style="174" customWidth="1"/>
    <col min="16114" max="16126" width="9.09765625" style="174" bestFit="1" customWidth="1"/>
    <col min="16127" max="16127" width="9.59765625" style="174" bestFit="1" customWidth="1"/>
    <col min="16128" max="16129" width="9.09765625" style="174" bestFit="1" customWidth="1"/>
    <col min="16130" max="16130" width="9.69921875" style="174" bestFit="1" customWidth="1"/>
    <col min="16131" max="16133" width="9.09765625" style="174" bestFit="1" customWidth="1"/>
    <col min="16134" max="16384" width="9" style="174"/>
  </cols>
  <sheetData>
    <row r="1" spans="1:6">
      <c r="A1" s="208" t="s">
        <v>6936</v>
      </c>
    </row>
    <row r="2" spans="1:6" ht="39.6">
      <c r="A2" s="209" t="s">
        <v>2139</v>
      </c>
      <c r="B2" s="200" t="s">
        <v>6935</v>
      </c>
      <c r="C2" s="200" t="s">
        <v>2140</v>
      </c>
      <c r="D2" s="199" t="s">
        <v>2141</v>
      </c>
      <c r="E2" s="200" t="s">
        <v>2142</v>
      </c>
      <c r="F2" s="201" t="s">
        <v>6992</v>
      </c>
    </row>
    <row r="3" spans="1:6">
      <c r="A3" s="210">
        <v>11100000</v>
      </c>
      <c r="B3" s="202" t="s">
        <v>2293</v>
      </c>
      <c r="C3" s="203" t="s">
        <v>2143</v>
      </c>
      <c r="D3" s="204">
        <v>1</v>
      </c>
      <c r="E3" s="204" t="s">
        <v>235</v>
      </c>
      <c r="F3" s="205">
        <v>1.6400324647652496</v>
      </c>
    </row>
    <row r="4" spans="1:6">
      <c r="A4" s="210">
        <v>11111000</v>
      </c>
      <c r="B4" s="202" t="s">
        <v>236</v>
      </c>
      <c r="C4" s="203" t="s">
        <v>2143</v>
      </c>
      <c r="D4" s="204">
        <v>1</v>
      </c>
      <c r="E4" s="204" t="s">
        <v>235</v>
      </c>
      <c r="F4" s="205">
        <v>1.6400324647652496</v>
      </c>
    </row>
    <row r="5" spans="1:6">
      <c r="A5" s="210">
        <v>11111640</v>
      </c>
      <c r="B5" s="202" t="s">
        <v>5552</v>
      </c>
      <c r="C5" s="203" t="s">
        <v>5553</v>
      </c>
      <c r="D5" s="204">
        <v>1</v>
      </c>
      <c r="E5" s="204" t="s">
        <v>235</v>
      </c>
      <c r="F5" s="205">
        <v>0</v>
      </c>
    </row>
    <row r="6" spans="1:6">
      <c r="A6" s="210">
        <v>11111940</v>
      </c>
      <c r="B6" s="202" t="s">
        <v>5554</v>
      </c>
      <c r="C6" s="203" t="s">
        <v>5553</v>
      </c>
      <c r="D6" s="204">
        <v>1</v>
      </c>
      <c r="E6" s="204" t="s">
        <v>235</v>
      </c>
      <c r="F6" s="205">
        <v>0</v>
      </c>
    </row>
    <row r="7" spans="1:6">
      <c r="A7" s="210">
        <v>11200000</v>
      </c>
      <c r="B7" s="202" t="s">
        <v>2296</v>
      </c>
      <c r="C7" s="203" t="s">
        <v>2143</v>
      </c>
      <c r="D7" s="204">
        <v>1</v>
      </c>
      <c r="E7" s="204" t="s">
        <v>235</v>
      </c>
      <c r="F7" s="205">
        <v>0.62658197547342132</v>
      </c>
    </row>
    <row r="8" spans="1:6">
      <c r="A8" s="210">
        <v>11200940</v>
      </c>
      <c r="B8" s="202" t="s">
        <v>5555</v>
      </c>
      <c r="C8" s="203" t="s">
        <v>5553</v>
      </c>
      <c r="D8" s="204">
        <v>1</v>
      </c>
      <c r="E8" s="204" t="s">
        <v>235</v>
      </c>
      <c r="F8" s="205">
        <v>0</v>
      </c>
    </row>
    <row r="9" spans="1:6">
      <c r="A9" s="210">
        <v>11211000</v>
      </c>
      <c r="B9" s="202" t="s">
        <v>237</v>
      </c>
      <c r="C9" s="203" t="s">
        <v>2143</v>
      </c>
      <c r="D9" s="204">
        <v>1</v>
      </c>
      <c r="E9" s="204" t="s">
        <v>235</v>
      </c>
      <c r="F9" s="205">
        <v>0.61730456981482407</v>
      </c>
    </row>
    <row r="10" spans="1:6">
      <c r="A10" s="210">
        <v>11211201</v>
      </c>
      <c r="B10" s="202" t="s">
        <v>5556</v>
      </c>
      <c r="C10" s="203" t="s">
        <v>2143</v>
      </c>
      <c r="D10" s="204">
        <v>1</v>
      </c>
      <c r="E10" s="204" t="s">
        <v>235</v>
      </c>
      <c r="F10" s="205">
        <v>0.42884667735515614</v>
      </c>
    </row>
    <row r="11" spans="1:6">
      <c r="A11" s="210">
        <v>11212000</v>
      </c>
      <c r="B11" s="202" t="s">
        <v>238</v>
      </c>
      <c r="C11" s="203" t="s">
        <v>2143</v>
      </c>
      <c r="D11" s="204">
        <v>1</v>
      </c>
      <c r="E11" s="204" t="s">
        <v>235</v>
      </c>
      <c r="F11" s="205">
        <v>0.69923292105780899</v>
      </c>
    </row>
    <row r="12" spans="1:6">
      <c r="A12" s="210">
        <v>11213000</v>
      </c>
      <c r="B12" s="202" t="s">
        <v>239</v>
      </c>
      <c r="C12" s="203" t="s">
        <v>2143</v>
      </c>
      <c r="D12" s="204">
        <v>1</v>
      </c>
      <c r="E12" s="204" t="s">
        <v>235</v>
      </c>
      <c r="F12" s="205">
        <v>0.77571469347097444</v>
      </c>
    </row>
    <row r="13" spans="1:6">
      <c r="A13" s="210">
        <v>11214000</v>
      </c>
      <c r="B13" s="202" t="s">
        <v>240</v>
      </c>
      <c r="C13" s="203" t="s">
        <v>2143</v>
      </c>
      <c r="D13" s="204">
        <v>1</v>
      </c>
      <c r="E13" s="204" t="s">
        <v>235</v>
      </c>
      <c r="F13" s="205">
        <v>0.60512251133350237</v>
      </c>
    </row>
    <row r="14" spans="1:6">
      <c r="A14" s="210">
        <v>11219000</v>
      </c>
      <c r="B14" s="202" t="s">
        <v>2302</v>
      </c>
      <c r="C14" s="203" t="s">
        <v>2143</v>
      </c>
      <c r="D14" s="204">
        <v>1</v>
      </c>
      <c r="E14" s="204" t="s">
        <v>235</v>
      </c>
      <c r="F14" s="205">
        <v>0.62658197548524652</v>
      </c>
    </row>
    <row r="15" spans="1:6">
      <c r="A15" s="210">
        <v>11300000</v>
      </c>
      <c r="B15" s="202" t="s">
        <v>2304</v>
      </c>
      <c r="C15" s="203" t="s">
        <v>2143</v>
      </c>
      <c r="D15" s="204">
        <v>1</v>
      </c>
      <c r="E15" s="204" t="s">
        <v>235</v>
      </c>
      <c r="F15" s="205">
        <v>1.070126445774636</v>
      </c>
    </row>
    <row r="16" spans="1:6">
      <c r="A16" s="210">
        <v>11311000</v>
      </c>
      <c r="B16" s="202" t="s">
        <v>241</v>
      </c>
      <c r="C16" s="203" t="s">
        <v>2143</v>
      </c>
      <c r="D16" s="204">
        <v>1</v>
      </c>
      <c r="E16" s="204" t="s">
        <v>235</v>
      </c>
      <c r="F16" s="205">
        <v>1.0648135481771728</v>
      </c>
    </row>
    <row r="17" spans="1:6">
      <c r="A17" s="210">
        <v>11312000</v>
      </c>
      <c r="B17" s="202" t="s">
        <v>242</v>
      </c>
      <c r="C17" s="203" t="s">
        <v>2143</v>
      </c>
      <c r="D17" s="204">
        <v>1</v>
      </c>
      <c r="E17" s="204" t="s">
        <v>235</v>
      </c>
      <c r="F17" s="205">
        <v>1.0231467868868016</v>
      </c>
    </row>
    <row r="18" spans="1:6">
      <c r="A18" s="210">
        <v>11313000</v>
      </c>
      <c r="B18" s="202" t="s">
        <v>243</v>
      </c>
      <c r="C18" s="203" t="s">
        <v>2143</v>
      </c>
      <c r="D18" s="204">
        <v>1</v>
      </c>
      <c r="E18" s="204" t="s">
        <v>235</v>
      </c>
      <c r="F18" s="205">
        <v>0.77005038862238362</v>
      </c>
    </row>
    <row r="19" spans="1:6">
      <c r="A19" s="210">
        <v>11314000</v>
      </c>
      <c r="B19" s="202" t="s">
        <v>244</v>
      </c>
      <c r="C19" s="203" t="s">
        <v>2143</v>
      </c>
      <c r="D19" s="204">
        <v>1</v>
      </c>
      <c r="E19" s="204" t="s">
        <v>235</v>
      </c>
      <c r="F19" s="205">
        <v>1.462059421529621</v>
      </c>
    </row>
    <row r="20" spans="1:6">
      <c r="A20" s="210">
        <v>11319000</v>
      </c>
      <c r="B20" s="202" t="s">
        <v>2310</v>
      </c>
      <c r="C20" s="203" t="s">
        <v>2143</v>
      </c>
      <c r="D20" s="204">
        <v>1</v>
      </c>
      <c r="E20" s="204" t="s">
        <v>235</v>
      </c>
      <c r="F20" s="205">
        <v>1.0701265671431412</v>
      </c>
    </row>
    <row r="21" spans="1:6">
      <c r="A21" s="210">
        <v>11400000</v>
      </c>
      <c r="B21" s="202" t="s">
        <v>2312</v>
      </c>
      <c r="C21" s="203" t="s">
        <v>2143</v>
      </c>
      <c r="D21" s="204">
        <v>1</v>
      </c>
      <c r="E21" s="204" t="s">
        <v>235</v>
      </c>
      <c r="F21" s="205">
        <v>0.52075739665375587</v>
      </c>
    </row>
    <row r="22" spans="1:6">
      <c r="A22" s="210">
        <v>11411000</v>
      </c>
      <c r="B22" s="202" t="s">
        <v>245</v>
      </c>
      <c r="C22" s="203" t="s">
        <v>2143</v>
      </c>
      <c r="D22" s="204">
        <v>1</v>
      </c>
      <c r="E22" s="204" t="s">
        <v>235</v>
      </c>
      <c r="F22" s="205">
        <v>0.52075739752689565</v>
      </c>
    </row>
    <row r="23" spans="1:6">
      <c r="A23" s="210">
        <v>11419000</v>
      </c>
      <c r="B23" s="202" t="s">
        <v>2315</v>
      </c>
      <c r="C23" s="203" t="s">
        <v>2143</v>
      </c>
      <c r="D23" s="204">
        <v>1</v>
      </c>
      <c r="E23" s="204" t="s">
        <v>235</v>
      </c>
      <c r="F23" s="205">
        <v>0.52075739665378074</v>
      </c>
    </row>
    <row r="24" spans="1:6">
      <c r="A24" s="210">
        <v>11500000</v>
      </c>
      <c r="B24" s="202" t="s">
        <v>2317</v>
      </c>
      <c r="C24" s="203" t="s">
        <v>2143</v>
      </c>
      <c r="D24" s="204">
        <v>1</v>
      </c>
      <c r="E24" s="204" t="s">
        <v>235</v>
      </c>
      <c r="F24" s="205">
        <v>8.8233490617385238E-2</v>
      </c>
    </row>
    <row r="25" spans="1:6">
      <c r="A25" s="210">
        <v>11511000</v>
      </c>
      <c r="B25" s="202" t="s">
        <v>246</v>
      </c>
      <c r="C25" s="203" t="s">
        <v>2143</v>
      </c>
      <c r="D25" s="204">
        <v>1</v>
      </c>
      <c r="E25" s="204" t="s">
        <v>235</v>
      </c>
      <c r="F25" s="205">
        <v>9.5194694286114684E-2</v>
      </c>
    </row>
    <row r="26" spans="1:6">
      <c r="A26" s="210">
        <v>11512000</v>
      </c>
      <c r="B26" s="202" t="s">
        <v>247</v>
      </c>
      <c r="C26" s="203" t="s">
        <v>2143</v>
      </c>
      <c r="D26" s="204">
        <v>1</v>
      </c>
      <c r="E26" s="204" t="s">
        <v>235</v>
      </c>
      <c r="F26" s="205">
        <v>8.500828456370102E-2</v>
      </c>
    </row>
    <row r="27" spans="1:6">
      <c r="A27" s="210">
        <v>11519000</v>
      </c>
      <c r="B27" s="202" t="s">
        <v>2321</v>
      </c>
      <c r="C27" s="203" t="s">
        <v>2143</v>
      </c>
      <c r="D27" s="204">
        <v>1</v>
      </c>
      <c r="E27" s="204" t="s">
        <v>235</v>
      </c>
      <c r="F27" s="205">
        <v>8.8233498119665146E-2</v>
      </c>
    </row>
    <row r="28" spans="1:6">
      <c r="A28" s="210">
        <v>12100000</v>
      </c>
      <c r="B28" s="202" t="s">
        <v>2323</v>
      </c>
      <c r="C28" s="203" t="s">
        <v>2143</v>
      </c>
      <c r="D28" s="204">
        <v>1</v>
      </c>
      <c r="E28" s="204" t="s">
        <v>235</v>
      </c>
      <c r="F28" s="205">
        <v>1.5864851923052554</v>
      </c>
    </row>
    <row r="29" spans="1:6">
      <c r="A29" s="210">
        <v>12111000</v>
      </c>
      <c r="B29" s="202" t="s">
        <v>2325</v>
      </c>
      <c r="C29" s="203" t="s">
        <v>2143</v>
      </c>
      <c r="D29" s="204">
        <v>1</v>
      </c>
      <c r="E29" s="204" t="s">
        <v>235</v>
      </c>
      <c r="F29" s="205">
        <v>1.1050283225860622</v>
      </c>
    </row>
    <row r="30" spans="1:6">
      <c r="A30" s="210">
        <v>12111201</v>
      </c>
      <c r="B30" s="202" t="s">
        <v>2327</v>
      </c>
      <c r="C30" s="203" t="s">
        <v>2143</v>
      </c>
      <c r="D30" s="204">
        <v>1</v>
      </c>
      <c r="E30" s="204" t="s">
        <v>235</v>
      </c>
      <c r="F30" s="205">
        <v>0.48944481777820381</v>
      </c>
    </row>
    <row r="31" spans="1:6">
      <c r="A31" s="210">
        <v>12111202</v>
      </c>
      <c r="B31" s="202" t="s">
        <v>2329</v>
      </c>
      <c r="C31" s="203" t="s">
        <v>2143</v>
      </c>
      <c r="D31" s="204">
        <v>1</v>
      </c>
      <c r="E31" s="204" t="s">
        <v>235</v>
      </c>
      <c r="F31" s="205">
        <v>1.562469223813379</v>
      </c>
    </row>
    <row r="32" spans="1:6">
      <c r="A32" s="210">
        <v>12112000</v>
      </c>
      <c r="B32" s="202" t="s">
        <v>2331</v>
      </c>
      <c r="C32" s="203" t="s">
        <v>2143</v>
      </c>
      <c r="D32" s="204">
        <v>1</v>
      </c>
      <c r="E32" s="204" t="s">
        <v>235</v>
      </c>
      <c r="F32" s="205">
        <v>0.62624437124130794</v>
      </c>
    </row>
    <row r="33" spans="1:6">
      <c r="A33" s="210">
        <v>12112201</v>
      </c>
      <c r="B33" s="202" t="s">
        <v>2333</v>
      </c>
      <c r="C33" s="203" t="s">
        <v>2143</v>
      </c>
      <c r="D33" s="204">
        <v>1</v>
      </c>
      <c r="E33" s="204" t="s">
        <v>235</v>
      </c>
      <c r="F33" s="205">
        <v>0.43695449443744361</v>
      </c>
    </row>
    <row r="34" spans="1:6">
      <c r="A34" s="210">
        <v>12112202</v>
      </c>
      <c r="B34" s="202" t="s">
        <v>2335</v>
      </c>
      <c r="C34" s="203" t="s">
        <v>2143</v>
      </c>
      <c r="D34" s="204">
        <v>1</v>
      </c>
      <c r="E34" s="204" t="s">
        <v>235</v>
      </c>
      <c r="F34" s="205">
        <v>1.2275752918924772</v>
      </c>
    </row>
    <row r="35" spans="1:6">
      <c r="A35" s="210">
        <v>12113000</v>
      </c>
      <c r="B35" s="202" t="s">
        <v>2337</v>
      </c>
      <c r="C35" s="203" t="s">
        <v>2143</v>
      </c>
      <c r="D35" s="204">
        <v>1</v>
      </c>
      <c r="E35" s="204" t="s">
        <v>235</v>
      </c>
      <c r="F35" s="205">
        <v>1.3077861129807693</v>
      </c>
    </row>
    <row r="36" spans="1:6">
      <c r="A36" s="210">
        <v>12113201</v>
      </c>
      <c r="B36" s="202" t="s">
        <v>2339</v>
      </c>
      <c r="C36" s="203" t="s">
        <v>2143</v>
      </c>
      <c r="D36" s="204">
        <v>1</v>
      </c>
      <c r="E36" s="204" t="s">
        <v>235</v>
      </c>
      <c r="F36" s="205">
        <v>0.53726834034694515</v>
      </c>
    </row>
    <row r="37" spans="1:6">
      <c r="A37" s="210">
        <v>12113202</v>
      </c>
      <c r="B37" s="202" t="s">
        <v>2341</v>
      </c>
      <c r="C37" s="203" t="s">
        <v>2143</v>
      </c>
      <c r="D37" s="204">
        <v>1</v>
      </c>
      <c r="E37" s="204" t="s">
        <v>235</v>
      </c>
      <c r="F37" s="205">
        <v>1.7479372333595582</v>
      </c>
    </row>
    <row r="38" spans="1:6">
      <c r="A38" s="210">
        <v>12113203</v>
      </c>
      <c r="B38" s="202" t="s">
        <v>2343</v>
      </c>
      <c r="C38" s="203" t="s">
        <v>2143</v>
      </c>
      <c r="D38" s="204">
        <v>1</v>
      </c>
      <c r="E38" s="204" t="s">
        <v>235</v>
      </c>
      <c r="F38" s="205">
        <v>0.79839992420710992</v>
      </c>
    </row>
    <row r="39" spans="1:6">
      <c r="A39" s="210">
        <v>12113204</v>
      </c>
      <c r="B39" s="202" t="s">
        <v>2345</v>
      </c>
      <c r="C39" s="203" t="s">
        <v>2143</v>
      </c>
      <c r="D39" s="204">
        <v>1</v>
      </c>
      <c r="E39" s="204" t="s">
        <v>235</v>
      </c>
      <c r="F39" s="205">
        <v>2.8110823583328646</v>
      </c>
    </row>
    <row r="40" spans="1:6">
      <c r="A40" s="210">
        <v>12113205</v>
      </c>
      <c r="B40" s="202" t="s">
        <v>2347</v>
      </c>
      <c r="C40" s="203" t="s">
        <v>2143</v>
      </c>
      <c r="D40" s="204">
        <v>1</v>
      </c>
      <c r="E40" s="204" t="s">
        <v>235</v>
      </c>
      <c r="F40" s="205">
        <v>1.1866633762002199</v>
      </c>
    </row>
    <row r="41" spans="1:6">
      <c r="A41" s="210">
        <v>12113206</v>
      </c>
      <c r="B41" s="202" t="s">
        <v>2349</v>
      </c>
      <c r="C41" s="203" t="s">
        <v>2143</v>
      </c>
      <c r="D41" s="204">
        <v>1</v>
      </c>
      <c r="E41" s="204" t="s">
        <v>235</v>
      </c>
      <c r="F41" s="205">
        <v>2.0935715376096593</v>
      </c>
    </row>
    <row r="42" spans="1:6">
      <c r="A42" s="210">
        <v>12113207</v>
      </c>
      <c r="B42" s="202" t="s">
        <v>2351</v>
      </c>
      <c r="C42" s="203" t="s">
        <v>2143</v>
      </c>
      <c r="D42" s="204">
        <v>1</v>
      </c>
      <c r="E42" s="204" t="s">
        <v>235</v>
      </c>
      <c r="F42" s="205">
        <v>0.56494021594758981</v>
      </c>
    </row>
    <row r="43" spans="1:6">
      <c r="A43" s="210">
        <v>12113208</v>
      </c>
      <c r="B43" s="202" t="s">
        <v>2353</v>
      </c>
      <c r="C43" s="203" t="s">
        <v>2143</v>
      </c>
      <c r="D43" s="204">
        <v>1</v>
      </c>
      <c r="E43" s="204" t="s">
        <v>235</v>
      </c>
      <c r="F43" s="205">
        <v>1.9138546320230652</v>
      </c>
    </row>
    <row r="44" spans="1:6">
      <c r="A44" s="210">
        <v>12114000</v>
      </c>
      <c r="B44" s="202" t="s">
        <v>2355</v>
      </c>
      <c r="C44" s="203" t="s">
        <v>2143</v>
      </c>
      <c r="D44" s="204">
        <v>1</v>
      </c>
      <c r="E44" s="204" t="s">
        <v>235</v>
      </c>
      <c r="F44" s="205">
        <v>2.0428643870404093</v>
      </c>
    </row>
    <row r="45" spans="1:6">
      <c r="A45" s="210">
        <v>12114201</v>
      </c>
      <c r="B45" s="202" t="s">
        <v>2357</v>
      </c>
      <c r="C45" s="203" t="s">
        <v>2143</v>
      </c>
      <c r="D45" s="204">
        <v>1</v>
      </c>
      <c r="E45" s="204" t="s">
        <v>235</v>
      </c>
      <c r="F45" s="205">
        <v>0.67194505568027441</v>
      </c>
    </row>
    <row r="46" spans="1:6">
      <c r="A46" s="210">
        <v>12114202</v>
      </c>
      <c r="B46" s="202" t="s">
        <v>2359</v>
      </c>
      <c r="C46" s="203" t="s">
        <v>2143</v>
      </c>
      <c r="D46" s="204">
        <v>1</v>
      </c>
      <c r="E46" s="204" t="s">
        <v>235</v>
      </c>
      <c r="F46" s="205">
        <v>3.0716367784315994</v>
      </c>
    </row>
    <row r="47" spans="1:6">
      <c r="A47" s="210">
        <v>12115000</v>
      </c>
      <c r="B47" s="202" t="s">
        <v>2361</v>
      </c>
      <c r="C47" s="203" t="s">
        <v>2143</v>
      </c>
      <c r="D47" s="204">
        <v>1</v>
      </c>
      <c r="E47" s="204" t="s">
        <v>235</v>
      </c>
      <c r="F47" s="205">
        <v>3.8773816171678948</v>
      </c>
    </row>
    <row r="48" spans="1:6">
      <c r="A48" s="210">
        <v>12115201</v>
      </c>
      <c r="B48" s="202" t="s">
        <v>2363</v>
      </c>
      <c r="C48" s="203" t="s">
        <v>2143</v>
      </c>
      <c r="D48" s="204">
        <v>1</v>
      </c>
      <c r="E48" s="204" t="s">
        <v>235</v>
      </c>
      <c r="F48" s="205">
        <v>1.1133193959512886</v>
      </c>
    </row>
    <row r="49" spans="1:6">
      <c r="A49" s="210">
        <v>12115202</v>
      </c>
      <c r="B49" s="202" t="s">
        <v>2365</v>
      </c>
      <c r="C49" s="203" t="s">
        <v>2143</v>
      </c>
      <c r="D49" s="204">
        <v>1</v>
      </c>
      <c r="E49" s="204" t="s">
        <v>235</v>
      </c>
      <c r="F49" s="205">
        <v>7.3701519040870505</v>
      </c>
    </row>
    <row r="50" spans="1:6">
      <c r="A50" s="210">
        <v>12116000</v>
      </c>
      <c r="B50" s="202" t="s">
        <v>2367</v>
      </c>
      <c r="C50" s="203" t="s">
        <v>2143</v>
      </c>
      <c r="D50" s="204">
        <v>1</v>
      </c>
      <c r="E50" s="204" t="s">
        <v>235</v>
      </c>
      <c r="F50" s="205">
        <v>1.2527652045075057</v>
      </c>
    </row>
    <row r="51" spans="1:6">
      <c r="A51" s="210">
        <v>12116201</v>
      </c>
      <c r="B51" s="202" t="s">
        <v>2369</v>
      </c>
      <c r="C51" s="203" t="s">
        <v>2143</v>
      </c>
      <c r="D51" s="204">
        <v>1</v>
      </c>
      <c r="E51" s="204" t="s">
        <v>235</v>
      </c>
      <c r="F51" s="205">
        <v>0.7371676050132292</v>
      </c>
    </row>
    <row r="52" spans="1:6">
      <c r="A52" s="210">
        <v>12116202</v>
      </c>
      <c r="B52" s="202" t="s">
        <v>2371</v>
      </c>
      <c r="C52" s="203" t="s">
        <v>2143</v>
      </c>
      <c r="D52" s="204">
        <v>1</v>
      </c>
      <c r="E52" s="204" t="s">
        <v>235</v>
      </c>
      <c r="F52" s="205">
        <v>1.8184676076351316</v>
      </c>
    </row>
    <row r="53" spans="1:6">
      <c r="A53" s="210">
        <v>12117000</v>
      </c>
      <c r="B53" s="202" t="s">
        <v>2373</v>
      </c>
      <c r="C53" s="203" t="s">
        <v>2143</v>
      </c>
      <c r="D53" s="204">
        <v>1</v>
      </c>
      <c r="E53" s="204" t="s">
        <v>235</v>
      </c>
      <c r="F53" s="205">
        <v>4.5483736572709024</v>
      </c>
    </row>
    <row r="54" spans="1:6">
      <c r="A54" s="210">
        <v>12118000</v>
      </c>
      <c r="B54" s="202" t="s">
        <v>2375</v>
      </c>
      <c r="C54" s="203" t="s">
        <v>2143</v>
      </c>
      <c r="D54" s="204">
        <v>1</v>
      </c>
      <c r="E54" s="204" t="s">
        <v>235</v>
      </c>
      <c r="F54" s="205">
        <v>2.967916843113179</v>
      </c>
    </row>
    <row r="55" spans="1:6">
      <c r="A55" s="210">
        <v>12119000</v>
      </c>
      <c r="B55" s="202" t="s">
        <v>2377</v>
      </c>
      <c r="C55" s="203" t="s">
        <v>2143</v>
      </c>
      <c r="D55" s="204">
        <v>1</v>
      </c>
      <c r="E55" s="204" t="s">
        <v>235</v>
      </c>
      <c r="F55" s="205">
        <v>1.6030392616654059</v>
      </c>
    </row>
    <row r="56" spans="1:6">
      <c r="A56" s="210">
        <v>12200000</v>
      </c>
      <c r="B56" s="202" t="s">
        <v>2379</v>
      </c>
      <c r="C56" s="203" t="s">
        <v>2143</v>
      </c>
      <c r="D56" s="204">
        <v>1</v>
      </c>
      <c r="E56" s="204" t="s">
        <v>235</v>
      </c>
      <c r="F56" s="205">
        <v>0.36255879833716115</v>
      </c>
    </row>
    <row r="57" spans="1:6">
      <c r="A57" s="210">
        <v>12211000</v>
      </c>
      <c r="B57" s="202" t="s">
        <v>2381</v>
      </c>
      <c r="C57" s="203" t="s">
        <v>2143</v>
      </c>
      <c r="D57" s="204">
        <v>1</v>
      </c>
      <c r="E57" s="204" t="s">
        <v>235</v>
      </c>
      <c r="F57" s="205">
        <v>0.31146391406316776</v>
      </c>
    </row>
    <row r="58" spans="1:6">
      <c r="A58" s="210">
        <v>12212000</v>
      </c>
      <c r="B58" s="202" t="s">
        <v>2383</v>
      </c>
      <c r="C58" s="203" t="s">
        <v>2143</v>
      </c>
      <c r="D58" s="204">
        <v>1</v>
      </c>
      <c r="E58" s="204" t="s">
        <v>235</v>
      </c>
      <c r="F58" s="205">
        <v>0.93322377948672064</v>
      </c>
    </row>
    <row r="59" spans="1:6">
      <c r="A59" s="210">
        <v>12213000</v>
      </c>
      <c r="B59" s="202" t="s">
        <v>2385</v>
      </c>
      <c r="C59" s="203" t="s">
        <v>2143</v>
      </c>
      <c r="D59" s="204">
        <v>1</v>
      </c>
      <c r="E59" s="204" t="s">
        <v>235</v>
      </c>
      <c r="F59" s="205">
        <v>0.42945672448767697</v>
      </c>
    </row>
    <row r="60" spans="1:6">
      <c r="A60" s="210">
        <v>12214000</v>
      </c>
      <c r="B60" s="202" t="s">
        <v>2387</v>
      </c>
      <c r="C60" s="203" t="s">
        <v>2143</v>
      </c>
      <c r="D60" s="204">
        <v>1</v>
      </c>
      <c r="E60" s="204" t="s">
        <v>235</v>
      </c>
      <c r="F60" s="205">
        <v>0.27150653833470551</v>
      </c>
    </row>
    <row r="61" spans="1:6">
      <c r="A61" s="210">
        <v>12215000</v>
      </c>
      <c r="B61" s="202" t="s">
        <v>2389</v>
      </c>
      <c r="C61" s="203" t="s">
        <v>2143</v>
      </c>
      <c r="D61" s="204">
        <v>1</v>
      </c>
      <c r="E61" s="204" t="s">
        <v>235</v>
      </c>
      <c r="F61" s="205">
        <v>0.32467595635120411</v>
      </c>
    </row>
    <row r="62" spans="1:6">
      <c r="A62" s="210">
        <v>12219000</v>
      </c>
      <c r="B62" s="202" t="s">
        <v>2391</v>
      </c>
      <c r="C62" s="203" t="s">
        <v>2143</v>
      </c>
      <c r="D62" s="204">
        <v>1</v>
      </c>
      <c r="E62" s="204" t="s">
        <v>235</v>
      </c>
      <c r="F62" s="205">
        <v>0.36255882813981821</v>
      </c>
    </row>
    <row r="63" spans="1:6">
      <c r="A63" s="210">
        <v>12300000</v>
      </c>
      <c r="B63" s="202" t="s">
        <v>2393</v>
      </c>
      <c r="C63" s="203" t="s">
        <v>2143</v>
      </c>
      <c r="D63" s="204">
        <v>1</v>
      </c>
      <c r="E63" s="204" t="s">
        <v>235</v>
      </c>
      <c r="F63" s="205">
        <v>0.27919989309399346</v>
      </c>
    </row>
    <row r="64" spans="1:6">
      <c r="A64" s="210">
        <v>12311000</v>
      </c>
      <c r="B64" s="202" t="s">
        <v>2395</v>
      </c>
      <c r="C64" s="203" t="s">
        <v>2143</v>
      </c>
      <c r="D64" s="204">
        <v>1</v>
      </c>
      <c r="E64" s="204" t="s">
        <v>235</v>
      </c>
      <c r="F64" s="205">
        <v>0.23902409144016556</v>
      </c>
    </row>
    <row r="65" spans="1:6">
      <c r="A65" s="210">
        <v>12312000</v>
      </c>
      <c r="B65" s="202" t="s">
        <v>2397</v>
      </c>
      <c r="C65" s="203" t="s">
        <v>2143</v>
      </c>
      <c r="D65" s="204">
        <v>1</v>
      </c>
      <c r="E65" s="204" t="s">
        <v>235</v>
      </c>
      <c r="F65" s="205">
        <v>0.29270901387974363</v>
      </c>
    </row>
    <row r="66" spans="1:6">
      <c r="A66" s="210">
        <v>12313000</v>
      </c>
      <c r="B66" s="202" t="s">
        <v>2399</v>
      </c>
      <c r="C66" s="203" t="s">
        <v>2143</v>
      </c>
      <c r="D66" s="204">
        <v>1</v>
      </c>
      <c r="E66" s="204" t="s">
        <v>235</v>
      </c>
      <c r="F66" s="205">
        <v>0.6658213283255251</v>
      </c>
    </row>
    <row r="67" spans="1:6">
      <c r="A67" s="210">
        <v>12319000</v>
      </c>
      <c r="B67" s="202" t="s">
        <v>2401</v>
      </c>
      <c r="C67" s="203" t="s">
        <v>2143</v>
      </c>
      <c r="D67" s="204">
        <v>1</v>
      </c>
      <c r="E67" s="204" t="s">
        <v>235</v>
      </c>
      <c r="F67" s="205">
        <v>0.2791999247398565</v>
      </c>
    </row>
    <row r="68" spans="1:6">
      <c r="A68" s="210">
        <v>13100000</v>
      </c>
      <c r="B68" s="202" t="s">
        <v>2403</v>
      </c>
      <c r="C68" s="203" t="s">
        <v>2143</v>
      </c>
      <c r="D68" s="204">
        <v>1</v>
      </c>
      <c r="E68" s="204" t="s">
        <v>235</v>
      </c>
      <c r="F68" s="205">
        <v>4.4561162053196837</v>
      </c>
    </row>
    <row r="69" spans="1:6">
      <c r="A69" s="210">
        <v>13111000</v>
      </c>
      <c r="B69" s="202" t="s">
        <v>2405</v>
      </c>
      <c r="C69" s="203" t="s">
        <v>2143</v>
      </c>
      <c r="D69" s="204">
        <v>1</v>
      </c>
      <c r="E69" s="204" t="s">
        <v>235</v>
      </c>
      <c r="F69" s="205">
        <v>2.5635215418445174</v>
      </c>
    </row>
    <row r="70" spans="1:6">
      <c r="A70" s="210">
        <v>13112000</v>
      </c>
      <c r="B70" s="202" t="s">
        <v>2407</v>
      </c>
      <c r="C70" s="203" t="s">
        <v>2143</v>
      </c>
      <c r="D70" s="204">
        <v>1</v>
      </c>
      <c r="E70" s="204" t="s">
        <v>235</v>
      </c>
      <c r="F70" s="205">
        <v>4.3721413732369694</v>
      </c>
    </row>
    <row r="71" spans="1:6">
      <c r="A71" s="210">
        <v>13113000</v>
      </c>
      <c r="B71" s="202" t="s">
        <v>2409</v>
      </c>
      <c r="C71" s="203" t="s">
        <v>2143</v>
      </c>
      <c r="D71" s="204">
        <v>1</v>
      </c>
      <c r="E71" s="204" t="s">
        <v>235</v>
      </c>
      <c r="F71" s="205">
        <v>12.705718165894936</v>
      </c>
    </row>
    <row r="72" spans="1:6">
      <c r="A72" s="210">
        <v>13200000</v>
      </c>
      <c r="B72" s="202" t="s">
        <v>2411</v>
      </c>
      <c r="C72" s="203" t="s">
        <v>2143</v>
      </c>
      <c r="D72" s="204">
        <v>1</v>
      </c>
      <c r="E72" s="204" t="s">
        <v>235</v>
      </c>
      <c r="F72" s="205">
        <v>1.8680759781810012</v>
      </c>
    </row>
    <row r="73" spans="1:6">
      <c r="A73" s="210">
        <v>13211000</v>
      </c>
      <c r="B73" s="202" t="s">
        <v>2413</v>
      </c>
      <c r="C73" s="203" t="s">
        <v>2143</v>
      </c>
      <c r="D73" s="204">
        <v>1</v>
      </c>
      <c r="E73" s="204" t="s">
        <v>235</v>
      </c>
      <c r="F73" s="205">
        <v>0.96004904832439586</v>
      </c>
    </row>
    <row r="74" spans="1:6">
      <c r="A74" s="210">
        <v>13212000</v>
      </c>
      <c r="B74" s="202" t="s">
        <v>2415</v>
      </c>
      <c r="C74" s="203" t="s">
        <v>2143</v>
      </c>
      <c r="D74" s="204">
        <v>1</v>
      </c>
      <c r="E74" s="204" t="s">
        <v>235</v>
      </c>
      <c r="F74" s="205">
        <v>2.3788557543395945</v>
      </c>
    </row>
    <row r="75" spans="1:6">
      <c r="A75" s="210">
        <v>13213000</v>
      </c>
      <c r="B75" s="202" t="s">
        <v>2417</v>
      </c>
      <c r="C75" s="203" t="s">
        <v>2143</v>
      </c>
      <c r="D75" s="204">
        <v>1</v>
      </c>
      <c r="E75" s="204" t="s">
        <v>235</v>
      </c>
      <c r="F75" s="205">
        <v>3.4682096876295945</v>
      </c>
    </row>
    <row r="76" spans="1:6">
      <c r="A76" s="210">
        <v>13214000</v>
      </c>
      <c r="B76" s="202" t="s">
        <v>2419</v>
      </c>
      <c r="C76" s="203" t="s">
        <v>2143</v>
      </c>
      <c r="D76" s="204">
        <v>1</v>
      </c>
      <c r="E76" s="204" t="s">
        <v>235</v>
      </c>
      <c r="F76" s="205">
        <v>1.9426982270033375</v>
      </c>
    </row>
    <row r="77" spans="1:6">
      <c r="A77" s="210">
        <v>13219000</v>
      </c>
      <c r="B77" s="202" t="s">
        <v>2421</v>
      </c>
      <c r="C77" s="203" t="s">
        <v>2143</v>
      </c>
      <c r="D77" s="204">
        <v>1</v>
      </c>
      <c r="E77" s="204" t="s">
        <v>235</v>
      </c>
      <c r="F77" s="205">
        <v>1.8680763396157443</v>
      </c>
    </row>
    <row r="78" spans="1:6">
      <c r="A78" s="210">
        <v>14100000</v>
      </c>
      <c r="B78" s="202" t="s">
        <v>2423</v>
      </c>
      <c r="C78" s="203" t="s">
        <v>2143</v>
      </c>
      <c r="D78" s="204">
        <v>1</v>
      </c>
      <c r="E78" s="204" t="s">
        <v>235</v>
      </c>
      <c r="F78" s="205">
        <v>0.45055945884403237</v>
      </c>
    </row>
    <row r="79" spans="1:6">
      <c r="A79" s="210">
        <v>14111000</v>
      </c>
      <c r="B79" s="202" t="s">
        <v>248</v>
      </c>
      <c r="C79" s="203" t="s">
        <v>2143</v>
      </c>
      <c r="D79" s="204">
        <v>1</v>
      </c>
      <c r="E79" s="204" t="s">
        <v>235</v>
      </c>
      <c r="F79" s="205">
        <v>0.38740313802736592</v>
      </c>
    </row>
    <row r="80" spans="1:6">
      <c r="A80" s="210">
        <v>14112000</v>
      </c>
      <c r="B80" s="202" t="s">
        <v>249</v>
      </c>
      <c r="C80" s="203" t="s">
        <v>2143</v>
      </c>
      <c r="D80" s="204">
        <v>1</v>
      </c>
      <c r="E80" s="204" t="s">
        <v>235</v>
      </c>
      <c r="F80" s="205">
        <v>0.56663131393551391</v>
      </c>
    </row>
    <row r="81" spans="1:6">
      <c r="A81" s="210">
        <v>14113000</v>
      </c>
      <c r="B81" s="202" t="s">
        <v>250</v>
      </c>
      <c r="C81" s="203" t="s">
        <v>2143</v>
      </c>
      <c r="D81" s="204">
        <v>1</v>
      </c>
      <c r="E81" s="204" t="s">
        <v>235</v>
      </c>
      <c r="F81" s="205">
        <v>3.9446749221512563</v>
      </c>
    </row>
    <row r="82" spans="1:6">
      <c r="A82" s="210">
        <v>14119000</v>
      </c>
      <c r="B82" s="202" t="s">
        <v>2428</v>
      </c>
      <c r="C82" s="203" t="s">
        <v>2143</v>
      </c>
      <c r="D82" s="204">
        <v>1</v>
      </c>
      <c r="E82" s="204" t="s">
        <v>235</v>
      </c>
      <c r="F82" s="205">
        <v>0.4505594575699009</v>
      </c>
    </row>
    <row r="83" spans="1:6">
      <c r="A83" s="210">
        <v>14200000</v>
      </c>
      <c r="B83" s="202" t="s">
        <v>2430</v>
      </c>
      <c r="C83" s="203" t="s">
        <v>2143</v>
      </c>
      <c r="D83" s="204">
        <v>1</v>
      </c>
      <c r="E83" s="204" t="s">
        <v>235</v>
      </c>
      <c r="F83" s="205">
        <v>0.71341529780425228</v>
      </c>
    </row>
    <row r="84" spans="1:6">
      <c r="A84" s="210">
        <v>14211000</v>
      </c>
      <c r="B84" s="202" t="s">
        <v>251</v>
      </c>
      <c r="C84" s="203" t="s">
        <v>2143</v>
      </c>
      <c r="D84" s="204">
        <v>1</v>
      </c>
      <c r="E84" s="204" t="s">
        <v>235</v>
      </c>
      <c r="F84" s="205">
        <v>0.80689421295410457</v>
      </c>
    </row>
    <row r="85" spans="1:6">
      <c r="A85" s="210">
        <v>14212000</v>
      </c>
      <c r="B85" s="202" t="s">
        <v>252</v>
      </c>
      <c r="C85" s="203" t="s">
        <v>2143</v>
      </c>
      <c r="D85" s="204">
        <v>1</v>
      </c>
      <c r="E85" s="204" t="s">
        <v>235</v>
      </c>
      <c r="F85" s="205">
        <v>0.42922037244846795</v>
      </c>
    </row>
    <row r="86" spans="1:6">
      <c r="A86" s="210">
        <v>14213000</v>
      </c>
      <c r="B86" s="202" t="s">
        <v>253</v>
      </c>
      <c r="C86" s="203" t="s">
        <v>2143</v>
      </c>
      <c r="D86" s="204">
        <v>1</v>
      </c>
      <c r="E86" s="204" t="s">
        <v>235</v>
      </c>
      <c r="F86" s="205">
        <v>0.43940304407385417</v>
      </c>
    </row>
    <row r="87" spans="1:6">
      <c r="A87" s="210">
        <v>14214000</v>
      </c>
      <c r="B87" s="202" t="s">
        <v>254</v>
      </c>
      <c r="C87" s="203" t="s">
        <v>2143</v>
      </c>
      <c r="D87" s="204">
        <v>1</v>
      </c>
      <c r="E87" s="204" t="s">
        <v>235</v>
      </c>
      <c r="F87" s="205">
        <v>0.39784856778458322</v>
      </c>
    </row>
    <row r="88" spans="1:6">
      <c r="A88" s="210">
        <v>14215000</v>
      </c>
      <c r="B88" s="202" t="s">
        <v>255</v>
      </c>
      <c r="C88" s="203" t="s">
        <v>2143</v>
      </c>
      <c r="D88" s="204">
        <v>1</v>
      </c>
      <c r="E88" s="204" t="s">
        <v>235</v>
      </c>
      <c r="F88" s="205">
        <v>0.64449221280148516</v>
      </c>
    </row>
    <row r="89" spans="1:6">
      <c r="A89" s="210">
        <v>14219000</v>
      </c>
      <c r="B89" s="202" t="s">
        <v>2437</v>
      </c>
      <c r="C89" s="203" t="s">
        <v>2143</v>
      </c>
      <c r="D89" s="204">
        <v>1</v>
      </c>
      <c r="E89" s="204" t="s">
        <v>235</v>
      </c>
      <c r="F89" s="205">
        <v>0.71341542285218584</v>
      </c>
    </row>
    <row r="90" spans="1:6">
      <c r="A90" s="210">
        <v>14300000</v>
      </c>
      <c r="B90" s="202" t="s">
        <v>2439</v>
      </c>
      <c r="C90" s="203" t="s">
        <v>2143</v>
      </c>
      <c r="D90" s="204">
        <v>1</v>
      </c>
      <c r="E90" s="204" t="s">
        <v>235</v>
      </c>
      <c r="F90" s="205">
        <v>0.93495054674362699</v>
      </c>
    </row>
    <row r="91" spans="1:6">
      <c r="A91" s="210">
        <v>14311000</v>
      </c>
      <c r="B91" s="202" t="s">
        <v>256</v>
      </c>
      <c r="C91" s="203" t="s">
        <v>2143</v>
      </c>
      <c r="D91" s="204">
        <v>1</v>
      </c>
      <c r="E91" s="204" t="s">
        <v>235</v>
      </c>
      <c r="F91" s="205">
        <v>0.64575534253103051</v>
      </c>
    </row>
    <row r="92" spans="1:6">
      <c r="A92" s="210">
        <v>14312000</v>
      </c>
      <c r="B92" s="202" t="s">
        <v>257</v>
      </c>
      <c r="C92" s="203" t="s">
        <v>2143</v>
      </c>
      <c r="D92" s="204">
        <v>1</v>
      </c>
      <c r="E92" s="204" t="s">
        <v>235</v>
      </c>
      <c r="F92" s="205">
        <v>0.80774435863074756</v>
      </c>
    </row>
    <row r="93" spans="1:6">
      <c r="A93" s="210">
        <v>14313000</v>
      </c>
      <c r="B93" s="202" t="s">
        <v>258</v>
      </c>
      <c r="C93" s="203" t="s">
        <v>2143</v>
      </c>
      <c r="D93" s="204">
        <v>1</v>
      </c>
      <c r="E93" s="204" t="s">
        <v>235</v>
      </c>
      <c r="F93" s="205">
        <v>0.89189082017932364</v>
      </c>
    </row>
    <row r="94" spans="1:6">
      <c r="A94" s="210">
        <v>14314000</v>
      </c>
      <c r="B94" s="202" t="s">
        <v>259</v>
      </c>
      <c r="C94" s="203" t="s">
        <v>2143</v>
      </c>
      <c r="D94" s="204">
        <v>1</v>
      </c>
      <c r="E94" s="204" t="s">
        <v>235</v>
      </c>
      <c r="F94" s="205">
        <v>3.339869439837277</v>
      </c>
    </row>
    <row r="95" spans="1:6">
      <c r="A95" s="210">
        <v>14319000</v>
      </c>
      <c r="B95" s="202" t="s">
        <v>2445</v>
      </c>
      <c r="C95" s="203" t="s">
        <v>2143</v>
      </c>
      <c r="D95" s="204">
        <v>1</v>
      </c>
      <c r="E95" s="204" t="s">
        <v>235</v>
      </c>
      <c r="F95" s="205">
        <v>0.93495055667707261</v>
      </c>
    </row>
    <row r="96" spans="1:6">
      <c r="A96" s="210">
        <v>14400000</v>
      </c>
      <c r="B96" s="202" t="s">
        <v>2447</v>
      </c>
      <c r="C96" s="203" t="s">
        <v>2143</v>
      </c>
      <c r="D96" s="204">
        <v>1</v>
      </c>
      <c r="E96" s="204" t="s">
        <v>235</v>
      </c>
      <c r="F96" s="205">
        <v>0.49912251025238291</v>
      </c>
    </row>
    <row r="97" spans="1:6">
      <c r="A97" s="210">
        <v>14411000</v>
      </c>
      <c r="B97" s="202" t="s">
        <v>260</v>
      </c>
      <c r="C97" s="203" t="s">
        <v>2143</v>
      </c>
      <c r="D97" s="204">
        <v>1</v>
      </c>
      <c r="E97" s="204" t="s">
        <v>235</v>
      </c>
      <c r="F97" s="205">
        <v>0.44560580440952857</v>
      </c>
    </row>
    <row r="98" spans="1:6">
      <c r="A98" s="210">
        <v>14412000</v>
      </c>
      <c r="B98" s="202" t="s">
        <v>261</v>
      </c>
      <c r="C98" s="203" t="s">
        <v>2143</v>
      </c>
      <c r="D98" s="204">
        <v>1</v>
      </c>
      <c r="E98" s="204" t="s">
        <v>235</v>
      </c>
      <c r="F98" s="205">
        <v>0.64032097089195328</v>
      </c>
    </row>
    <row r="99" spans="1:6">
      <c r="A99" s="210">
        <v>14419000</v>
      </c>
      <c r="B99" s="202" t="s">
        <v>2451</v>
      </c>
      <c r="C99" s="203" t="s">
        <v>2143</v>
      </c>
      <c r="D99" s="204">
        <v>1</v>
      </c>
      <c r="E99" s="204" t="s">
        <v>235</v>
      </c>
      <c r="F99" s="205">
        <v>0.49912247852232094</v>
      </c>
    </row>
    <row r="100" spans="1:6">
      <c r="A100" s="210">
        <v>14900000</v>
      </c>
      <c r="B100" s="202" t="s">
        <v>2453</v>
      </c>
      <c r="C100" s="203" t="s">
        <v>2143</v>
      </c>
      <c r="D100" s="204">
        <v>1</v>
      </c>
      <c r="E100" s="204" t="s">
        <v>235</v>
      </c>
      <c r="F100" s="205">
        <v>1.3000839664349981</v>
      </c>
    </row>
    <row r="101" spans="1:6">
      <c r="A101" s="210">
        <v>14911000</v>
      </c>
      <c r="B101" s="202" t="s">
        <v>2455</v>
      </c>
      <c r="C101" s="203" t="s">
        <v>2143</v>
      </c>
      <c r="D101" s="204">
        <v>1</v>
      </c>
      <c r="E101" s="204" t="s">
        <v>235</v>
      </c>
      <c r="F101" s="205">
        <v>0.61638884036416997</v>
      </c>
    </row>
    <row r="102" spans="1:6">
      <c r="A102" s="210">
        <v>14912000</v>
      </c>
      <c r="B102" s="202" t="s">
        <v>262</v>
      </c>
      <c r="C102" s="203" t="s">
        <v>2143</v>
      </c>
      <c r="D102" s="204">
        <v>1</v>
      </c>
      <c r="E102" s="204" t="s">
        <v>235</v>
      </c>
      <c r="F102" s="205">
        <v>2.8101107655223903</v>
      </c>
    </row>
    <row r="103" spans="1:6">
      <c r="A103" s="210">
        <v>14913000</v>
      </c>
      <c r="B103" s="202" t="s">
        <v>263</v>
      </c>
      <c r="C103" s="203" t="s">
        <v>2143</v>
      </c>
      <c r="D103" s="204">
        <v>1</v>
      </c>
      <c r="E103" s="204" t="s">
        <v>235</v>
      </c>
      <c r="F103" s="205">
        <v>1.7761648334657303</v>
      </c>
    </row>
    <row r="104" spans="1:6">
      <c r="A104" s="210">
        <v>14919000</v>
      </c>
      <c r="B104" s="202" t="s">
        <v>2459</v>
      </c>
      <c r="C104" s="203" t="s">
        <v>2143</v>
      </c>
      <c r="D104" s="204">
        <v>1</v>
      </c>
      <c r="E104" s="204" t="s">
        <v>235</v>
      </c>
      <c r="F104" s="205">
        <v>1.3000839704038167</v>
      </c>
    </row>
    <row r="105" spans="1:6">
      <c r="A105" s="210">
        <v>15100000</v>
      </c>
      <c r="B105" s="202" t="s">
        <v>2461</v>
      </c>
      <c r="C105" s="203" t="s">
        <v>2143</v>
      </c>
      <c r="D105" s="204">
        <v>1</v>
      </c>
      <c r="E105" s="204" t="s">
        <v>235</v>
      </c>
      <c r="F105" s="205">
        <v>4.8895662008093269E-2</v>
      </c>
    </row>
    <row r="106" spans="1:6">
      <c r="A106" s="210">
        <v>15111000</v>
      </c>
      <c r="B106" s="202" t="s">
        <v>264</v>
      </c>
      <c r="C106" s="203" t="s">
        <v>2143</v>
      </c>
      <c r="D106" s="204">
        <v>1</v>
      </c>
      <c r="E106" s="204" t="s">
        <v>235</v>
      </c>
      <c r="F106" s="205">
        <v>4.8895662008093269E-2</v>
      </c>
    </row>
    <row r="107" spans="1:6">
      <c r="A107" s="210">
        <v>16100000</v>
      </c>
      <c r="B107" s="202" t="s">
        <v>2464</v>
      </c>
      <c r="C107" s="203" t="s">
        <v>2143</v>
      </c>
      <c r="D107" s="204">
        <v>1</v>
      </c>
      <c r="E107" s="204" t="s">
        <v>2144</v>
      </c>
      <c r="F107" s="205">
        <v>0.40280413025188916</v>
      </c>
    </row>
    <row r="108" spans="1:6">
      <c r="A108" s="210">
        <v>16111000</v>
      </c>
      <c r="B108" s="202" t="s">
        <v>2466</v>
      </c>
      <c r="C108" s="203" t="s">
        <v>2143</v>
      </c>
      <c r="D108" s="204">
        <v>1</v>
      </c>
      <c r="E108" s="204" t="s">
        <v>2144</v>
      </c>
      <c r="F108" s="205">
        <v>0.40280413025188916</v>
      </c>
    </row>
    <row r="109" spans="1:6">
      <c r="A109" s="210">
        <v>16111201</v>
      </c>
      <c r="B109" s="202" t="s">
        <v>2468</v>
      </c>
      <c r="C109" s="203" t="s">
        <v>2143</v>
      </c>
      <c r="D109" s="204">
        <v>1</v>
      </c>
      <c r="E109" s="204" t="s">
        <v>2144</v>
      </c>
      <c r="F109" s="205">
        <v>0.14057520681764429</v>
      </c>
    </row>
    <row r="110" spans="1:6">
      <c r="A110" s="210">
        <v>16111202</v>
      </c>
      <c r="B110" s="202" t="s">
        <v>2470</v>
      </c>
      <c r="C110" s="203" t="s">
        <v>2143</v>
      </c>
      <c r="D110" s="204">
        <v>1</v>
      </c>
      <c r="E110" s="204" t="s">
        <v>2144</v>
      </c>
      <c r="F110" s="205">
        <v>0.51628910720807941</v>
      </c>
    </row>
    <row r="111" spans="1:6">
      <c r="A111" s="210">
        <v>16900000</v>
      </c>
      <c r="B111" s="202" t="s">
        <v>5557</v>
      </c>
      <c r="C111" s="203" t="s">
        <v>2143</v>
      </c>
      <c r="D111" s="204">
        <v>1</v>
      </c>
      <c r="E111" s="204" t="s">
        <v>2013</v>
      </c>
      <c r="F111" s="205">
        <v>8.1214133840198585E-3</v>
      </c>
    </row>
    <row r="112" spans="1:6">
      <c r="A112" s="210">
        <v>16911000</v>
      </c>
      <c r="B112" s="202" t="s">
        <v>5558</v>
      </c>
      <c r="C112" s="203" t="s">
        <v>2143</v>
      </c>
      <c r="D112" s="204">
        <v>1</v>
      </c>
      <c r="E112" s="204" t="s">
        <v>2013</v>
      </c>
      <c r="F112" s="205">
        <v>8.1214133840198585E-3</v>
      </c>
    </row>
    <row r="113" spans="1:6">
      <c r="A113" s="210">
        <v>17100000</v>
      </c>
      <c r="B113" s="202" t="s">
        <v>2472</v>
      </c>
      <c r="C113" s="203" t="s">
        <v>2143</v>
      </c>
      <c r="D113" s="204">
        <v>1</v>
      </c>
      <c r="E113" s="204" t="s">
        <v>235</v>
      </c>
      <c r="F113" s="205">
        <v>0.22445699157140511</v>
      </c>
    </row>
    <row r="114" spans="1:6">
      <c r="A114" s="210">
        <v>17111000</v>
      </c>
      <c r="B114" s="202" t="s">
        <v>267</v>
      </c>
      <c r="C114" s="203" t="s">
        <v>2143</v>
      </c>
      <c r="D114" s="204">
        <v>1</v>
      </c>
      <c r="E114" s="204" t="s">
        <v>235</v>
      </c>
      <c r="F114" s="205">
        <v>6.543276694340365E-2</v>
      </c>
    </row>
    <row r="115" spans="1:6">
      <c r="A115" s="210">
        <v>17112000</v>
      </c>
      <c r="B115" s="202" t="s">
        <v>268</v>
      </c>
      <c r="C115" s="203" t="s">
        <v>2143</v>
      </c>
      <c r="D115" s="204">
        <v>1</v>
      </c>
      <c r="E115" s="204" t="s">
        <v>235</v>
      </c>
      <c r="F115" s="205">
        <v>8.5372527136047108E-2</v>
      </c>
    </row>
    <row r="116" spans="1:6">
      <c r="A116" s="210">
        <v>17112201</v>
      </c>
      <c r="B116" s="202" t="s">
        <v>5559</v>
      </c>
      <c r="C116" s="203" t="s">
        <v>2143</v>
      </c>
      <c r="D116" s="204">
        <v>1</v>
      </c>
      <c r="E116" s="204" t="s">
        <v>235</v>
      </c>
      <c r="F116" s="205">
        <v>5.0683167089034857E-2</v>
      </c>
    </row>
    <row r="117" spans="1:6">
      <c r="A117" s="210">
        <v>17113000</v>
      </c>
      <c r="B117" s="202" t="s">
        <v>2476</v>
      </c>
      <c r="C117" s="203" t="s">
        <v>2143</v>
      </c>
      <c r="D117" s="204">
        <v>1</v>
      </c>
      <c r="E117" s="204" t="s">
        <v>235</v>
      </c>
      <c r="F117" s="205">
        <v>2.0275634572356576</v>
      </c>
    </row>
    <row r="118" spans="1:6">
      <c r="A118" s="210">
        <v>17114000</v>
      </c>
      <c r="B118" s="202" t="s">
        <v>269</v>
      </c>
      <c r="C118" s="203" t="s">
        <v>2143</v>
      </c>
      <c r="D118" s="204">
        <v>1</v>
      </c>
      <c r="E118" s="204" t="s">
        <v>235</v>
      </c>
      <c r="F118" s="205">
        <v>1.5269354861938012</v>
      </c>
    </row>
    <row r="119" spans="1:6">
      <c r="A119" s="210">
        <v>17119000</v>
      </c>
      <c r="B119" s="202" t="s">
        <v>2479</v>
      </c>
      <c r="C119" s="203" t="s">
        <v>2143</v>
      </c>
      <c r="D119" s="204">
        <v>1</v>
      </c>
      <c r="E119" s="204" t="s">
        <v>235</v>
      </c>
      <c r="F119" s="205">
        <v>0.22445698380736437</v>
      </c>
    </row>
    <row r="120" spans="1:6">
      <c r="A120" s="210">
        <v>17119205</v>
      </c>
      <c r="B120" s="202" t="s">
        <v>5560</v>
      </c>
      <c r="C120" s="203" t="s">
        <v>2145</v>
      </c>
      <c r="D120" s="204">
        <v>1</v>
      </c>
      <c r="E120" s="204" t="s">
        <v>235</v>
      </c>
      <c r="F120" s="205">
        <v>0.47515101765901657</v>
      </c>
    </row>
    <row r="121" spans="1:6">
      <c r="A121" s="210">
        <v>17200000</v>
      </c>
      <c r="B121" s="202" t="s">
        <v>2481</v>
      </c>
      <c r="C121" s="203" t="s">
        <v>2143</v>
      </c>
      <c r="D121" s="204">
        <v>1</v>
      </c>
      <c r="E121" s="204" t="s">
        <v>235</v>
      </c>
      <c r="F121" s="205">
        <v>1.8938332243007179</v>
      </c>
    </row>
    <row r="122" spans="1:6">
      <c r="A122" s="210">
        <v>17211000</v>
      </c>
      <c r="B122" s="202" t="s">
        <v>270</v>
      </c>
      <c r="C122" s="203" t="s">
        <v>2146</v>
      </c>
      <c r="D122" s="204">
        <v>1</v>
      </c>
      <c r="E122" s="204" t="s">
        <v>235</v>
      </c>
      <c r="F122" s="205">
        <v>0.48442130285677076</v>
      </c>
    </row>
    <row r="123" spans="1:6">
      <c r="A123" s="210">
        <v>17212000</v>
      </c>
      <c r="B123" s="202" t="s">
        <v>271</v>
      </c>
      <c r="C123" s="203" t="s">
        <v>2146</v>
      </c>
      <c r="D123" s="204">
        <v>1</v>
      </c>
      <c r="E123" s="204" t="s">
        <v>235</v>
      </c>
      <c r="F123" s="205">
        <v>8.0736876059349399E-2</v>
      </c>
    </row>
    <row r="124" spans="1:6">
      <c r="A124" s="210">
        <v>17219000</v>
      </c>
      <c r="B124" s="202" t="s">
        <v>2485</v>
      </c>
      <c r="C124" s="203" t="s">
        <v>2143</v>
      </c>
      <c r="D124" s="204">
        <v>1</v>
      </c>
      <c r="E124" s="204" t="s">
        <v>235</v>
      </c>
      <c r="F124" s="205">
        <v>1.9030644592214383</v>
      </c>
    </row>
    <row r="125" spans="1:6">
      <c r="A125" s="210">
        <v>17219203</v>
      </c>
      <c r="B125" s="202" t="s">
        <v>2487</v>
      </c>
      <c r="C125" s="203" t="s">
        <v>2147</v>
      </c>
      <c r="D125" s="204">
        <v>1</v>
      </c>
      <c r="E125" s="204" t="s">
        <v>235</v>
      </c>
      <c r="F125" s="205">
        <v>1.522995835727922E-2</v>
      </c>
    </row>
    <row r="126" spans="1:6">
      <c r="A126" s="210">
        <v>17219204</v>
      </c>
      <c r="B126" s="202" t="s">
        <v>5561</v>
      </c>
      <c r="C126" s="203" t="s">
        <v>2147</v>
      </c>
      <c r="D126" s="204">
        <v>1</v>
      </c>
      <c r="E126" s="204" t="s">
        <v>235</v>
      </c>
      <c r="F126" s="205">
        <v>1.1779253720748499E-2</v>
      </c>
    </row>
    <row r="127" spans="1:6">
      <c r="A127" s="210">
        <v>17219205</v>
      </c>
      <c r="B127" s="202" t="s">
        <v>5562</v>
      </c>
      <c r="C127" s="203" t="s">
        <v>2147</v>
      </c>
      <c r="D127" s="204">
        <v>1</v>
      </c>
      <c r="E127" s="204" t="s">
        <v>235</v>
      </c>
      <c r="F127" s="205">
        <v>9.9162167726783476E-2</v>
      </c>
    </row>
    <row r="128" spans="1:6">
      <c r="A128" s="210">
        <v>17219206</v>
      </c>
      <c r="B128" s="202" t="s">
        <v>5563</v>
      </c>
      <c r="C128" s="203" t="s">
        <v>2147</v>
      </c>
      <c r="D128" s="204">
        <v>1</v>
      </c>
      <c r="E128" s="204" t="s">
        <v>235</v>
      </c>
      <c r="F128" s="205">
        <v>5.5686096782503566E-2</v>
      </c>
    </row>
    <row r="129" spans="1:6">
      <c r="A129" s="210">
        <v>17219207</v>
      </c>
      <c r="B129" s="202" t="s">
        <v>5564</v>
      </c>
      <c r="C129" s="203" t="s">
        <v>2148</v>
      </c>
      <c r="D129" s="204">
        <v>1</v>
      </c>
      <c r="E129" s="204" t="s">
        <v>235</v>
      </c>
      <c r="F129" s="205">
        <v>1.3668069713059978</v>
      </c>
    </row>
    <row r="130" spans="1:6">
      <c r="A130" s="210">
        <v>17219940</v>
      </c>
      <c r="B130" s="202" t="s">
        <v>5565</v>
      </c>
      <c r="C130" s="203" t="s">
        <v>5553</v>
      </c>
      <c r="D130" s="204">
        <v>1</v>
      </c>
      <c r="E130" s="204" t="s">
        <v>235</v>
      </c>
      <c r="F130" s="205">
        <v>0</v>
      </c>
    </row>
    <row r="131" spans="1:6">
      <c r="A131" s="210">
        <v>18100000</v>
      </c>
      <c r="B131" s="202" t="s">
        <v>2489</v>
      </c>
      <c r="C131" s="203" t="s">
        <v>2143</v>
      </c>
      <c r="D131" s="204">
        <v>1</v>
      </c>
      <c r="E131" s="204" t="s">
        <v>235</v>
      </c>
      <c r="F131" s="205">
        <v>1.4452582738161157</v>
      </c>
    </row>
    <row r="132" spans="1:6">
      <c r="A132" s="210">
        <v>18111000</v>
      </c>
      <c r="B132" s="202" t="s">
        <v>272</v>
      </c>
      <c r="C132" s="203" t="s">
        <v>2143</v>
      </c>
      <c r="D132" s="204">
        <v>1</v>
      </c>
      <c r="E132" s="204" t="s">
        <v>235</v>
      </c>
      <c r="F132" s="205">
        <v>1.4140258089324256</v>
      </c>
    </row>
    <row r="133" spans="1:6">
      <c r="A133" s="210">
        <v>18111201</v>
      </c>
      <c r="B133" s="202" t="s">
        <v>5566</v>
      </c>
      <c r="C133" s="203" t="s">
        <v>2143</v>
      </c>
      <c r="D133" s="204">
        <v>1</v>
      </c>
      <c r="E133" s="204" t="s">
        <v>235</v>
      </c>
      <c r="F133" s="205">
        <v>0.34165320503117963</v>
      </c>
    </row>
    <row r="134" spans="1:6">
      <c r="A134" s="210">
        <v>18111202</v>
      </c>
      <c r="B134" s="202" t="s">
        <v>5567</v>
      </c>
      <c r="C134" s="203" t="s">
        <v>2143</v>
      </c>
      <c r="D134" s="204">
        <v>1</v>
      </c>
      <c r="E134" s="204" t="s">
        <v>235</v>
      </c>
      <c r="F134" s="205">
        <v>0.46014778891363461</v>
      </c>
    </row>
    <row r="135" spans="1:6">
      <c r="A135" s="210">
        <v>18111640</v>
      </c>
      <c r="B135" s="202" t="s">
        <v>5568</v>
      </c>
      <c r="C135" s="203" t="s">
        <v>5553</v>
      </c>
      <c r="D135" s="204">
        <v>1</v>
      </c>
      <c r="E135" s="204" t="s">
        <v>2144</v>
      </c>
      <c r="F135" s="205">
        <v>0</v>
      </c>
    </row>
    <row r="136" spans="1:6">
      <c r="A136" s="210">
        <v>18111641</v>
      </c>
      <c r="B136" s="202" t="s">
        <v>5569</v>
      </c>
      <c r="C136" s="203" t="s">
        <v>5553</v>
      </c>
      <c r="D136" s="204">
        <v>1</v>
      </c>
      <c r="E136" s="204" t="s">
        <v>2144</v>
      </c>
      <c r="F136" s="205">
        <v>0</v>
      </c>
    </row>
    <row r="137" spans="1:6">
      <c r="A137" s="210">
        <v>18111642</v>
      </c>
      <c r="B137" s="202" t="s">
        <v>5570</v>
      </c>
      <c r="C137" s="203" t="s">
        <v>5553</v>
      </c>
      <c r="D137" s="204">
        <v>1</v>
      </c>
      <c r="E137" s="204" t="s">
        <v>2144</v>
      </c>
      <c r="F137" s="205">
        <v>0</v>
      </c>
    </row>
    <row r="138" spans="1:6">
      <c r="A138" s="210">
        <v>18111643</v>
      </c>
      <c r="B138" s="202" t="s">
        <v>5571</v>
      </c>
      <c r="C138" s="203" t="s">
        <v>5553</v>
      </c>
      <c r="D138" s="204">
        <v>1</v>
      </c>
      <c r="E138" s="204" t="s">
        <v>2144</v>
      </c>
      <c r="F138" s="205">
        <v>0</v>
      </c>
    </row>
    <row r="139" spans="1:6">
      <c r="A139" s="210">
        <v>18111644</v>
      </c>
      <c r="B139" s="202" t="s">
        <v>5572</v>
      </c>
      <c r="C139" s="203" t="s">
        <v>5553</v>
      </c>
      <c r="D139" s="204">
        <v>1</v>
      </c>
      <c r="E139" s="204" t="s">
        <v>2144</v>
      </c>
      <c r="F139" s="205">
        <v>0</v>
      </c>
    </row>
    <row r="140" spans="1:6">
      <c r="A140" s="210">
        <v>18111645</v>
      </c>
      <c r="B140" s="202" t="s">
        <v>5573</v>
      </c>
      <c r="C140" s="203" t="s">
        <v>5553</v>
      </c>
      <c r="D140" s="204">
        <v>1</v>
      </c>
      <c r="E140" s="204" t="s">
        <v>5574</v>
      </c>
      <c r="F140" s="205">
        <v>0</v>
      </c>
    </row>
    <row r="141" spans="1:6">
      <c r="A141" s="210">
        <v>18111940</v>
      </c>
      <c r="B141" s="202" t="s">
        <v>5575</v>
      </c>
      <c r="C141" s="203" t="s">
        <v>5553</v>
      </c>
      <c r="D141" s="204">
        <v>1</v>
      </c>
      <c r="E141" s="204" t="s">
        <v>235</v>
      </c>
      <c r="F141" s="205">
        <v>0</v>
      </c>
    </row>
    <row r="142" spans="1:6">
      <c r="A142" s="210">
        <v>18111946</v>
      </c>
      <c r="B142" s="202" t="s">
        <v>5576</v>
      </c>
      <c r="C142" s="203" t="s">
        <v>5553</v>
      </c>
      <c r="D142" s="204">
        <v>1</v>
      </c>
      <c r="E142" s="204" t="s">
        <v>2144</v>
      </c>
      <c r="F142" s="205">
        <v>0</v>
      </c>
    </row>
    <row r="143" spans="1:6">
      <c r="A143" s="210">
        <v>18119000</v>
      </c>
      <c r="B143" s="202" t="s">
        <v>273</v>
      </c>
      <c r="C143" s="203" t="s">
        <v>2143</v>
      </c>
      <c r="D143" s="204">
        <v>1</v>
      </c>
      <c r="E143" s="204" t="s">
        <v>235</v>
      </c>
      <c r="F143" s="205">
        <v>2.6493732661989293</v>
      </c>
    </row>
    <row r="144" spans="1:6">
      <c r="A144" s="210">
        <v>18200000</v>
      </c>
      <c r="B144" s="202" t="s">
        <v>2493</v>
      </c>
      <c r="C144" s="203" t="s">
        <v>2143</v>
      </c>
      <c r="D144" s="204">
        <v>1</v>
      </c>
      <c r="E144" s="204" t="s">
        <v>235</v>
      </c>
      <c r="F144" s="205">
        <v>1.7263298767806667</v>
      </c>
    </row>
    <row r="145" spans="1:6">
      <c r="A145" s="210">
        <v>18211000</v>
      </c>
      <c r="B145" s="202" t="s">
        <v>274</v>
      </c>
      <c r="C145" s="203" t="s">
        <v>2143</v>
      </c>
      <c r="D145" s="204">
        <v>1</v>
      </c>
      <c r="E145" s="204" t="s">
        <v>235</v>
      </c>
      <c r="F145" s="205">
        <v>1.7263298767806667</v>
      </c>
    </row>
    <row r="146" spans="1:6">
      <c r="A146" s="210">
        <v>18300000</v>
      </c>
      <c r="B146" s="202" t="s">
        <v>2496</v>
      </c>
      <c r="C146" s="203" t="s">
        <v>2143</v>
      </c>
      <c r="D146" s="204">
        <v>1</v>
      </c>
      <c r="E146" s="204" t="s">
        <v>235</v>
      </c>
      <c r="F146" s="205">
        <v>4.039958751583395</v>
      </c>
    </row>
    <row r="147" spans="1:6">
      <c r="A147" s="210">
        <v>18311000</v>
      </c>
      <c r="B147" s="202" t="s">
        <v>277</v>
      </c>
      <c r="C147" s="203" t="s">
        <v>2143</v>
      </c>
      <c r="D147" s="204">
        <v>1</v>
      </c>
      <c r="E147" s="204" t="s">
        <v>235</v>
      </c>
      <c r="F147" s="205">
        <v>12.888257825076707</v>
      </c>
    </row>
    <row r="148" spans="1:6">
      <c r="A148" s="210">
        <v>18312000</v>
      </c>
      <c r="B148" s="202" t="s">
        <v>276</v>
      </c>
      <c r="C148" s="203" t="s">
        <v>2143</v>
      </c>
      <c r="D148" s="204">
        <v>1</v>
      </c>
      <c r="E148" s="204" t="s">
        <v>235</v>
      </c>
      <c r="F148" s="205">
        <v>3.0293897911541556</v>
      </c>
    </row>
    <row r="149" spans="1:6">
      <c r="A149" s="210">
        <v>18313000</v>
      </c>
      <c r="B149" s="202" t="s">
        <v>275</v>
      </c>
      <c r="C149" s="203" t="s">
        <v>2143</v>
      </c>
      <c r="D149" s="204">
        <v>1</v>
      </c>
      <c r="E149" s="204" t="s">
        <v>235</v>
      </c>
      <c r="F149" s="205">
        <v>1.795328293794459</v>
      </c>
    </row>
    <row r="150" spans="1:6">
      <c r="A150" s="210">
        <v>18313640</v>
      </c>
      <c r="B150" s="202" t="s">
        <v>5577</v>
      </c>
      <c r="C150" s="203" t="s">
        <v>5553</v>
      </c>
      <c r="D150" s="204">
        <v>1</v>
      </c>
      <c r="E150" s="204" t="s">
        <v>235</v>
      </c>
      <c r="F150" s="205">
        <v>0</v>
      </c>
    </row>
    <row r="151" spans="1:6">
      <c r="A151" s="210">
        <v>18900000</v>
      </c>
      <c r="B151" s="202" t="s">
        <v>5578</v>
      </c>
      <c r="C151" s="203" t="s">
        <v>2143</v>
      </c>
      <c r="D151" s="204">
        <v>1</v>
      </c>
      <c r="E151" s="204" t="s">
        <v>2013</v>
      </c>
      <c r="F151" s="205">
        <v>4.5646238483632228E-3</v>
      </c>
    </row>
    <row r="152" spans="1:6">
      <c r="A152" s="210">
        <v>18911000</v>
      </c>
      <c r="B152" s="202" t="s">
        <v>5579</v>
      </c>
      <c r="C152" s="203" t="s">
        <v>2143</v>
      </c>
      <c r="D152" s="204">
        <v>1</v>
      </c>
      <c r="E152" s="204" t="s">
        <v>2013</v>
      </c>
      <c r="F152" s="205">
        <v>4.5646238483632228E-3</v>
      </c>
    </row>
    <row r="153" spans="1:6">
      <c r="A153" s="210">
        <v>18911201</v>
      </c>
      <c r="B153" s="202" t="s">
        <v>5580</v>
      </c>
      <c r="C153" s="203" t="s">
        <v>2149</v>
      </c>
      <c r="D153" s="204">
        <v>1</v>
      </c>
      <c r="E153" s="204" t="s">
        <v>235</v>
      </c>
      <c r="F153" s="205">
        <v>2.0586174099637224</v>
      </c>
    </row>
    <row r="154" spans="1:6">
      <c r="A154" s="210">
        <v>19100000</v>
      </c>
      <c r="B154" s="202" t="s">
        <v>5581</v>
      </c>
      <c r="C154" s="203" t="s">
        <v>2143</v>
      </c>
      <c r="D154" s="204">
        <v>1</v>
      </c>
      <c r="E154" s="204" t="s">
        <v>2013</v>
      </c>
      <c r="F154" s="205">
        <v>2.6927078360401962E-3</v>
      </c>
    </row>
    <row r="155" spans="1:6">
      <c r="A155" s="210">
        <v>19111000</v>
      </c>
      <c r="B155" s="202" t="s">
        <v>5582</v>
      </c>
      <c r="C155" s="203" t="s">
        <v>2143</v>
      </c>
      <c r="D155" s="204">
        <v>1</v>
      </c>
      <c r="E155" s="204" t="s">
        <v>2013</v>
      </c>
      <c r="F155" s="205">
        <v>2.6927078360401962E-3</v>
      </c>
    </row>
    <row r="156" spans="1:6">
      <c r="A156" s="210">
        <v>21100000</v>
      </c>
      <c r="B156" s="202" t="s">
        <v>2501</v>
      </c>
      <c r="C156" s="203" t="s">
        <v>2143</v>
      </c>
      <c r="D156" s="204">
        <v>1</v>
      </c>
      <c r="E156" s="204" t="s">
        <v>278</v>
      </c>
      <c r="F156" s="205">
        <v>10.866514532327216</v>
      </c>
    </row>
    <row r="157" spans="1:6">
      <c r="A157" s="210">
        <v>21100940</v>
      </c>
      <c r="B157" s="202" t="s">
        <v>5583</v>
      </c>
      <c r="C157" s="203" t="s">
        <v>5553</v>
      </c>
      <c r="D157" s="204">
        <v>1</v>
      </c>
      <c r="E157" s="204" t="s">
        <v>2144</v>
      </c>
      <c r="F157" s="205">
        <v>0</v>
      </c>
    </row>
    <row r="158" spans="1:6">
      <c r="A158" s="210">
        <v>21100941</v>
      </c>
      <c r="B158" s="202" t="s">
        <v>5584</v>
      </c>
      <c r="C158" s="203" t="s">
        <v>5553</v>
      </c>
      <c r="D158" s="204">
        <v>1</v>
      </c>
      <c r="E158" s="204" t="s">
        <v>278</v>
      </c>
      <c r="F158" s="205">
        <v>0</v>
      </c>
    </row>
    <row r="159" spans="1:6">
      <c r="A159" s="210">
        <v>21111000</v>
      </c>
      <c r="B159" s="202" t="s">
        <v>2503</v>
      </c>
      <c r="C159" s="203" t="s">
        <v>2143</v>
      </c>
      <c r="D159" s="204">
        <v>1</v>
      </c>
      <c r="E159" s="204" t="s">
        <v>278</v>
      </c>
      <c r="F159" s="205">
        <v>12.455736773426928</v>
      </c>
    </row>
    <row r="160" spans="1:6">
      <c r="A160" s="210">
        <v>21112000</v>
      </c>
      <c r="B160" s="202" t="s">
        <v>2505</v>
      </c>
      <c r="C160" s="203" t="s">
        <v>2143</v>
      </c>
      <c r="D160" s="204">
        <v>1</v>
      </c>
      <c r="E160" s="204" t="s">
        <v>278</v>
      </c>
      <c r="F160" s="205">
        <v>13.865298495218317</v>
      </c>
    </row>
    <row r="161" spans="1:6">
      <c r="A161" s="210">
        <v>21113000</v>
      </c>
      <c r="B161" s="202" t="s">
        <v>2507</v>
      </c>
      <c r="C161" s="203" t="s">
        <v>2143</v>
      </c>
      <c r="D161" s="204">
        <v>1</v>
      </c>
      <c r="E161" s="204" t="s">
        <v>278</v>
      </c>
      <c r="F161" s="205">
        <v>3.4674884116717748</v>
      </c>
    </row>
    <row r="162" spans="1:6">
      <c r="A162" s="210">
        <v>21114000</v>
      </c>
      <c r="B162" s="202" t="s">
        <v>2509</v>
      </c>
      <c r="C162" s="203" t="s">
        <v>2143</v>
      </c>
      <c r="D162" s="204">
        <v>1</v>
      </c>
      <c r="E162" s="204" t="s">
        <v>278</v>
      </c>
      <c r="F162" s="205">
        <v>3.4495033312154204</v>
      </c>
    </row>
    <row r="163" spans="1:6">
      <c r="A163" s="210">
        <v>22200000</v>
      </c>
      <c r="B163" s="202" t="s">
        <v>5585</v>
      </c>
      <c r="C163" s="203" t="s">
        <v>2143</v>
      </c>
      <c r="D163" s="204">
        <v>1</v>
      </c>
      <c r="E163" s="204" t="s">
        <v>2013</v>
      </c>
      <c r="F163" s="205">
        <v>6.2458276392903279E-3</v>
      </c>
    </row>
    <row r="164" spans="1:6">
      <c r="A164" s="210">
        <v>22211000</v>
      </c>
      <c r="B164" s="202" t="s">
        <v>5586</v>
      </c>
      <c r="C164" s="203" t="s">
        <v>2143</v>
      </c>
      <c r="D164" s="204">
        <v>1</v>
      </c>
      <c r="E164" s="204" t="s">
        <v>2013</v>
      </c>
      <c r="F164" s="205">
        <v>6.2458276392903279E-3</v>
      </c>
    </row>
    <row r="165" spans="1:6">
      <c r="A165" s="210">
        <v>22211201</v>
      </c>
      <c r="B165" s="202" t="s">
        <v>2511</v>
      </c>
      <c r="C165" s="203" t="s">
        <v>2143</v>
      </c>
      <c r="D165" s="204">
        <v>1</v>
      </c>
      <c r="E165" s="204" t="s">
        <v>235</v>
      </c>
      <c r="F165" s="205">
        <v>9.2566618334525577E-2</v>
      </c>
    </row>
    <row r="166" spans="1:6">
      <c r="A166" s="210">
        <v>22211640</v>
      </c>
      <c r="B166" s="202" t="s">
        <v>5587</v>
      </c>
      <c r="C166" s="203" t="s">
        <v>5553</v>
      </c>
      <c r="D166" s="204">
        <v>1</v>
      </c>
      <c r="E166" s="204" t="s">
        <v>235</v>
      </c>
      <c r="F166" s="205">
        <v>0</v>
      </c>
    </row>
    <row r="167" spans="1:6">
      <c r="A167" s="210">
        <v>22211641</v>
      </c>
      <c r="B167" s="202" t="s">
        <v>5588</v>
      </c>
      <c r="C167" s="203" t="s">
        <v>5553</v>
      </c>
      <c r="D167" s="204">
        <v>1</v>
      </c>
      <c r="E167" s="204" t="s">
        <v>400</v>
      </c>
      <c r="F167" s="205">
        <v>0</v>
      </c>
    </row>
    <row r="168" spans="1:6">
      <c r="A168" s="210">
        <v>22211801</v>
      </c>
      <c r="B168" s="202" t="s">
        <v>2513</v>
      </c>
      <c r="C168" s="203" t="s">
        <v>2143</v>
      </c>
      <c r="D168" s="204">
        <v>1</v>
      </c>
      <c r="E168" s="204" t="s">
        <v>279</v>
      </c>
      <c r="F168" s="205">
        <v>6.2729715667563584E-3</v>
      </c>
    </row>
    <row r="169" spans="1:6">
      <c r="A169" s="210">
        <v>22211802</v>
      </c>
      <c r="B169" s="202" t="s">
        <v>2515</v>
      </c>
      <c r="C169" s="203" t="s">
        <v>2143</v>
      </c>
      <c r="D169" s="204">
        <v>1</v>
      </c>
      <c r="E169" s="204" t="s">
        <v>279</v>
      </c>
      <c r="F169" s="205">
        <v>4.7472384992530321E-3</v>
      </c>
    </row>
    <row r="170" spans="1:6">
      <c r="A170" s="210">
        <v>30000201</v>
      </c>
      <c r="B170" s="202" t="s">
        <v>5589</v>
      </c>
      <c r="C170" s="203" t="s">
        <v>2143</v>
      </c>
      <c r="D170" s="204">
        <v>1</v>
      </c>
      <c r="E170" s="204" t="s">
        <v>2013</v>
      </c>
      <c r="F170" s="205">
        <v>8.1252775094779444E-3</v>
      </c>
    </row>
    <row r="171" spans="1:6">
      <c r="A171" s="210">
        <v>30000203</v>
      </c>
      <c r="B171" s="202" t="s">
        <v>280</v>
      </c>
      <c r="C171" s="203" t="s">
        <v>2143</v>
      </c>
      <c r="D171" s="204">
        <v>1</v>
      </c>
      <c r="E171" s="204" t="s">
        <v>2013</v>
      </c>
      <c r="F171" s="205">
        <v>4.4642677934125883E-3</v>
      </c>
    </row>
    <row r="172" spans="1:6">
      <c r="A172" s="210">
        <v>30000204</v>
      </c>
      <c r="B172" s="202" t="s">
        <v>5590</v>
      </c>
      <c r="C172" s="203" t="s">
        <v>2143</v>
      </c>
      <c r="D172" s="204">
        <v>1</v>
      </c>
      <c r="E172" s="204" t="s">
        <v>2013</v>
      </c>
      <c r="F172" s="205">
        <v>4.6475943646054133E-3</v>
      </c>
    </row>
    <row r="173" spans="1:6">
      <c r="A173" s="210">
        <v>31100000</v>
      </c>
      <c r="B173" s="202" t="s">
        <v>2517</v>
      </c>
      <c r="C173" s="203" t="s">
        <v>2143</v>
      </c>
      <c r="D173" s="204">
        <v>1</v>
      </c>
      <c r="E173" s="204" t="s">
        <v>235</v>
      </c>
      <c r="F173" s="205">
        <v>3.1893577256342556</v>
      </c>
    </row>
    <row r="174" spans="1:6">
      <c r="A174" s="210">
        <v>31111000</v>
      </c>
      <c r="B174" s="202" t="s">
        <v>301</v>
      </c>
      <c r="C174" s="203" t="s">
        <v>2143</v>
      </c>
      <c r="D174" s="204">
        <v>1</v>
      </c>
      <c r="E174" s="204" t="s">
        <v>235</v>
      </c>
      <c r="F174" s="205">
        <v>2.5482103287749447</v>
      </c>
    </row>
    <row r="175" spans="1:6">
      <c r="A175" s="210">
        <v>31112000</v>
      </c>
      <c r="B175" s="202" t="s">
        <v>302</v>
      </c>
      <c r="C175" s="203" t="s">
        <v>2143</v>
      </c>
      <c r="D175" s="204">
        <v>1</v>
      </c>
      <c r="E175" s="204" t="s">
        <v>235</v>
      </c>
      <c r="F175" s="205">
        <v>3.7499053155636948</v>
      </c>
    </row>
    <row r="176" spans="1:6">
      <c r="A176" s="210">
        <v>31113000</v>
      </c>
      <c r="B176" s="202" t="s">
        <v>303</v>
      </c>
      <c r="C176" s="203" t="s">
        <v>2143</v>
      </c>
      <c r="D176" s="204">
        <v>1</v>
      </c>
      <c r="E176" s="204" t="s">
        <v>235</v>
      </c>
      <c r="F176" s="205">
        <v>3.0200312399590188</v>
      </c>
    </row>
    <row r="177" spans="1:6">
      <c r="A177" s="210">
        <v>31114000</v>
      </c>
      <c r="B177" s="202" t="s">
        <v>304</v>
      </c>
      <c r="C177" s="203" t="s">
        <v>2143</v>
      </c>
      <c r="D177" s="204">
        <v>1</v>
      </c>
      <c r="E177" s="204" t="s">
        <v>235</v>
      </c>
      <c r="F177" s="205">
        <v>3.5231161750584756</v>
      </c>
    </row>
    <row r="178" spans="1:6">
      <c r="A178" s="210">
        <v>31115000</v>
      </c>
      <c r="B178" s="202" t="s">
        <v>305</v>
      </c>
      <c r="C178" s="203" t="s">
        <v>2143</v>
      </c>
      <c r="D178" s="204">
        <v>1</v>
      </c>
      <c r="E178" s="204" t="s">
        <v>235</v>
      </c>
      <c r="F178" s="205">
        <v>3.2644077666500251</v>
      </c>
    </row>
    <row r="179" spans="1:6">
      <c r="A179" s="210">
        <v>31119000</v>
      </c>
      <c r="B179" s="202" t="s">
        <v>306</v>
      </c>
      <c r="C179" s="203" t="s">
        <v>2143</v>
      </c>
      <c r="D179" s="204">
        <v>1</v>
      </c>
      <c r="E179" s="204" t="s">
        <v>235</v>
      </c>
      <c r="F179" s="205">
        <v>1.5225577621981099</v>
      </c>
    </row>
    <row r="180" spans="1:6">
      <c r="A180" s="210">
        <v>31200000</v>
      </c>
      <c r="B180" s="202" t="s">
        <v>2525</v>
      </c>
      <c r="C180" s="203" t="s">
        <v>2143</v>
      </c>
      <c r="D180" s="204">
        <v>1</v>
      </c>
      <c r="E180" s="204" t="s">
        <v>235</v>
      </c>
      <c r="F180" s="205">
        <v>3.0828326846544876</v>
      </c>
    </row>
    <row r="181" spans="1:6">
      <c r="A181" s="210">
        <v>31211000</v>
      </c>
      <c r="B181" s="202" t="s">
        <v>307</v>
      </c>
      <c r="C181" s="203" t="s">
        <v>2143</v>
      </c>
      <c r="D181" s="204">
        <v>1</v>
      </c>
      <c r="E181" s="204" t="s">
        <v>235</v>
      </c>
      <c r="F181" s="205">
        <v>2.8808360472796983</v>
      </c>
    </row>
    <row r="182" spans="1:6">
      <c r="A182" s="210">
        <v>31212000</v>
      </c>
      <c r="B182" s="202" t="s">
        <v>308</v>
      </c>
      <c r="C182" s="203" t="s">
        <v>2143</v>
      </c>
      <c r="D182" s="204">
        <v>1</v>
      </c>
      <c r="E182" s="204" t="s">
        <v>235</v>
      </c>
      <c r="F182" s="205">
        <v>3.0418081142927114</v>
      </c>
    </row>
    <row r="183" spans="1:6">
      <c r="A183" s="210">
        <v>31213000</v>
      </c>
      <c r="B183" s="202" t="s">
        <v>309</v>
      </c>
      <c r="C183" s="203" t="s">
        <v>2143</v>
      </c>
      <c r="D183" s="204">
        <v>1</v>
      </c>
      <c r="E183" s="204" t="s">
        <v>235</v>
      </c>
      <c r="F183" s="205">
        <v>3.3430753958654988</v>
      </c>
    </row>
    <row r="184" spans="1:6">
      <c r="A184" s="210">
        <v>31219000</v>
      </c>
      <c r="B184" s="202" t="s">
        <v>310</v>
      </c>
      <c r="C184" s="203" t="s">
        <v>2143</v>
      </c>
      <c r="D184" s="204">
        <v>1</v>
      </c>
      <c r="E184" s="204" t="s">
        <v>235</v>
      </c>
      <c r="F184" s="205">
        <v>2.7657935122971899</v>
      </c>
    </row>
    <row r="185" spans="1:6">
      <c r="A185" s="210">
        <v>31300000</v>
      </c>
      <c r="B185" s="202" t="s">
        <v>2531</v>
      </c>
      <c r="C185" s="203" t="s">
        <v>2143</v>
      </c>
      <c r="D185" s="204">
        <v>1</v>
      </c>
      <c r="E185" s="204" t="s">
        <v>235</v>
      </c>
      <c r="F185" s="205">
        <v>2.6706423463209563</v>
      </c>
    </row>
    <row r="186" spans="1:6">
      <c r="A186" s="210">
        <v>31311000</v>
      </c>
      <c r="B186" s="202" t="s">
        <v>311</v>
      </c>
      <c r="C186" s="203" t="s">
        <v>2143</v>
      </c>
      <c r="D186" s="204">
        <v>1</v>
      </c>
      <c r="E186" s="204" t="s">
        <v>235</v>
      </c>
      <c r="F186" s="205">
        <v>2.7744082156736689</v>
      </c>
    </row>
    <row r="187" spans="1:6">
      <c r="A187" s="210">
        <v>31312000</v>
      </c>
      <c r="B187" s="202" t="s">
        <v>312</v>
      </c>
      <c r="C187" s="203" t="s">
        <v>2143</v>
      </c>
      <c r="D187" s="204">
        <v>1</v>
      </c>
      <c r="E187" s="204" t="s">
        <v>235</v>
      </c>
      <c r="F187" s="205">
        <v>1.3660920558981264</v>
      </c>
    </row>
    <row r="188" spans="1:6">
      <c r="A188" s="210">
        <v>31400000</v>
      </c>
      <c r="B188" s="202" t="s">
        <v>2535</v>
      </c>
      <c r="C188" s="203" t="s">
        <v>2143</v>
      </c>
      <c r="D188" s="204">
        <v>1</v>
      </c>
      <c r="E188" s="204" t="s">
        <v>235</v>
      </c>
      <c r="F188" s="205">
        <v>1.570644738496723</v>
      </c>
    </row>
    <row r="189" spans="1:6">
      <c r="A189" s="210">
        <v>31411000</v>
      </c>
      <c r="B189" s="202" t="s">
        <v>313</v>
      </c>
      <c r="C189" s="203" t="s">
        <v>2143</v>
      </c>
      <c r="D189" s="204">
        <v>1</v>
      </c>
      <c r="E189" s="204" t="s">
        <v>235</v>
      </c>
      <c r="F189" s="205">
        <v>2.4279529195360796</v>
      </c>
    </row>
    <row r="190" spans="1:6">
      <c r="A190" s="210">
        <v>31412000</v>
      </c>
      <c r="B190" s="202" t="s">
        <v>2538</v>
      </c>
      <c r="C190" s="203" t="s">
        <v>2143</v>
      </c>
      <c r="D190" s="204">
        <v>1</v>
      </c>
      <c r="E190" s="204" t="s">
        <v>235</v>
      </c>
      <c r="F190" s="205">
        <v>1.3719161084322811</v>
      </c>
    </row>
    <row r="191" spans="1:6">
      <c r="A191" s="210">
        <v>31413000</v>
      </c>
      <c r="B191" s="202" t="s">
        <v>314</v>
      </c>
      <c r="C191" s="203" t="s">
        <v>2143</v>
      </c>
      <c r="D191" s="204">
        <v>1</v>
      </c>
      <c r="E191" s="204" t="s">
        <v>235</v>
      </c>
      <c r="F191" s="205">
        <v>1.408214364200161</v>
      </c>
    </row>
    <row r="192" spans="1:6">
      <c r="A192" s="210">
        <v>31414000</v>
      </c>
      <c r="B192" s="202" t="s">
        <v>315</v>
      </c>
      <c r="C192" s="203" t="s">
        <v>2143</v>
      </c>
      <c r="D192" s="204">
        <v>1</v>
      </c>
      <c r="E192" s="204" t="s">
        <v>235</v>
      </c>
      <c r="F192" s="205">
        <v>1.4084572480626452</v>
      </c>
    </row>
    <row r="193" spans="1:6">
      <c r="A193" s="210">
        <v>31415000</v>
      </c>
      <c r="B193" s="202" t="s">
        <v>316</v>
      </c>
      <c r="C193" s="203" t="s">
        <v>2143</v>
      </c>
      <c r="D193" s="204">
        <v>1</v>
      </c>
      <c r="E193" s="204" t="s">
        <v>235</v>
      </c>
      <c r="F193" s="205">
        <v>1.4104641976961474</v>
      </c>
    </row>
    <row r="194" spans="1:6">
      <c r="A194" s="210">
        <v>31416000</v>
      </c>
      <c r="B194" s="202" t="s">
        <v>317</v>
      </c>
      <c r="C194" s="203" t="s">
        <v>2143</v>
      </c>
      <c r="D194" s="204">
        <v>1</v>
      </c>
      <c r="E194" s="204" t="s">
        <v>235</v>
      </c>
      <c r="F194" s="205">
        <v>2.7825697495376351</v>
      </c>
    </row>
    <row r="195" spans="1:6">
      <c r="A195" s="210">
        <v>31417000</v>
      </c>
      <c r="B195" s="202" t="s">
        <v>318</v>
      </c>
      <c r="C195" s="203" t="s">
        <v>2143</v>
      </c>
      <c r="D195" s="204">
        <v>1</v>
      </c>
      <c r="E195" s="204" t="s">
        <v>235</v>
      </c>
      <c r="F195" s="205">
        <v>1.4099469496504953</v>
      </c>
    </row>
    <row r="196" spans="1:6">
      <c r="A196" s="210">
        <v>31419000</v>
      </c>
      <c r="B196" s="202" t="s">
        <v>2545</v>
      </c>
      <c r="C196" s="203" t="s">
        <v>2143</v>
      </c>
      <c r="D196" s="204">
        <v>1</v>
      </c>
      <c r="E196" s="204" t="s">
        <v>235</v>
      </c>
      <c r="F196" s="205">
        <v>6.6052994448997167</v>
      </c>
    </row>
    <row r="197" spans="1:6">
      <c r="A197" s="210">
        <v>31500000</v>
      </c>
      <c r="B197" s="202" t="s">
        <v>2547</v>
      </c>
      <c r="C197" s="203" t="s">
        <v>2143</v>
      </c>
      <c r="D197" s="204">
        <v>1</v>
      </c>
      <c r="E197" s="204" t="s">
        <v>235</v>
      </c>
      <c r="F197" s="205">
        <v>1.6145241362158451</v>
      </c>
    </row>
    <row r="198" spans="1:6">
      <c r="A198" s="210">
        <v>31511000</v>
      </c>
      <c r="B198" s="202" t="s">
        <v>319</v>
      </c>
      <c r="C198" s="203" t="s">
        <v>2143</v>
      </c>
      <c r="D198" s="204">
        <v>1</v>
      </c>
      <c r="E198" s="204" t="s">
        <v>235</v>
      </c>
      <c r="F198" s="205">
        <v>1.6865901043259881</v>
      </c>
    </row>
    <row r="199" spans="1:6">
      <c r="A199" s="210">
        <v>31512000</v>
      </c>
      <c r="B199" s="202" t="s">
        <v>320</v>
      </c>
      <c r="C199" s="203" t="s">
        <v>2143</v>
      </c>
      <c r="D199" s="204">
        <v>1</v>
      </c>
      <c r="E199" s="204" t="s">
        <v>235</v>
      </c>
      <c r="F199" s="205">
        <v>1.6418349097194134</v>
      </c>
    </row>
    <row r="200" spans="1:6">
      <c r="A200" s="210">
        <v>31513000</v>
      </c>
      <c r="B200" s="202" t="s">
        <v>321</v>
      </c>
      <c r="C200" s="203" t="s">
        <v>2143</v>
      </c>
      <c r="D200" s="204">
        <v>1</v>
      </c>
      <c r="E200" s="204" t="s">
        <v>235</v>
      </c>
      <c r="F200" s="205">
        <v>1.6362821394738127</v>
      </c>
    </row>
    <row r="201" spans="1:6">
      <c r="A201" s="210">
        <v>31514000</v>
      </c>
      <c r="B201" s="202" t="s">
        <v>322</v>
      </c>
      <c r="C201" s="203" t="s">
        <v>2143</v>
      </c>
      <c r="D201" s="204">
        <v>1</v>
      </c>
      <c r="E201" s="204" t="s">
        <v>235</v>
      </c>
      <c r="F201" s="205">
        <v>1.4190999844764889</v>
      </c>
    </row>
    <row r="202" spans="1:6">
      <c r="A202" s="210">
        <v>31600000</v>
      </c>
      <c r="B202" s="202" t="s">
        <v>2553</v>
      </c>
      <c r="C202" s="203" t="s">
        <v>2143</v>
      </c>
      <c r="D202" s="204">
        <v>1</v>
      </c>
      <c r="E202" s="204" t="s">
        <v>235</v>
      </c>
      <c r="F202" s="205">
        <v>1.7798250456646161</v>
      </c>
    </row>
    <row r="203" spans="1:6">
      <c r="A203" s="210">
        <v>31611000</v>
      </c>
      <c r="B203" s="202" t="s">
        <v>323</v>
      </c>
      <c r="C203" s="203" t="s">
        <v>2143</v>
      </c>
      <c r="D203" s="204">
        <v>1</v>
      </c>
      <c r="E203" s="204" t="s">
        <v>235</v>
      </c>
      <c r="F203" s="205">
        <v>1.7053146373042465</v>
      </c>
    </row>
    <row r="204" spans="1:6">
      <c r="A204" s="210">
        <v>31612000</v>
      </c>
      <c r="B204" s="202" t="s">
        <v>324</v>
      </c>
      <c r="C204" s="203" t="s">
        <v>2143</v>
      </c>
      <c r="D204" s="204">
        <v>1</v>
      </c>
      <c r="E204" s="204" t="s">
        <v>235</v>
      </c>
      <c r="F204" s="205">
        <v>7.2145979484370768</v>
      </c>
    </row>
    <row r="205" spans="1:6">
      <c r="A205" s="210">
        <v>31613000</v>
      </c>
      <c r="B205" s="202" t="s">
        <v>325</v>
      </c>
      <c r="C205" s="203" t="s">
        <v>2143</v>
      </c>
      <c r="D205" s="204">
        <v>1</v>
      </c>
      <c r="E205" s="204" t="s">
        <v>235</v>
      </c>
      <c r="F205" s="205">
        <v>1.6521348812453962</v>
      </c>
    </row>
    <row r="206" spans="1:6">
      <c r="A206" s="210">
        <v>31700000</v>
      </c>
      <c r="B206" s="202" t="s">
        <v>2558</v>
      </c>
      <c r="C206" s="203" t="s">
        <v>2143</v>
      </c>
      <c r="D206" s="204">
        <v>1</v>
      </c>
      <c r="E206" s="204" t="s">
        <v>235</v>
      </c>
      <c r="F206" s="205">
        <v>1.8945717826979807</v>
      </c>
    </row>
    <row r="207" spans="1:6">
      <c r="A207" s="210">
        <v>31711000</v>
      </c>
      <c r="B207" s="202" t="s">
        <v>328</v>
      </c>
      <c r="C207" s="203" t="s">
        <v>2143</v>
      </c>
      <c r="D207" s="204">
        <v>1</v>
      </c>
      <c r="E207" s="204" t="s">
        <v>235</v>
      </c>
      <c r="F207" s="205">
        <v>1.9360436636898724</v>
      </c>
    </row>
    <row r="208" spans="1:6">
      <c r="A208" s="210">
        <v>31712000</v>
      </c>
      <c r="B208" s="202" t="s">
        <v>329</v>
      </c>
      <c r="C208" s="203" t="s">
        <v>2143</v>
      </c>
      <c r="D208" s="204">
        <v>1</v>
      </c>
      <c r="E208" s="204" t="s">
        <v>235</v>
      </c>
      <c r="F208" s="205">
        <v>1.8855558957584742</v>
      </c>
    </row>
    <row r="209" spans="1:6">
      <c r="A209" s="210">
        <v>31800000</v>
      </c>
      <c r="B209" s="202" t="s">
        <v>2562</v>
      </c>
      <c r="C209" s="203" t="s">
        <v>2143</v>
      </c>
      <c r="D209" s="204">
        <v>1</v>
      </c>
      <c r="E209" s="204" t="s">
        <v>235</v>
      </c>
      <c r="F209" s="205">
        <v>3.5848799691668329</v>
      </c>
    </row>
    <row r="210" spans="1:6">
      <c r="A210" s="210">
        <v>31811000</v>
      </c>
      <c r="B210" s="202" t="s">
        <v>332</v>
      </c>
      <c r="C210" s="203" t="s">
        <v>2143</v>
      </c>
      <c r="D210" s="204">
        <v>1</v>
      </c>
      <c r="E210" s="204" t="s">
        <v>235</v>
      </c>
      <c r="F210" s="205">
        <v>3.7643351126151394</v>
      </c>
    </row>
    <row r="211" spans="1:6">
      <c r="A211" s="210">
        <v>31812000</v>
      </c>
      <c r="B211" s="202" t="s">
        <v>2565</v>
      </c>
      <c r="C211" s="203" t="s">
        <v>2143</v>
      </c>
      <c r="D211" s="204">
        <v>1</v>
      </c>
      <c r="E211" s="204" t="s">
        <v>235</v>
      </c>
      <c r="F211" s="205">
        <v>1.8143652177521175</v>
      </c>
    </row>
    <row r="212" spans="1:6">
      <c r="A212" s="210">
        <v>31813000</v>
      </c>
      <c r="B212" s="202" t="s">
        <v>2567</v>
      </c>
      <c r="C212" s="203" t="s">
        <v>2143</v>
      </c>
      <c r="D212" s="204">
        <v>1</v>
      </c>
      <c r="E212" s="204" t="s">
        <v>235</v>
      </c>
      <c r="F212" s="205">
        <v>1.447809020542804</v>
      </c>
    </row>
    <row r="213" spans="1:6">
      <c r="A213" s="210">
        <v>31900000</v>
      </c>
      <c r="B213" s="202" t="s">
        <v>2569</v>
      </c>
      <c r="C213" s="203" t="s">
        <v>2143</v>
      </c>
      <c r="D213" s="204">
        <v>1</v>
      </c>
      <c r="E213" s="204" t="s">
        <v>235</v>
      </c>
      <c r="F213" s="205">
        <v>2.1945520665978715</v>
      </c>
    </row>
    <row r="214" spans="1:6">
      <c r="A214" s="210">
        <v>31911000</v>
      </c>
      <c r="B214" s="202" t="s">
        <v>326</v>
      </c>
      <c r="C214" s="203" t="s">
        <v>2143</v>
      </c>
      <c r="D214" s="204">
        <v>1</v>
      </c>
      <c r="E214" s="204" t="s">
        <v>235</v>
      </c>
      <c r="F214" s="205">
        <v>1.66977371613021</v>
      </c>
    </row>
    <row r="215" spans="1:6">
      <c r="A215" s="210">
        <v>31912000</v>
      </c>
      <c r="B215" s="202" t="s">
        <v>333</v>
      </c>
      <c r="C215" s="203" t="s">
        <v>2143</v>
      </c>
      <c r="D215" s="204">
        <v>1</v>
      </c>
      <c r="E215" s="204" t="s">
        <v>235</v>
      </c>
      <c r="F215" s="205">
        <v>3.8891020866619588</v>
      </c>
    </row>
    <row r="216" spans="1:6">
      <c r="A216" s="210">
        <v>31913000</v>
      </c>
      <c r="B216" s="202" t="s">
        <v>327</v>
      </c>
      <c r="C216" s="203" t="s">
        <v>2143</v>
      </c>
      <c r="D216" s="204">
        <v>1</v>
      </c>
      <c r="E216" s="204" t="s">
        <v>235</v>
      </c>
      <c r="F216" s="205">
        <v>1.6594009488201917</v>
      </c>
    </row>
    <row r="217" spans="1:6">
      <c r="A217" s="210">
        <v>31914000</v>
      </c>
      <c r="B217" s="202" t="s">
        <v>339</v>
      </c>
      <c r="C217" s="203" t="s">
        <v>2143</v>
      </c>
      <c r="D217" s="204">
        <v>1</v>
      </c>
      <c r="E217" s="204" t="s">
        <v>235</v>
      </c>
      <c r="F217" s="205">
        <v>1.6403895577743881</v>
      </c>
    </row>
    <row r="218" spans="1:6">
      <c r="A218" s="210">
        <v>31915000</v>
      </c>
      <c r="B218" s="202" t="s">
        <v>340</v>
      </c>
      <c r="C218" s="203" t="s">
        <v>2143</v>
      </c>
      <c r="D218" s="204">
        <v>1</v>
      </c>
      <c r="E218" s="204" t="s">
        <v>235</v>
      </c>
      <c r="F218" s="205">
        <v>1.5258910274568092</v>
      </c>
    </row>
    <row r="219" spans="1:6">
      <c r="A219" s="210">
        <v>31916000</v>
      </c>
      <c r="B219" s="202" t="s">
        <v>331</v>
      </c>
      <c r="C219" s="203" t="s">
        <v>2143</v>
      </c>
      <c r="D219" s="204">
        <v>1</v>
      </c>
      <c r="E219" s="204" t="s">
        <v>235</v>
      </c>
      <c r="F219" s="205">
        <v>1.7790237585793172</v>
      </c>
    </row>
    <row r="220" spans="1:6">
      <c r="A220" s="210">
        <v>31917000</v>
      </c>
      <c r="B220" s="202" t="s">
        <v>330</v>
      </c>
      <c r="C220" s="203" t="s">
        <v>2143</v>
      </c>
      <c r="D220" s="204">
        <v>1</v>
      </c>
      <c r="E220" s="204" t="s">
        <v>235</v>
      </c>
      <c r="F220" s="205">
        <v>5.2506879013204681</v>
      </c>
    </row>
    <row r="221" spans="1:6">
      <c r="A221" s="210">
        <v>31918000</v>
      </c>
      <c r="B221" s="202" t="s">
        <v>342</v>
      </c>
      <c r="C221" s="203" t="s">
        <v>2143</v>
      </c>
      <c r="D221" s="204">
        <v>1</v>
      </c>
      <c r="E221" s="204" t="s">
        <v>235</v>
      </c>
      <c r="F221" s="205">
        <v>2.8133798962460399</v>
      </c>
    </row>
    <row r="222" spans="1:6">
      <c r="A222" s="210">
        <v>31921000</v>
      </c>
      <c r="B222" s="202" t="s">
        <v>345</v>
      </c>
      <c r="C222" s="203" t="s">
        <v>2143</v>
      </c>
      <c r="D222" s="204">
        <v>1</v>
      </c>
      <c r="E222" s="204" t="s">
        <v>235</v>
      </c>
      <c r="F222" s="205">
        <v>1.5111640997138041</v>
      </c>
    </row>
    <row r="223" spans="1:6">
      <c r="A223" s="210">
        <v>31922000</v>
      </c>
      <c r="B223" s="202" t="s">
        <v>341</v>
      </c>
      <c r="C223" s="203" t="s">
        <v>2143</v>
      </c>
      <c r="D223" s="204">
        <v>1</v>
      </c>
      <c r="E223" s="204" t="s">
        <v>235</v>
      </c>
      <c r="F223" s="205">
        <v>1.467496987624699</v>
      </c>
    </row>
    <row r="224" spans="1:6">
      <c r="A224" s="210">
        <v>31923000</v>
      </c>
      <c r="B224" s="202" t="s">
        <v>346</v>
      </c>
      <c r="C224" s="203" t="s">
        <v>2143</v>
      </c>
      <c r="D224" s="204">
        <v>1</v>
      </c>
      <c r="E224" s="204" t="s">
        <v>235</v>
      </c>
      <c r="F224" s="205">
        <v>1.3775362583303206</v>
      </c>
    </row>
    <row r="225" spans="1:6">
      <c r="A225" s="210">
        <v>31924000</v>
      </c>
      <c r="B225" s="202" t="s">
        <v>343</v>
      </c>
      <c r="C225" s="203" t="s">
        <v>2143</v>
      </c>
      <c r="D225" s="204">
        <v>1</v>
      </c>
      <c r="E225" s="204" t="s">
        <v>235</v>
      </c>
      <c r="F225" s="205">
        <v>5.2031732948650937</v>
      </c>
    </row>
    <row r="226" spans="1:6">
      <c r="A226" s="210">
        <v>31925000</v>
      </c>
      <c r="B226" s="202" t="s">
        <v>348</v>
      </c>
      <c r="C226" s="203" t="s">
        <v>2143</v>
      </c>
      <c r="D226" s="204">
        <v>1</v>
      </c>
      <c r="E226" s="204" t="s">
        <v>235</v>
      </c>
      <c r="F226" s="205">
        <v>1.4723965214388925</v>
      </c>
    </row>
    <row r="227" spans="1:6">
      <c r="A227" s="210">
        <v>31926000</v>
      </c>
      <c r="B227" s="202" t="s">
        <v>347</v>
      </c>
      <c r="C227" s="203" t="s">
        <v>2143</v>
      </c>
      <c r="D227" s="204">
        <v>1</v>
      </c>
      <c r="E227" s="204" t="s">
        <v>235</v>
      </c>
      <c r="F227" s="205">
        <v>1.4698810914041405</v>
      </c>
    </row>
    <row r="228" spans="1:6">
      <c r="A228" s="210">
        <v>31927000</v>
      </c>
      <c r="B228" s="202" t="s">
        <v>351</v>
      </c>
      <c r="C228" s="203" t="s">
        <v>2143</v>
      </c>
      <c r="D228" s="204">
        <v>1</v>
      </c>
      <c r="E228" s="204" t="s">
        <v>235</v>
      </c>
      <c r="F228" s="205">
        <v>1.5872327112471756</v>
      </c>
    </row>
    <row r="229" spans="1:6">
      <c r="A229" s="210">
        <v>31928000</v>
      </c>
      <c r="B229" s="202" t="s">
        <v>350</v>
      </c>
      <c r="C229" s="203" t="s">
        <v>2143</v>
      </c>
      <c r="D229" s="204">
        <v>1</v>
      </c>
      <c r="E229" s="204" t="s">
        <v>235</v>
      </c>
      <c r="F229" s="205">
        <v>1.5935672290876852</v>
      </c>
    </row>
    <row r="230" spans="1:6">
      <c r="A230" s="210">
        <v>31931000</v>
      </c>
      <c r="B230" s="202" t="s">
        <v>344</v>
      </c>
      <c r="C230" s="203" t="s">
        <v>2143</v>
      </c>
      <c r="D230" s="204">
        <v>1</v>
      </c>
      <c r="E230" s="204" t="s">
        <v>235</v>
      </c>
      <c r="F230" s="205">
        <v>1.5757870628783297</v>
      </c>
    </row>
    <row r="231" spans="1:6">
      <c r="A231" s="210">
        <v>31932000</v>
      </c>
      <c r="B231" s="202" t="s">
        <v>353</v>
      </c>
      <c r="C231" s="203" t="s">
        <v>2143</v>
      </c>
      <c r="D231" s="204">
        <v>1</v>
      </c>
      <c r="E231" s="204" t="s">
        <v>235</v>
      </c>
      <c r="F231" s="205">
        <v>2.0222602797883642</v>
      </c>
    </row>
    <row r="232" spans="1:6">
      <c r="A232" s="210">
        <v>31933000</v>
      </c>
      <c r="B232" s="202" t="s">
        <v>349</v>
      </c>
      <c r="C232" s="203" t="s">
        <v>2143</v>
      </c>
      <c r="D232" s="204">
        <v>1</v>
      </c>
      <c r="E232" s="204" t="s">
        <v>235</v>
      </c>
      <c r="F232" s="205">
        <v>1.632840163769701</v>
      </c>
    </row>
    <row r="233" spans="1:6">
      <c r="A233" s="210">
        <v>31934000</v>
      </c>
      <c r="B233" s="202" t="s">
        <v>354</v>
      </c>
      <c r="C233" s="203" t="s">
        <v>2143</v>
      </c>
      <c r="D233" s="204">
        <v>1</v>
      </c>
      <c r="E233" s="204" t="s">
        <v>235</v>
      </c>
      <c r="F233" s="205">
        <v>1.9467468547510816</v>
      </c>
    </row>
    <row r="234" spans="1:6">
      <c r="A234" s="210">
        <v>31935000</v>
      </c>
      <c r="B234" s="202" t="s">
        <v>359</v>
      </c>
      <c r="C234" s="203" t="s">
        <v>2143</v>
      </c>
      <c r="D234" s="204">
        <v>1</v>
      </c>
      <c r="E234" s="204" t="s">
        <v>235</v>
      </c>
      <c r="F234" s="205">
        <v>2.0523832621278628</v>
      </c>
    </row>
    <row r="235" spans="1:6">
      <c r="A235" s="210">
        <v>31936000</v>
      </c>
      <c r="B235" s="202" t="s">
        <v>2592</v>
      </c>
      <c r="C235" s="203" t="s">
        <v>2143</v>
      </c>
      <c r="D235" s="204">
        <v>1</v>
      </c>
      <c r="E235" s="204" t="s">
        <v>235</v>
      </c>
      <c r="F235" s="205">
        <v>1.5214584356585918</v>
      </c>
    </row>
    <row r="236" spans="1:6">
      <c r="A236" s="210">
        <v>31937000</v>
      </c>
      <c r="B236" s="202" t="s">
        <v>352</v>
      </c>
      <c r="C236" s="203" t="s">
        <v>2143</v>
      </c>
      <c r="D236" s="204">
        <v>1</v>
      </c>
      <c r="E236" s="204" t="s">
        <v>235</v>
      </c>
      <c r="F236" s="205">
        <v>1.6537741034433253</v>
      </c>
    </row>
    <row r="237" spans="1:6">
      <c r="A237" s="210">
        <v>31938000</v>
      </c>
      <c r="B237" s="202" t="s">
        <v>355</v>
      </c>
      <c r="C237" s="203" t="s">
        <v>2143</v>
      </c>
      <c r="D237" s="204">
        <v>1</v>
      </c>
      <c r="E237" s="204" t="s">
        <v>235</v>
      </c>
      <c r="F237" s="205">
        <v>1.3523588457547198</v>
      </c>
    </row>
    <row r="238" spans="1:6">
      <c r="A238" s="210">
        <v>31941000</v>
      </c>
      <c r="B238" s="202" t="s">
        <v>356</v>
      </c>
      <c r="C238" s="203" t="s">
        <v>2143</v>
      </c>
      <c r="D238" s="204">
        <v>1</v>
      </c>
      <c r="E238" s="204" t="s">
        <v>235</v>
      </c>
      <c r="F238" s="205">
        <v>1.3710483562247173</v>
      </c>
    </row>
    <row r="239" spans="1:6">
      <c r="A239" s="210">
        <v>31942000</v>
      </c>
      <c r="B239" s="202" t="s">
        <v>358</v>
      </c>
      <c r="C239" s="203" t="s">
        <v>2143</v>
      </c>
      <c r="D239" s="204">
        <v>1</v>
      </c>
      <c r="E239" s="204" t="s">
        <v>235</v>
      </c>
      <c r="F239" s="205">
        <v>1.5848130930553501</v>
      </c>
    </row>
    <row r="240" spans="1:6">
      <c r="A240" s="210">
        <v>31943000</v>
      </c>
      <c r="B240" s="202" t="s">
        <v>357</v>
      </c>
      <c r="C240" s="203" t="s">
        <v>2143</v>
      </c>
      <c r="D240" s="204">
        <v>1</v>
      </c>
      <c r="E240" s="204" t="s">
        <v>235</v>
      </c>
      <c r="F240" s="205">
        <v>1.7142232259866907</v>
      </c>
    </row>
    <row r="241" spans="1:6">
      <c r="A241" s="210">
        <v>31944000</v>
      </c>
      <c r="B241" s="202" t="s">
        <v>360</v>
      </c>
      <c r="C241" s="203" t="s">
        <v>2143</v>
      </c>
      <c r="D241" s="204">
        <v>1</v>
      </c>
      <c r="E241" s="204" t="s">
        <v>235</v>
      </c>
      <c r="F241" s="205">
        <v>1.7159140380758813</v>
      </c>
    </row>
    <row r="242" spans="1:6">
      <c r="A242" s="210">
        <v>31945000</v>
      </c>
      <c r="B242" s="202" t="s">
        <v>361</v>
      </c>
      <c r="C242" s="203" t="s">
        <v>2143</v>
      </c>
      <c r="D242" s="204">
        <v>1</v>
      </c>
      <c r="E242" s="204" t="s">
        <v>235</v>
      </c>
      <c r="F242" s="205">
        <v>2.4225906626972269</v>
      </c>
    </row>
    <row r="243" spans="1:6">
      <c r="A243" s="210">
        <v>31946000</v>
      </c>
      <c r="B243" s="202" t="s">
        <v>338</v>
      </c>
      <c r="C243" s="203" t="s">
        <v>2143</v>
      </c>
      <c r="D243" s="204">
        <v>1</v>
      </c>
      <c r="E243" s="204" t="s">
        <v>235</v>
      </c>
      <c r="F243" s="205">
        <v>6.5004364394387135</v>
      </c>
    </row>
    <row r="244" spans="1:6">
      <c r="A244" s="210">
        <v>31947000</v>
      </c>
      <c r="B244" s="202" t="s">
        <v>335</v>
      </c>
      <c r="C244" s="203" t="s">
        <v>2143</v>
      </c>
      <c r="D244" s="204">
        <v>1</v>
      </c>
      <c r="E244" s="204" t="s">
        <v>235</v>
      </c>
      <c r="F244" s="205">
        <v>3.6148179355816774</v>
      </c>
    </row>
    <row r="245" spans="1:6">
      <c r="A245" s="210">
        <v>31948000</v>
      </c>
      <c r="B245" s="202" t="s">
        <v>336</v>
      </c>
      <c r="C245" s="203" t="s">
        <v>2143</v>
      </c>
      <c r="D245" s="204">
        <v>1</v>
      </c>
      <c r="E245" s="204" t="s">
        <v>235</v>
      </c>
      <c r="F245" s="205">
        <v>1.9631819153348555</v>
      </c>
    </row>
    <row r="246" spans="1:6">
      <c r="A246" s="210">
        <v>31951000</v>
      </c>
      <c r="B246" s="202" t="s">
        <v>337</v>
      </c>
      <c r="C246" s="203" t="s">
        <v>2143</v>
      </c>
      <c r="D246" s="204">
        <v>1</v>
      </c>
      <c r="E246" s="204" t="s">
        <v>235</v>
      </c>
      <c r="F246" s="205">
        <v>1.6757476015070309</v>
      </c>
    </row>
    <row r="247" spans="1:6">
      <c r="A247" s="210">
        <v>31952000</v>
      </c>
      <c r="B247" s="202" t="s">
        <v>334</v>
      </c>
      <c r="C247" s="203" t="s">
        <v>2143</v>
      </c>
      <c r="D247" s="204">
        <v>1</v>
      </c>
      <c r="E247" s="204" t="s">
        <v>235</v>
      </c>
      <c r="F247" s="205">
        <v>1.3702345811120127</v>
      </c>
    </row>
    <row r="248" spans="1:6">
      <c r="A248" s="210">
        <v>31959000</v>
      </c>
      <c r="B248" s="202" t="s">
        <v>362</v>
      </c>
      <c r="C248" s="203" t="s">
        <v>2143</v>
      </c>
      <c r="D248" s="204">
        <v>1</v>
      </c>
      <c r="E248" s="204" t="s">
        <v>235</v>
      </c>
      <c r="F248" s="205">
        <v>2.0103888427273926</v>
      </c>
    </row>
    <row r="249" spans="1:6">
      <c r="A249" s="210">
        <v>32100000</v>
      </c>
      <c r="B249" s="202" t="s">
        <v>2607</v>
      </c>
      <c r="C249" s="203" t="s">
        <v>2143</v>
      </c>
      <c r="D249" s="204">
        <v>1</v>
      </c>
      <c r="E249" s="204" t="s">
        <v>235</v>
      </c>
      <c r="F249" s="205">
        <v>1.2228128794651016</v>
      </c>
    </row>
    <row r="250" spans="1:6">
      <c r="A250" s="210">
        <v>32111000</v>
      </c>
      <c r="B250" s="202" t="s">
        <v>363</v>
      </c>
      <c r="C250" s="203" t="s">
        <v>2143</v>
      </c>
      <c r="D250" s="204">
        <v>1</v>
      </c>
      <c r="E250" s="204" t="s">
        <v>235</v>
      </c>
      <c r="F250" s="205">
        <v>1.3059258057853527</v>
      </c>
    </row>
    <row r="251" spans="1:6">
      <c r="A251" s="210">
        <v>32112000</v>
      </c>
      <c r="B251" s="202" t="s">
        <v>2610</v>
      </c>
      <c r="C251" s="203" t="s">
        <v>2143</v>
      </c>
      <c r="D251" s="204">
        <v>1</v>
      </c>
      <c r="E251" s="204" t="s">
        <v>235</v>
      </c>
      <c r="F251" s="205">
        <v>0.88531130519467593</v>
      </c>
    </row>
    <row r="252" spans="1:6">
      <c r="A252" s="210">
        <v>32113000</v>
      </c>
      <c r="B252" s="202" t="s">
        <v>364</v>
      </c>
      <c r="C252" s="203" t="s">
        <v>2143</v>
      </c>
      <c r="D252" s="204">
        <v>1</v>
      </c>
      <c r="E252" s="204" t="s">
        <v>235</v>
      </c>
      <c r="F252" s="205">
        <v>1.359962034041827</v>
      </c>
    </row>
    <row r="253" spans="1:6">
      <c r="A253" s="210">
        <v>32114000</v>
      </c>
      <c r="B253" s="202" t="s">
        <v>365</v>
      </c>
      <c r="C253" s="203" t="s">
        <v>2143</v>
      </c>
      <c r="D253" s="204">
        <v>1</v>
      </c>
      <c r="E253" s="204" t="s">
        <v>235</v>
      </c>
      <c r="F253" s="205">
        <v>1.3278498921413937</v>
      </c>
    </row>
    <row r="254" spans="1:6">
      <c r="A254" s="210">
        <v>32115000</v>
      </c>
      <c r="B254" s="202" t="s">
        <v>366</v>
      </c>
      <c r="C254" s="203" t="s">
        <v>2143</v>
      </c>
      <c r="D254" s="204">
        <v>1</v>
      </c>
      <c r="E254" s="204" t="s">
        <v>235</v>
      </c>
      <c r="F254" s="205">
        <v>1.4282148952889802</v>
      </c>
    </row>
    <row r="255" spans="1:6">
      <c r="A255" s="210">
        <v>32116000</v>
      </c>
      <c r="B255" s="202" t="s">
        <v>370</v>
      </c>
      <c r="C255" s="203" t="s">
        <v>2143</v>
      </c>
      <c r="D255" s="204">
        <v>1</v>
      </c>
      <c r="E255" s="204" t="s">
        <v>235</v>
      </c>
      <c r="F255" s="205">
        <v>1.5742137860984309</v>
      </c>
    </row>
    <row r="256" spans="1:6">
      <c r="A256" s="210">
        <v>32117000</v>
      </c>
      <c r="B256" s="202" t="s">
        <v>369</v>
      </c>
      <c r="C256" s="203" t="s">
        <v>2143</v>
      </c>
      <c r="D256" s="204">
        <v>1</v>
      </c>
      <c r="E256" s="204" t="s">
        <v>235</v>
      </c>
      <c r="F256" s="205">
        <v>2.6334175662189288</v>
      </c>
    </row>
    <row r="257" spans="1:6">
      <c r="A257" s="210">
        <v>32118000</v>
      </c>
      <c r="B257" s="202" t="s">
        <v>367</v>
      </c>
      <c r="C257" s="203" t="s">
        <v>2143</v>
      </c>
      <c r="D257" s="204">
        <v>1</v>
      </c>
      <c r="E257" s="204" t="s">
        <v>235</v>
      </c>
      <c r="F257" s="205">
        <v>1.628403571791756</v>
      </c>
    </row>
    <row r="258" spans="1:6">
      <c r="A258" s="210">
        <v>32121000</v>
      </c>
      <c r="B258" s="202" t="s">
        <v>368</v>
      </c>
      <c r="C258" s="203" t="s">
        <v>2143</v>
      </c>
      <c r="D258" s="204">
        <v>1</v>
      </c>
      <c r="E258" s="204" t="s">
        <v>235</v>
      </c>
      <c r="F258" s="205">
        <v>1.5639876721669839</v>
      </c>
    </row>
    <row r="259" spans="1:6">
      <c r="A259" s="210">
        <v>32129000</v>
      </c>
      <c r="B259" s="202" t="s">
        <v>371</v>
      </c>
      <c r="C259" s="203" t="s">
        <v>2143</v>
      </c>
      <c r="D259" s="204">
        <v>1</v>
      </c>
      <c r="E259" s="204" t="s">
        <v>235</v>
      </c>
      <c r="F259" s="205">
        <v>1.4628175835162152</v>
      </c>
    </row>
    <row r="260" spans="1:6">
      <c r="A260" s="210">
        <v>33100000</v>
      </c>
      <c r="B260" s="202" t="s">
        <v>2620</v>
      </c>
      <c r="C260" s="203" t="s">
        <v>2143</v>
      </c>
      <c r="D260" s="204">
        <v>1</v>
      </c>
      <c r="E260" s="204" t="s">
        <v>235</v>
      </c>
      <c r="F260" s="205">
        <v>1.0477674756397493</v>
      </c>
    </row>
    <row r="261" spans="1:6">
      <c r="A261" s="210">
        <v>33111000</v>
      </c>
      <c r="B261" s="202" t="s">
        <v>372</v>
      </c>
      <c r="C261" s="203" t="s">
        <v>2143</v>
      </c>
      <c r="D261" s="204">
        <v>1</v>
      </c>
      <c r="E261" s="204" t="s">
        <v>235</v>
      </c>
      <c r="F261" s="205">
        <v>1.0350108394712749</v>
      </c>
    </row>
    <row r="262" spans="1:6">
      <c r="A262" s="210">
        <v>33112000</v>
      </c>
      <c r="B262" s="202" t="s">
        <v>373</v>
      </c>
      <c r="C262" s="203" t="s">
        <v>2143</v>
      </c>
      <c r="D262" s="204">
        <v>1</v>
      </c>
      <c r="E262" s="204" t="s">
        <v>235</v>
      </c>
      <c r="F262" s="205">
        <v>1.167058286078662</v>
      </c>
    </row>
    <row r="263" spans="1:6">
      <c r="A263" s="210">
        <v>33113000</v>
      </c>
      <c r="B263" s="202" t="s">
        <v>374</v>
      </c>
      <c r="C263" s="203" t="s">
        <v>2143</v>
      </c>
      <c r="D263" s="204">
        <v>1</v>
      </c>
      <c r="E263" s="204" t="s">
        <v>235</v>
      </c>
      <c r="F263" s="205">
        <v>0.88518292360892503</v>
      </c>
    </row>
    <row r="264" spans="1:6">
      <c r="A264" s="210">
        <v>33114000</v>
      </c>
      <c r="B264" s="202" t="s">
        <v>375</v>
      </c>
      <c r="C264" s="203" t="s">
        <v>2143</v>
      </c>
      <c r="D264" s="204">
        <v>1</v>
      </c>
      <c r="E264" s="204" t="s">
        <v>235</v>
      </c>
      <c r="F264" s="205">
        <v>0.82061281636576577</v>
      </c>
    </row>
    <row r="265" spans="1:6">
      <c r="A265" s="210">
        <v>33115000</v>
      </c>
      <c r="B265" s="202" t="s">
        <v>376</v>
      </c>
      <c r="C265" s="203" t="s">
        <v>2143</v>
      </c>
      <c r="D265" s="204">
        <v>1</v>
      </c>
      <c r="E265" s="204" t="s">
        <v>235</v>
      </c>
      <c r="F265" s="205">
        <v>1.3420529952282967</v>
      </c>
    </row>
    <row r="266" spans="1:6">
      <c r="A266" s="210">
        <v>33116000</v>
      </c>
      <c r="B266" s="202" t="s">
        <v>377</v>
      </c>
      <c r="C266" s="203" t="s">
        <v>2143</v>
      </c>
      <c r="D266" s="204">
        <v>1</v>
      </c>
      <c r="E266" s="204" t="s">
        <v>235</v>
      </c>
      <c r="F266" s="205">
        <v>1.3436688930085037</v>
      </c>
    </row>
    <row r="267" spans="1:6">
      <c r="A267" s="210">
        <v>33119000</v>
      </c>
      <c r="B267" s="202" t="s">
        <v>378</v>
      </c>
      <c r="C267" s="203" t="s">
        <v>2143</v>
      </c>
      <c r="D267" s="204">
        <v>1</v>
      </c>
      <c r="E267" s="204" t="s">
        <v>235</v>
      </c>
      <c r="F267" s="205">
        <v>1.3035177265436686</v>
      </c>
    </row>
    <row r="268" spans="1:6">
      <c r="A268" s="210">
        <v>34100000</v>
      </c>
      <c r="B268" s="202" t="s">
        <v>2629</v>
      </c>
      <c r="C268" s="203" t="s">
        <v>2143</v>
      </c>
      <c r="D268" s="204">
        <v>1</v>
      </c>
      <c r="E268" s="204" t="s">
        <v>235</v>
      </c>
      <c r="F268" s="205">
        <v>2.0833933463135188</v>
      </c>
    </row>
    <row r="269" spans="1:6">
      <c r="A269" s="210">
        <v>34111000</v>
      </c>
      <c r="B269" s="202" t="s">
        <v>380</v>
      </c>
      <c r="C269" s="203" t="s">
        <v>2143</v>
      </c>
      <c r="D269" s="204">
        <v>1</v>
      </c>
      <c r="E269" s="204" t="s">
        <v>235</v>
      </c>
      <c r="F269" s="205">
        <v>5.280261702125153</v>
      </c>
    </row>
    <row r="270" spans="1:6">
      <c r="A270" s="210">
        <v>34112000</v>
      </c>
      <c r="B270" s="202" t="s">
        <v>379</v>
      </c>
      <c r="C270" s="203" t="s">
        <v>2143</v>
      </c>
      <c r="D270" s="204">
        <v>1</v>
      </c>
      <c r="E270" s="204" t="s">
        <v>235</v>
      </c>
      <c r="F270" s="205">
        <v>1.3860161628379803</v>
      </c>
    </row>
    <row r="271" spans="1:6">
      <c r="A271" s="210">
        <v>34119000</v>
      </c>
      <c r="B271" s="202" t="s">
        <v>381</v>
      </c>
      <c r="C271" s="203" t="s">
        <v>2143</v>
      </c>
      <c r="D271" s="204">
        <v>1</v>
      </c>
      <c r="E271" s="204" t="s">
        <v>235</v>
      </c>
      <c r="F271" s="205">
        <v>1.6808722561032896</v>
      </c>
    </row>
    <row r="272" spans="1:6">
      <c r="A272" s="210">
        <v>34200000</v>
      </c>
      <c r="B272" s="202" t="s">
        <v>2634</v>
      </c>
      <c r="C272" s="203" t="s">
        <v>2143</v>
      </c>
      <c r="D272" s="204">
        <v>1</v>
      </c>
      <c r="E272" s="204" t="s">
        <v>235</v>
      </c>
      <c r="F272" s="205">
        <v>1.5377696109840466</v>
      </c>
    </row>
    <row r="273" spans="1:6">
      <c r="A273" s="210">
        <v>34211000</v>
      </c>
      <c r="B273" s="202" t="s">
        <v>384</v>
      </c>
      <c r="C273" s="203" t="s">
        <v>2143</v>
      </c>
      <c r="D273" s="204">
        <v>1</v>
      </c>
      <c r="E273" s="204" t="s">
        <v>235</v>
      </c>
      <c r="F273" s="205">
        <v>1.524535921552955</v>
      </c>
    </row>
    <row r="274" spans="1:6">
      <c r="A274" s="210">
        <v>34212000</v>
      </c>
      <c r="B274" s="202" t="s">
        <v>383</v>
      </c>
      <c r="C274" s="203" t="s">
        <v>2143</v>
      </c>
      <c r="D274" s="204">
        <v>1</v>
      </c>
      <c r="E274" s="204" t="s">
        <v>235</v>
      </c>
      <c r="F274" s="205">
        <v>1.6555546213305283</v>
      </c>
    </row>
    <row r="275" spans="1:6">
      <c r="A275" s="210">
        <v>34213000</v>
      </c>
      <c r="B275" s="202" t="s">
        <v>385</v>
      </c>
      <c r="C275" s="203" t="s">
        <v>2143</v>
      </c>
      <c r="D275" s="204">
        <v>1</v>
      </c>
      <c r="E275" s="204" t="s">
        <v>235</v>
      </c>
      <c r="F275" s="205">
        <v>1.4968930270664893</v>
      </c>
    </row>
    <row r="276" spans="1:6">
      <c r="A276" s="210">
        <v>34214000</v>
      </c>
      <c r="B276" s="202" t="s">
        <v>382</v>
      </c>
      <c r="C276" s="203" t="s">
        <v>2143</v>
      </c>
      <c r="D276" s="204">
        <v>1</v>
      </c>
      <c r="E276" s="204" t="s">
        <v>235</v>
      </c>
      <c r="F276" s="205">
        <v>1.3705595667964692</v>
      </c>
    </row>
    <row r="277" spans="1:6">
      <c r="A277" s="210">
        <v>34219000</v>
      </c>
      <c r="B277" s="202" t="s">
        <v>386</v>
      </c>
      <c r="C277" s="203" t="s">
        <v>2143</v>
      </c>
      <c r="D277" s="204">
        <v>1</v>
      </c>
      <c r="E277" s="204" t="s">
        <v>235</v>
      </c>
      <c r="F277" s="205">
        <v>1.5149194557005947</v>
      </c>
    </row>
    <row r="278" spans="1:6">
      <c r="A278" s="210">
        <v>35100000</v>
      </c>
      <c r="B278" s="202" t="s">
        <v>2641</v>
      </c>
      <c r="C278" s="203" t="s">
        <v>2143</v>
      </c>
      <c r="D278" s="204">
        <v>1</v>
      </c>
      <c r="E278" s="204" t="s">
        <v>235</v>
      </c>
      <c r="F278" s="205">
        <v>2.2081592364274765</v>
      </c>
    </row>
    <row r="279" spans="1:6">
      <c r="A279" s="210">
        <v>35111000</v>
      </c>
      <c r="B279" s="202" t="s">
        <v>388</v>
      </c>
      <c r="C279" s="203" t="s">
        <v>2143</v>
      </c>
      <c r="D279" s="204">
        <v>1</v>
      </c>
      <c r="E279" s="204" t="s">
        <v>235</v>
      </c>
      <c r="F279" s="205">
        <v>1.570145633684132</v>
      </c>
    </row>
    <row r="280" spans="1:6">
      <c r="A280" s="210">
        <v>35112000</v>
      </c>
      <c r="B280" s="202" t="s">
        <v>389</v>
      </c>
      <c r="C280" s="203" t="s">
        <v>2143</v>
      </c>
      <c r="D280" s="204">
        <v>1</v>
      </c>
      <c r="E280" s="204" t="s">
        <v>235</v>
      </c>
      <c r="F280" s="205">
        <v>3.1374692424371555</v>
      </c>
    </row>
    <row r="281" spans="1:6">
      <c r="A281" s="210">
        <v>35113000</v>
      </c>
      <c r="B281" s="202" t="s">
        <v>387</v>
      </c>
      <c r="C281" s="203" t="s">
        <v>2143</v>
      </c>
      <c r="D281" s="204">
        <v>1</v>
      </c>
      <c r="E281" s="204" t="s">
        <v>235</v>
      </c>
      <c r="F281" s="205">
        <v>1.5252495477112136</v>
      </c>
    </row>
    <row r="282" spans="1:6">
      <c r="A282" s="210">
        <v>35119000</v>
      </c>
      <c r="B282" s="202" t="s">
        <v>390</v>
      </c>
      <c r="C282" s="203" t="s">
        <v>2143</v>
      </c>
      <c r="D282" s="204">
        <v>1</v>
      </c>
      <c r="E282" s="204" t="s">
        <v>235</v>
      </c>
      <c r="F282" s="205">
        <v>2.9168631166784631</v>
      </c>
    </row>
    <row r="283" spans="1:6">
      <c r="A283" s="210">
        <v>35200000</v>
      </c>
      <c r="B283" s="202" t="s">
        <v>2647</v>
      </c>
      <c r="C283" s="203" t="s">
        <v>2143</v>
      </c>
      <c r="D283" s="204">
        <v>1</v>
      </c>
      <c r="E283" s="204" t="s">
        <v>235</v>
      </c>
      <c r="F283" s="205">
        <v>1.6955008597060199</v>
      </c>
    </row>
    <row r="284" spans="1:6">
      <c r="A284" s="210">
        <v>35211000</v>
      </c>
      <c r="B284" s="202" t="s">
        <v>391</v>
      </c>
      <c r="C284" s="203" t="s">
        <v>2143</v>
      </c>
      <c r="D284" s="204">
        <v>1</v>
      </c>
      <c r="E284" s="204" t="s">
        <v>235</v>
      </c>
      <c r="F284" s="205">
        <v>1.6955008597060199</v>
      </c>
    </row>
    <row r="285" spans="1:6">
      <c r="A285" s="210">
        <v>39100000</v>
      </c>
      <c r="B285" s="202" t="s">
        <v>2650</v>
      </c>
      <c r="C285" s="203" t="s">
        <v>2143</v>
      </c>
      <c r="D285" s="204">
        <v>1</v>
      </c>
      <c r="E285" s="204" t="s">
        <v>235</v>
      </c>
      <c r="F285" s="205">
        <v>1.4191107545331354</v>
      </c>
    </row>
    <row r="286" spans="1:6">
      <c r="A286" s="210">
        <v>39111000</v>
      </c>
      <c r="B286" s="202" t="s">
        <v>394</v>
      </c>
      <c r="C286" s="203" t="s">
        <v>2143</v>
      </c>
      <c r="D286" s="204">
        <v>1</v>
      </c>
      <c r="E286" s="204" t="s">
        <v>235</v>
      </c>
      <c r="F286" s="205">
        <v>1.4191107545331354</v>
      </c>
    </row>
    <row r="287" spans="1:6">
      <c r="A287" s="210">
        <v>39200000</v>
      </c>
      <c r="B287" s="202" t="s">
        <v>2653</v>
      </c>
      <c r="C287" s="203" t="s">
        <v>2143</v>
      </c>
      <c r="D287" s="204">
        <v>1</v>
      </c>
      <c r="E287" s="204" t="s">
        <v>235</v>
      </c>
      <c r="F287" s="205">
        <v>0.74448021542611031</v>
      </c>
    </row>
    <row r="288" spans="1:6">
      <c r="A288" s="210">
        <v>39211000</v>
      </c>
      <c r="B288" s="202" t="s">
        <v>395</v>
      </c>
      <c r="C288" s="203" t="s">
        <v>2143</v>
      </c>
      <c r="D288" s="204">
        <v>1</v>
      </c>
      <c r="E288" s="204" t="s">
        <v>235</v>
      </c>
      <c r="F288" s="205">
        <v>0.74448021542611031</v>
      </c>
    </row>
    <row r="289" spans="1:6">
      <c r="A289" s="210">
        <v>39300000</v>
      </c>
      <c r="B289" s="202" t="s">
        <v>2656</v>
      </c>
      <c r="C289" s="203" t="s">
        <v>2143</v>
      </c>
      <c r="D289" s="204">
        <v>1</v>
      </c>
      <c r="E289" s="204" t="s">
        <v>235</v>
      </c>
      <c r="F289" s="205">
        <v>1.6313401502544065</v>
      </c>
    </row>
    <row r="290" spans="1:6">
      <c r="A290" s="210">
        <v>39311000</v>
      </c>
      <c r="B290" s="202" t="s">
        <v>392</v>
      </c>
      <c r="C290" s="203" t="s">
        <v>2143</v>
      </c>
      <c r="D290" s="204">
        <v>1</v>
      </c>
      <c r="E290" s="204" t="s">
        <v>235</v>
      </c>
      <c r="F290" s="205">
        <v>1.6313401502544065</v>
      </c>
    </row>
    <row r="291" spans="1:6">
      <c r="A291" s="210">
        <v>39400000</v>
      </c>
      <c r="B291" s="202" t="s">
        <v>2659</v>
      </c>
      <c r="C291" s="203" t="s">
        <v>2143</v>
      </c>
      <c r="D291" s="204">
        <v>1</v>
      </c>
      <c r="E291" s="204" t="s">
        <v>235</v>
      </c>
      <c r="F291" s="205">
        <v>1.6103268898233865</v>
      </c>
    </row>
    <row r="292" spans="1:6">
      <c r="A292" s="210">
        <v>39411000</v>
      </c>
      <c r="B292" s="202" t="s">
        <v>393</v>
      </c>
      <c r="C292" s="203" t="s">
        <v>2143</v>
      </c>
      <c r="D292" s="204">
        <v>1</v>
      </c>
      <c r="E292" s="204" t="s">
        <v>235</v>
      </c>
      <c r="F292" s="205">
        <v>1.6103268898233865</v>
      </c>
    </row>
    <row r="293" spans="1:6">
      <c r="A293" s="210">
        <v>39500000</v>
      </c>
      <c r="B293" s="202" t="s">
        <v>2662</v>
      </c>
      <c r="C293" s="203" t="s">
        <v>2143</v>
      </c>
      <c r="D293" s="204">
        <v>1</v>
      </c>
      <c r="E293" s="204" t="s">
        <v>235</v>
      </c>
      <c r="F293" s="205">
        <v>1.5945981111230974</v>
      </c>
    </row>
    <row r="294" spans="1:6">
      <c r="A294" s="210">
        <v>39511000</v>
      </c>
      <c r="B294" s="202" t="s">
        <v>396</v>
      </c>
      <c r="C294" s="203" t="s">
        <v>2143</v>
      </c>
      <c r="D294" s="204">
        <v>1</v>
      </c>
      <c r="E294" s="204" t="s">
        <v>235</v>
      </c>
      <c r="F294" s="205">
        <v>1.5945981111230974</v>
      </c>
    </row>
    <row r="295" spans="1:6">
      <c r="A295" s="210">
        <v>39600000</v>
      </c>
      <c r="B295" s="202" t="s">
        <v>2665</v>
      </c>
      <c r="C295" s="203" t="s">
        <v>2143</v>
      </c>
      <c r="D295" s="204">
        <v>1</v>
      </c>
      <c r="E295" s="204" t="s">
        <v>235</v>
      </c>
      <c r="F295" s="205">
        <v>363.01463372654695</v>
      </c>
    </row>
    <row r="296" spans="1:6">
      <c r="A296" s="210">
        <v>39611000</v>
      </c>
      <c r="B296" s="202" t="s">
        <v>2667</v>
      </c>
      <c r="C296" s="203" t="s">
        <v>2143</v>
      </c>
      <c r="D296" s="204">
        <v>1</v>
      </c>
      <c r="E296" s="204" t="s">
        <v>235</v>
      </c>
      <c r="F296" s="205">
        <v>363.01463372654695</v>
      </c>
    </row>
    <row r="297" spans="1:6">
      <c r="A297" s="210">
        <v>39900000</v>
      </c>
      <c r="B297" s="202" t="s">
        <v>2669</v>
      </c>
      <c r="C297" s="203" t="s">
        <v>2143</v>
      </c>
      <c r="D297" s="204">
        <v>1</v>
      </c>
      <c r="E297" s="204" t="s">
        <v>235</v>
      </c>
      <c r="F297" s="205">
        <v>3.3936257258506801</v>
      </c>
    </row>
    <row r="298" spans="1:6">
      <c r="A298" s="210">
        <v>39911000</v>
      </c>
      <c r="B298" s="202" t="s">
        <v>2671</v>
      </c>
      <c r="C298" s="203" t="s">
        <v>2143</v>
      </c>
      <c r="D298" s="204">
        <v>1</v>
      </c>
      <c r="E298" s="204" t="s">
        <v>235</v>
      </c>
      <c r="F298" s="205">
        <v>3.3936257258506801</v>
      </c>
    </row>
    <row r="299" spans="1:6">
      <c r="A299" s="210">
        <v>51100000</v>
      </c>
      <c r="B299" s="202" t="s">
        <v>2673</v>
      </c>
      <c r="C299" s="203" t="s">
        <v>2143</v>
      </c>
      <c r="D299" s="204">
        <v>1</v>
      </c>
      <c r="E299" s="204" t="s">
        <v>235</v>
      </c>
      <c r="F299" s="205">
        <v>0.21189250035654544</v>
      </c>
    </row>
    <row r="300" spans="1:6">
      <c r="A300" s="210">
        <v>51111000</v>
      </c>
      <c r="B300" s="202" t="s">
        <v>397</v>
      </c>
      <c r="C300" s="203" t="s">
        <v>2143</v>
      </c>
      <c r="D300" s="204">
        <v>1</v>
      </c>
      <c r="E300" s="204" t="s">
        <v>235</v>
      </c>
      <c r="F300" s="205">
        <v>0.23582178435763723</v>
      </c>
    </row>
    <row r="301" spans="1:6">
      <c r="A301" s="210">
        <v>51111801</v>
      </c>
      <c r="B301" s="202" t="s">
        <v>2676</v>
      </c>
      <c r="C301" s="203" t="s">
        <v>2143</v>
      </c>
      <c r="D301" s="204">
        <v>1</v>
      </c>
      <c r="E301" s="204" t="s">
        <v>279</v>
      </c>
      <c r="F301" s="205">
        <v>9.8090874819974208E-2</v>
      </c>
    </row>
    <row r="302" spans="1:6">
      <c r="A302" s="210">
        <v>51111802</v>
      </c>
      <c r="B302" s="202" t="s">
        <v>2678</v>
      </c>
      <c r="C302" s="203" t="s">
        <v>2143</v>
      </c>
      <c r="D302" s="204">
        <v>1</v>
      </c>
      <c r="E302" s="204" t="s">
        <v>279</v>
      </c>
      <c r="F302" s="205">
        <v>9.8349490706834242E-2</v>
      </c>
    </row>
    <row r="303" spans="1:6">
      <c r="A303" s="210">
        <v>51112000</v>
      </c>
      <c r="B303" s="202" t="s">
        <v>398</v>
      </c>
      <c r="C303" s="203" t="s">
        <v>2143</v>
      </c>
      <c r="D303" s="204">
        <v>1</v>
      </c>
      <c r="E303" s="204" t="s">
        <v>235</v>
      </c>
      <c r="F303" s="205">
        <v>0.21189250035654544</v>
      </c>
    </row>
    <row r="304" spans="1:6">
      <c r="A304" s="210">
        <v>51112101</v>
      </c>
      <c r="B304" s="202" t="s">
        <v>5591</v>
      </c>
      <c r="C304" s="203" t="s">
        <v>2143</v>
      </c>
      <c r="D304" s="204">
        <v>1</v>
      </c>
      <c r="E304" s="204" t="s">
        <v>235</v>
      </c>
      <c r="F304" s="205">
        <v>4.5930593355715199E-2</v>
      </c>
    </row>
    <row r="305" spans="1:6">
      <c r="A305" s="210">
        <v>51112102</v>
      </c>
      <c r="B305" s="202" t="s">
        <v>5592</v>
      </c>
      <c r="C305" s="203" t="s">
        <v>2143</v>
      </c>
      <c r="D305" s="204">
        <v>1</v>
      </c>
      <c r="E305" s="204" t="s">
        <v>235</v>
      </c>
      <c r="F305" s="205">
        <v>0.21359267787280078</v>
      </c>
    </row>
    <row r="306" spans="1:6">
      <c r="A306" s="210">
        <v>51112801</v>
      </c>
      <c r="B306" s="202" t="s">
        <v>2681</v>
      </c>
      <c r="C306" s="203" t="s">
        <v>2143</v>
      </c>
      <c r="D306" s="204">
        <v>1</v>
      </c>
      <c r="E306" s="204" t="s">
        <v>279</v>
      </c>
      <c r="F306" s="205">
        <v>9.8965227927440794E-2</v>
      </c>
    </row>
    <row r="307" spans="1:6">
      <c r="A307" s="210">
        <v>51112802</v>
      </c>
      <c r="B307" s="202" t="s">
        <v>2683</v>
      </c>
      <c r="C307" s="203" t="s">
        <v>2143</v>
      </c>
      <c r="D307" s="204">
        <v>1</v>
      </c>
      <c r="E307" s="204" t="s">
        <v>279</v>
      </c>
      <c r="F307" s="205">
        <v>9.8634018021530684E-2</v>
      </c>
    </row>
    <row r="308" spans="1:6">
      <c r="A308" s="210">
        <v>51113000</v>
      </c>
      <c r="B308" s="202" t="s">
        <v>399</v>
      </c>
      <c r="C308" s="203" t="s">
        <v>2143</v>
      </c>
      <c r="D308" s="204">
        <v>1</v>
      </c>
      <c r="E308" s="204" t="s">
        <v>235</v>
      </c>
      <c r="F308" s="205">
        <v>0.24137192377049477</v>
      </c>
    </row>
    <row r="309" spans="1:6">
      <c r="A309" s="210">
        <v>52100000</v>
      </c>
      <c r="B309" s="202" t="s">
        <v>2686</v>
      </c>
      <c r="C309" s="203" t="s">
        <v>2143</v>
      </c>
      <c r="D309" s="204">
        <v>1</v>
      </c>
      <c r="E309" s="204" t="s">
        <v>235</v>
      </c>
      <c r="F309" s="205">
        <v>7.0509174058796587E-2</v>
      </c>
    </row>
    <row r="310" spans="1:6">
      <c r="A310" s="210">
        <v>52111000</v>
      </c>
      <c r="B310" s="202" t="s">
        <v>102</v>
      </c>
      <c r="C310" s="203" t="s">
        <v>2143</v>
      </c>
      <c r="D310" s="204">
        <v>1</v>
      </c>
      <c r="E310" s="204" t="s">
        <v>400</v>
      </c>
      <c r="F310" s="205">
        <v>0.26006366368696943</v>
      </c>
    </row>
    <row r="311" spans="1:6">
      <c r="A311" s="210">
        <v>52111221</v>
      </c>
      <c r="B311" s="202" t="s">
        <v>5593</v>
      </c>
      <c r="C311" s="203" t="s">
        <v>2143</v>
      </c>
      <c r="D311" s="204">
        <v>1</v>
      </c>
      <c r="E311" s="204" t="s">
        <v>400</v>
      </c>
      <c r="F311" s="205">
        <v>0.19736965614316659</v>
      </c>
    </row>
    <row r="312" spans="1:6">
      <c r="A312" s="210">
        <v>52111222</v>
      </c>
      <c r="B312" s="202" t="s">
        <v>5594</v>
      </c>
      <c r="C312" s="203" t="s">
        <v>2143</v>
      </c>
      <c r="D312" s="204">
        <v>1</v>
      </c>
      <c r="E312" s="204" t="s">
        <v>400</v>
      </c>
      <c r="F312" s="205">
        <v>0.26032266143755189</v>
      </c>
    </row>
    <row r="313" spans="1:6">
      <c r="A313" s="210">
        <v>52111801</v>
      </c>
      <c r="B313" s="202" t="s">
        <v>2689</v>
      </c>
      <c r="C313" s="203" t="s">
        <v>2143</v>
      </c>
      <c r="D313" s="204">
        <v>1</v>
      </c>
      <c r="E313" s="204" t="s">
        <v>279</v>
      </c>
      <c r="F313" s="205">
        <v>7.5379121512091501E-2</v>
      </c>
    </row>
    <row r="314" spans="1:6">
      <c r="A314" s="210">
        <v>52112000</v>
      </c>
      <c r="B314" s="202" t="s">
        <v>401</v>
      </c>
      <c r="C314" s="203" t="s">
        <v>2143</v>
      </c>
      <c r="D314" s="204">
        <v>1</v>
      </c>
      <c r="E314" s="204" t="s">
        <v>278</v>
      </c>
      <c r="F314" s="205">
        <v>4.7541899173815239E-3</v>
      </c>
    </row>
    <row r="315" spans="1:6">
      <c r="A315" s="210">
        <v>52112201</v>
      </c>
      <c r="B315" s="202" t="s">
        <v>403</v>
      </c>
      <c r="C315" s="203" t="s">
        <v>2149</v>
      </c>
      <c r="D315" s="204">
        <v>1</v>
      </c>
      <c r="E315" s="204" t="s">
        <v>235</v>
      </c>
      <c r="F315" s="205">
        <v>0.65740823942883952</v>
      </c>
    </row>
    <row r="316" spans="1:6">
      <c r="A316" s="210">
        <v>52112202</v>
      </c>
      <c r="B316" s="202" t="s">
        <v>5595</v>
      </c>
      <c r="C316" s="203" t="s">
        <v>2143</v>
      </c>
      <c r="D316" s="204">
        <v>1</v>
      </c>
      <c r="E316" s="204" t="s">
        <v>278</v>
      </c>
      <c r="F316" s="205">
        <v>4.7541899173815239E-3</v>
      </c>
    </row>
    <row r="317" spans="1:6">
      <c r="A317" s="210">
        <v>52112203</v>
      </c>
      <c r="B317" s="202" t="s">
        <v>5596</v>
      </c>
      <c r="C317" s="203" t="s">
        <v>2143</v>
      </c>
      <c r="D317" s="204">
        <v>1</v>
      </c>
      <c r="E317" s="204" t="s">
        <v>278</v>
      </c>
      <c r="F317" s="205">
        <v>4.7541899173815239E-3</v>
      </c>
    </row>
    <row r="318" spans="1:6">
      <c r="A318" s="210">
        <v>52112210</v>
      </c>
      <c r="B318" s="202" t="s">
        <v>5597</v>
      </c>
      <c r="C318" s="203" t="s">
        <v>2143</v>
      </c>
      <c r="D318" s="204">
        <v>1</v>
      </c>
      <c r="E318" s="204" t="s">
        <v>235</v>
      </c>
      <c r="F318" s="205">
        <v>5.9651064558110534E-3</v>
      </c>
    </row>
    <row r="319" spans="1:6">
      <c r="A319" s="210">
        <v>52112801</v>
      </c>
      <c r="B319" s="202" t="s">
        <v>2693</v>
      </c>
      <c r="C319" s="203" t="s">
        <v>2143</v>
      </c>
      <c r="D319" s="204">
        <v>1</v>
      </c>
      <c r="E319" s="204" t="s">
        <v>279</v>
      </c>
      <c r="F319" s="205">
        <v>5.1113092337416788E-2</v>
      </c>
    </row>
    <row r="320" spans="1:6">
      <c r="A320" s="210">
        <v>52112802</v>
      </c>
      <c r="B320" s="202" t="s">
        <v>2696</v>
      </c>
      <c r="C320" s="203" t="s">
        <v>2143</v>
      </c>
      <c r="D320" s="204">
        <v>1</v>
      </c>
      <c r="E320" s="204" t="s">
        <v>279</v>
      </c>
      <c r="F320" s="205">
        <v>6.1577549229199419E-2</v>
      </c>
    </row>
    <row r="321" spans="1:6">
      <c r="A321" s="210">
        <v>52112805</v>
      </c>
      <c r="B321" s="202" t="s">
        <v>2698</v>
      </c>
      <c r="C321" s="203" t="s">
        <v>2143</v>
      </c>
      <c r="D321" s="204">
        <v>1</v>
      </c>
      <c r="E321" s="204" t="s">
        <v>279</v>
      </c>
      <c r="F321" s="205">
        <v>6.7466668784618378E-2</v>
      </c>
    </row>
    <row r="322" spans="1:6">
      <c r="A322" s="210">
        <v>52112874</v>
      </c>
      <c r="B322" s="202" t="s">
        <v>2700</v>
      </c>
      <c r="C322" s="203" t="s">
        <v>2143</v>
      </c>
      <c r="D322" s="204">
        <v>1</v>
      </c>
      <c r="E322" s="204" t="s">
        <v>279</v>
      </c>
      <c r="F322" s="205">
        <v>6.1561119231605878E-2</v>
      </c>
    </row>
    <row r="323" spans="1:6">
      <c r="A323" s="210">
        <v>52112875</v>
      </c>
      <c r="B323" s="202" t="s">
        <v>2702</v>
      </c>
      <c r="C323" s="203" t="s">
        <v>2143</v>
      </c>
      <c r="D323" s="204">
        <v>1</v>
      </c>
      <c r="E323" s="204" t="s">
        <v>279</v>
      </c>
      <c r="F323" s="205">
        <v>6.1990949267170171E-2</v>
      </c>
    </row>
    <row r="324" spans="1:6">
      <c r="A324" s="210">
        <v>52112896</v>
      </c>
      <c r="B324" s="202" t="s">
        <v>2704</v>
      </c>
      <c r="C324" s="203" t="s">
        <v>2143</v>
      </c>
      <c r="D324" s="204">
        <v>1</v>
      </c>
      <c r="E324" s="204" t="s">
        <v>279</v>
      </c>
      <c r="F324" s="205">
        <v>5.1096632535617914E-2</v>
      </c>
    </row>
    <row r="325" spans="1:6">
      <c r="A325" s="210">
        <v>53100000</v>
      </c>
      <c r="B325" s="202" t="s">
        <v>5598</v>
      </c>
      <c r="C325" s="203" t="s">
        <v>2143</v>
      </c>
      <c r="D325" s="204">
        <v>1</v>
      </c>
      <c r="E325" s="204" t="s">
        <v>235</v>
      </c>
      <c r="F325" s="205">
        <v>0.14490292107335598</v>
      </c>
    </row>
    <row r="326" spans="1:6">
      <c r="A326" s="210">
        <v>53111000</v>
      </c>
      <c r="B326" s="202" t="s">
        <v>404</v>
      </c>
      <c r="C326" s="203" t="s">
        <v>2143</v>
      </c>
      <c r="D326" s="204">
        <v>1</v>
      </c>
      <c r="E326" s="204" t="s">
        <v>235</v>
      </c>
      <c r="F326" s="205">
        <v>0.14871794271138697</v>
      </c>
    </row>
    <row r="327" spans="1:6">
      <c r="A327" s="210">
        <v>53111221</v>
      </c>
      <c r="B327" s="202" t="s">
        <v>5599</v>
      </c>
      <c r="C327" s="203" t="s">
        <v>2143</v>
      </c>
      <c r="D327" s="204">
        <v>1</v>
      </c>
      <c r="E327" s="204" t="s">
        <v>235</v>
      </c>
      <c r="F327" s="205">
        <v>1.1631518114693699E-2</v>
      </c>
    </row>
    <row r="328" spans="1:6">
      <c r="A328" s="210">
        <v>53111222</v>
      </c>
      <c r="B328" s="202" t="s">
        <v>5600</v>
      </c>
      <c r="C328" s="203" t="s">
        <v>2143</v>
      </c>
      <c r="D328" s="204">
        <v>1</v>
      </c>
      <c r="E328" s="204" t="s">
        <v>235</v>
      </c>
      <c r="F328" s="205">
        <v>0.14871870261002687</v>
      </c>
    </row>
    <row r="329" spans="1:6">
      <c r="A329" s="210">
        <v>53112000</v>
      </c>
      <c r="B329" s="202" t="s">
        <v>405</v>
      </c>
      <c r="C329" s="203" t="s">
        <v>2143</v>
      </c>
      <c r="D329" s="204">
        <v>1</v>
      </c>
      <c r="E329" s="204" t="s">
        <v>235</v>
      </c>
      <c r="F329" s="205">
        <v>9.3227022847059304E-2</v>
      </c>
    </row>
    <row r="330" spans="1:6">
      <c r="A330" s="210">
        <v>53113000</v>
      </c>
      <c r="B330" s="202" t="s">
        <v>2708</v>
      </c>
      <c r="C330" s="203" t="s">
        <v>2143</v>
      </c>
      <c r="D330" s="204">
        <v>1</v>
      </c>
      <c r="E330" s="204" t="s">
        <v>235</v>
      </c>
      <c r="F330" s="205">
        <v>0.79281756125325931</v>
      </c>
    </row>
    <row r="331" spans="1:6">
      <c r="A331" s="210">
        <v>53113299</v>
      </c>
      <c r="B331" s="202" t="s">
        <v>5601</v>
      </c>
      <c r="C331" s="203" t="s">
        <v>2143</v>
      </c>
      <c r="D331" s="204">
        <v>1</v>
      </c>
      <c r="E331" s="204" t="s">
        <v>235</v>
      </c>
      <c r="F331" s="205">
        <v>0.7928175614942754</v>
      </c>
    </row>
    <row r="332" spans="1:6">
      <c r="A332" s="210">
        <v>53114000</v>
      </c>
      <c r="B332" s="202" t="s">
        <v>2710</v>
      </c>
      <c r="C332" s="203" t="s">
        <v>2143</v>
      </c>
      <c r="D332" s="204">
        <v>1</v>
      </c>
      <c r="E332" s="204" t="s">
        <v>235</v>
      </c>
      <c r="F332" s="205">
        <v>0.29670629805592419</v>
      </c>
    </row>
    <row r="333" spans="1:6">
      <c r="A333" s="210">
        <v>53115000</v>
      </c>
      <c r="B333" s="202" t="s">
        <v>2712</v>
      </c>
      <c r="C333" s="203" t="s">
        <v>2143</v>
      </c>
      <c r="D333" s="204">
        <v>1</v>
      </c>
      <c r="E333" s="204" t="s">
        <v>235</v>
      </c>
      <c r="F333" s="205">
        <v>0.23875434762313152</v>
      </c>
    </row>
    <row r="334" spans="1:6">
      <c r="A334" s="210">
        <v>53125000</v>
      </c>
      <c r="B334" s="202" t="s">
        <v>2714</v>
      </c>
      <c r="C334" s="203" t="s">
        <v>2143</v>
      </c>
      <c r="D334" s="204">
        <v>1</v>
      </c>
      <c r="E334" s="204" t="s">
        <v>235</v>
      </c>
      <c r="F334" s="205">
        <v>0.14489457674958442</v>
      </c>
    </row>
    <row r="335" spans="1:6">
      <c r="A335" s="210">
        <v>53125299</v>
      </c>
      <c r="B335" s="202" t="s">
        <v>5602</v>
      </c>
      <c r="C335" s="203" t="s">
        <v>2143</v>
      </c>
      <c r="D335" s="204">
        <v>1</v>
      </c>
      <c r="E335" s="204" t="s">
        <v>235</v>
      </c>
      <c r="F335" s="205">
        <v>0.14489457674958442</v>
      </c>
    </row>
    <row r="336" spans="1:6">
      <c r="A336" s="210">
        <v>53129000</v>
      </c>
      <c r="B336" s="202" t="s">
        <v>2716</v>
      </c>
      <c r="C336" s="203" t="s">
        <v>2143</v>
      </c>
      <c r="D336" s="204">
        <v>1</v>
      </c>
      <c r="E336" s="204" t="s">
        <v>235</v>
      </c>
      <c r="F336" s="205">
        <v>0.72963023924038439</v>
      </c>
    </row>
    <row r="337" spans="1:6">
      <c r="A337" s="210">
        <v>53129104</v>
      </c>
      <c r="B337" s="202" t="s">
        <v>2718</v>
      </c>
      <c r="C337" s="203" t="s">
        <v>2149</v>
      </c>
      <c r="D337" s="204">
        <v>1</v>
      </c>
      <c r="E337" s="204" t="s">
        <v>235</v>
      </c>
      <c r="F337" s="205">
        <v>5.9327312974994766E-3</v>
      </c>
    </row>
    <row r="338" spans="1:6">
      <c r="A338" s="210">
        <v>53129105</v>
      </c>
      <c r="B338" s="202" t="s">
        <v>2720</v>
      </c>
      <c r="C338" s="203" t="s">
        <v>2149</v>
      </c>
      <c r="D338" s="204">
        <v>1</v>
      </c>
      <c r="E338" s="204" t="s">
        <v>235</v>
      </c>
      <c r="F338" s="205">
        <v>5.9327312974994766E-3</v>
      </c>
    </row>
    <row r="339" spans="1:6">
      <c r="A339" s="210">
        <v>53129106</v>
      </c>
      <c r="B339" s="202" t="s">
        <v>2722</v>
      </c>
      <c r="C339" s="203" t="s">
        <v>2149</v>
      </c>
      <c r="D339" s="204">
        <v>1</v>
      </c>
      <c r="E339" s="204" t="s">
        <v>235</v>
      </c>
      <c r="F339" s="205">
        <v>5.9327312974994766E-3</v>
      </c>
    </row>
    <row r="340" spans="1:6">
      <c r="A340" s="210">
        <v>53129108</v>
      </c>
      <c r="B340" s="202" t="s">
        <v>2724</v>
      </c>
      <c r="C340" s="203" t="s">
        <v>2149</v>
      </c>
      <c r="D340" s="204">
        <v>1</v>
      </c>
      <c r="E340" s="204" t="s">
        <v>235</v>
      </c>
      <c r="F340" s="205">
        <v>5.9327312974994766E-3</v>
      </c>
    </row>
    <row r="341" spans="1:6">
      <c r="A341" s="210">
        <v>53129110</v>
      </c>
      <c r="B341" s="202" t="s">
        <v>2726</v>
      </c>
      <c r="C341" s="203" t="s">
        <v>2149</v>
      </c>
      <c r="D341" s="204">
        <v>1</v>
      </c>
      <c r="E341" s="204" t="s">
        <v>235</v>
      </c>
      <c r="F341" s="205">
        <v>5.9327312974994766E-3</v>
      </c>
    </row>
    <row r="342" spans="1:6">
      <c r="A342" s="210">
        <v>53129111</v>
      </c>
      <c r="B342" s="202" t="s">
        <v>2728</v>
      </c>
      <c r="C342" s="203" t="s">
        <v>2149</v>
      </c>
      <c r="D342" s="204">
        <v>1</v>
      </c>
      <c r="E342" s="204" t="s">
        <v>235</v>
      </c>
      <c r="F342" s="205">
        <v>5.9327312974994766E-3</v>
      </c>
    </row>
    <row r="343" spans="1:6">
      <c r="A343" s="210">
        <v>53129112</v>
      </c>
      <c r="B343" s="202" t="s">
        <v>406</v>
      </c>
      <c r="C343" s="203" t="s">
        <v>2143</v>
      </c>
      <c r="D343" s="204">
        <v>1</v>
      </c>
      <c r="E343" s="204" t="s">
        <v>235</v>
      </c>
      <c r="F343" s="205">
        <v>5.9327312974994766E-3</v>
      </c>
    </row>
    <row r="344" spans="1:6">
      <c r="A344" s="210">
        <v>53129203</v>
      </c>
      <c r="B344" s="202" t="s">
        <v>5603</v>
      </c>
      <c r="C344" s="203" t="s">
        <v>2143</v>
      </c>
      <c r="D344" s="204">
        <v>1</v>
      </c>
      <c r="E344" s="204" t="s">
        <v>235</v>
      </c>
      <c r="F344" s="205">
        <v>1.3836449008080603E-2</v>
      </c>
    </row>
    <row r="345" spans="1:6">
      <c r="A345" s="210">
        <v>53129204</v>
      </c>
      <c r="B345" s="202" t="s">
        <v>5604</v>
      </c>
      <c r="C345" s="203" t="s">
        <v>2143</v>
      </c>
      <c r="D345" s="204">
        <v>1</v>
      </c>
      <c r="E345" s="204" t="s">
        <v>235</v>
      </c>
      <c r="F345" s="205">
        <v>0.1157705344447203</v>
      </c>
    </row>
    <row r="346" spans="1:6">
      <c r="A346" s="210">
        <v>53129205</v>
      </c>
      <c r="B346" s="202" t="s">
        <v>5605</v>
      </c>
      <c r="C346" s="203" t="s">
        <v>2143</v>
      </c>
      <c r="D346" s="204">
        <v>1</v>
      </c>
      <c r="E346" s="204" t="s">
        <v>235</v>
      </c>
      <c r="F346" s="205">
        <v>1.1464372856316576</v>
      </c>
    </row>
    <row r="347" spans="1:6">
      <c r="A347" s="210">
        <v>53129208</v>
      </c>
      <c r="B347" s="202" t="s">
        <v>5606</v>
      </c>
      <c r="C347" s="203" t="s">
        <v>2149</v>
      </c>
      <c r="D347" s="204">
        <v>1</v>
      </c>
      <c r="E347" s="204" t="s">
        <v>235</v>
      </c>
      <c r="F347" s="205">
        <v>19.134011286615724</v>
      </c>
    </row>
    <row r="348" spans="1:6">
      <c r="A348" s="210">
        <v>53129209</v>
      </c>
      <c r="B348" s="202" t="s">
        <v>5607</v>
      </c>
      <c r="C348" s="203" t="s">
        <v>2150</v>
      </c>
      <c r="D348" s="204">
        <v>1</v>
      </c>
      <c r="E348" s="204" t="s">
        <v>235</v>
      </c>
      <c r="F348" s="205">
        <v>0.49512009702375265</v>
      </c>
    </row>
    <row r="349" spans="1:6">
      <c r="A349" s="210">
        <v>53129210</v>
      </c>
      <c r="B349" s="202" t="s">
        <v>5608</v>
      </c>
      <c r="C349" s="203" t="s">
        <v>2151</v>
      </c>
      <c r="D349" s="204">
        <v>1</v>
      </c>
      <c r="E349" s="204" t="s">
        <v>235</v>
      </c>
      <c r="F349" s="205">
        <v>7.4144666359489114E-3</v>
      </c>
    </row>
    <row r="350" spans="1:6">
      <c r="A350" s="210">
        <v>53129615</v>
      </c>
      <c r="B350" s="202" t="s">
        <v>5609</v>
      </c>
      <c r="C350" s="203" t="s">
        <v>5553</v>
      </c>
      <c r="D350" s="204">
        <v>1</v>
      </c>
      <c r="E350" s="204" t="s">
        <v>235</v>
      </c>
      <c r="F350" s="205">
        <v>0</v>
      </c>
    </row>
    <row r="351" spans="1:6">
      <c r="A351" s="210">
        <v>54100000</v>
      </c>
      <c r="B351" s="202" t="s">
        <v>2731</v>
      </c>
      <c r="C351" s="203" t="s">
        <v>2143</v>
      </c>
      <c r="D351" s="204">
        <v>1</v>
      </c>
      <c r="E351" s="204" t="s">
        <v>235</v>
      </c>
      <c r="F351" s="205">
        <v>5.6103275448534393E-3</v>
      </c>
    </row>
    <row r="352" spans="1:6">
      <c r="A352" s="210">
        <v>54111000</v>
      </c>
      <c r="B352" s="202" t="s">
        <v>2733</v>
      </c>
      <c r="C352" s="203" t="s">
        <v>2143</v>
      </c>
      <c r="D352" s="204">
        <v>1</v>
      </c>
      <c r="E352" s="204" t="s">
        <v>235</v>
      </c>
      <c r="F352" s="205">
        <v>6.0265510485775133E-3</v>
      </c>
    </row>
    <row r="353" spans="1:6">
      <c r="A353" s="210">
        <v>54111200</v>
      </c>
      <c r="B353" s="202" t="s">
        <v>5610</v>
      </c>
      <c r="C353" s="203" t="s">
        <v>2143</v>
      </c>
      <c r="D353" s="204">
        <v>1</v>
      </c>
      <c r="E353" s="204" t="s">
        <v>235</v>
      </c>
      <c r="F353" s="205">
        <v>3.9253357711727587E-3</v>
      </c>
    </row>
    <row r="354" spans="1:6">
      <c r="A354" s="210">
        <v>54111201</v>
      </c>
      <c r="B354" s="202" t="s">
        <v>5611</v>
      </c>
      <c r="C354" s="203" t="s">
        <v>2143</v>
      </c>
      <c r="D354" s="204">
        <v>1</v>
      </c>
      <c r="E354" s="204" t="s">
        <v>235</v>
      </c>
      <c r="F354" s="205">
        <v>1.6911175932551349E-3</v>
      </c>
    </row>
    <row r="355" spans="1:6">
      <c r="A355" s="210">
        <v>54111202</v>
      </c>
      <c r="B355" s="202" t="s">
        <v>407</v>
      </c>
      <c r="C355" s="203" t="s">
        <v>2143</v>
      </c>
      <c r="D355" s="204">
        <v>1</v>
      </c>
      <c r="E355" s="204" t="s">
        <v>235</v>
      </c>
      <c r="F355" s="205">
        <v>9.9056306297490952E-3</v>
      </c>
    </row>
    <row r="356" spans="1:6">
      <c r="A356" s="210">
        <v>54111203</v>
      </c>
      <c r="B356" s="202" t="s">
        <v>281</v>
      </c>
      <c r="C356" s="203" t="s">
        <v>2143</v>
      </c>
      <c r="D356" s="204">
        <v>1</v>
      </c>
      <c r="E356" s="204" t="s">
        <v>235</v>
      </c>
      <c r="F356" s="205">
        <v>2.1413849149393305E-2</v>
      </c>
    </row>
    <row r="357" spans="1:6">
      <c r="A357" s="210">
        <v>54112000</v>
      </c>
      <c r="B357" s="202" t="s">
        <v>282</v>
      </c>
      <c r="C357" s="203" t="s">
        <v>2143</v>
      </c>
      <c r="D357" s="204">
        <v>1</v>
      </c>
      <c r="E357" s="204" t="s">
        <v>235</v>
      </c>
      <c r="F357" s="205">
        <v>5.5446741372195086E-3</v>
      </c>
    </row>
    <row r="358" spans="1:6">
      <c r="A358" s="210">
        <v>54113000</v>
      </c>
      <c r="B358" s="202" t="s">
        <v>283</v>
      </c>
      <c r="C358" s="203" t="s">
        <v>2143</v>
      </c>
      <c r="D358" s="204">
        <v>1</v>
      </c>
      <c r="E358" s="204" t="s">
        <v>235</v>
      </c>
      <c r="F358" s="205">
        <v>1.5341789748316226E-2</v>
      </c>
    </row>
    <row r="359" spans="1:6">
      <c r="A359" s="210">
        <v>54114000</v>
      </c>
      <c r="B359" s="202" t="s">
        <v>284</v>
      </c>
      <c r="C359" s="203" t="s">
        <v>2143</v>
      </c>
      <c r="D359" s="204">
        <v>1</v>
      </c>
      <c r="E359" s="204" t="s">
        <v>235</v>
      </c>
      <c r="F359" s="205">
        <v>4.0622851061934548E-3</v>
      </c>
    </row>
    <row r="360" spans="1:6">
      <c r="A360" s="210">
        <v>54115000</v>
      </c>
      <c r="B360" s="202" t="s">
        <v>408</v>
      </c>
      <c r="C360" s="203" t="s">
        <v>2143</v>
      </c>
      <c r="D360" s="204">
        <v>1</v>
      </c>
      <c r="E360" s="204" t="s">
        <v>235</v>
      </c>
      <c r="F360" s="205">
        <v>6.3992127383914275E-3</v>
      </c>
    </row>
    <row r="361" spans="1:6">
      <c r="A361" s="210">
        <v>54119000</v>
      </c>
      <c r="B361" s="202" t="s">
        <v>409</v>
      </c>
      <c r="C361" s="203" t="s">
        <v>2143</v>
      </c>
      <c r="D361" s="204">
        <v>1</v>
      </c>
      <c r="E361" s="204" t="s">
        <v>235</v>
      </c>
      <c r="F361" s="205">
        <v>1.8416982748496211E-2</v>
      </c>
    </row>
    <row r="362" spans="1:6">
      <c r="A362" s="210">
        <v>54119200</v>
      </c>
      <c r="B362" s="202" t="s">
        <v>410</v>
      </c>
      <c r="C362" s="203" t="s">
        <v>2143</v>
      </c>
      <c r="D362" s="204">
        <v>1</v>
      </c>
      <c r="E362" s="204" t="s">
        <v>235</v>
      </c>
      <c r="F362" s="205">
        <v>1.5018463760934705E-2</v>
      </c>
    </row>
    <row r="363" spans="1:6">
      <c r="A363" s="210">
        <v>54119201</v>
      </c>
      <c r="B363" s="202" t="s">
        <v>411</v>
      </c>
      <c r="C363" s="203" t="s">
        <v>2143</v>
      </c>
      <c r="D363" s="204">
        <v>1</v>
      </c>
      <c r="E363" s="204" t="s">
        <v>235</v>
      </c>
      <c r="F363" s="205">
        <v>4.1705110149053946E-2</v>
      </c>
    </row>
    <row r="364" spans="1:6">
      <c r="A364" s="210">
        <v>54119202</v>
      </c>
      <c r="B364" s="202" t="s">
        <v>412</v>
      </c>
      <c r="C364" s="203" t="s">
        <v>2143</v>
      </c>
      <c r="D364" s="204">
        <v>1</v>
      </c>
      <c r="E364" s="204" t="s">
        <v>235</v>
      </c>
      <c r="F364" s="205">
        <v>1.1948186387816861E-2</v>
      </c>
    </row>
    <row r="365" spans="1:6">
      <c r="A365" s="210">
        <v>54119203</v>
      </c>
      <c r="B365" s="202" t="s">
        <v>413</v>
      </c>
      <c r="C365" s="203" t="s">
        <v>2143</v>
      </c>
      <c r="D365" s="204">
        <v>1</v>
      </c>
      <c r="E365" s="204" t="s">
        <v>235</v>
      </c>
      <c r="F365" s="205">
        <v>2.741015495936832E-2</v>
      </c>
    </row>
    <row r="366" spans="1:6">
      <c r="A366" s="210">
        <v>54119204</v>
      </c>
      <c r="B366" s="202" t="s">
        <v>422</v>
      </c>
      <c r="C366" s="203" t="s">
        <v>2143</v>
      </c>
      <c r="D366" s="204">
        <v>1</v>
      </c>
      <c r="E366" s="204" t="s">
        <v>235</v>
      </c>
      <c r="F366" s="205">
        <v>1.1836191300145215E-2</v>
      </c>
    </row>
    <row r="367" spans="1:6">
      <c r="A367" s="210">
        <v>54129000</v>
      </c>
      <c r="B367" s="202" t="s">
        <v>414</v>
      </c>
      <c r="C367" s="203" t="s">
        <v>2143</v>
      </c>
      <c r="D367" s="204">
        <v>1</v>
      </c>
      <c r="E367" s="204" t="s">
        <v>235</v>
      </c>
      <c r="F367" s="205">
        <v>5.0516979757069598E-2</v>
      </c>
    </row>
    <row r="368" spans="1:6">
      <c r="A368" s="210">
        <v>54129100</v>
      </c>
      <c r="B368" s="202" t="s">
        <v>415</v>
      </c>
      <c r="C368" s="203" t="s">
        <v>2143</v>
      </c>
      <c r="D368" s="204">
        <v>1</v>
      </c>
      <c r="E368" s="204" t="s">
        <v>235</v>
      </c>
      <c r="F368" s="205">
        <v>4.0623284721798374E-3</v>
      </c>
    </row>
    <row r="369" spans="1:6">
      <c r="A369" s="210">
        <v>54129101</v>
      </c>
      <c r="B369" s="202" t="s">
        <v>416</v>
      </c>
      <c r="C369" s="203" t="s">
        <v>2143</v>
      </c>
      <c r="D369" s="204">
        <v>1</v>
      </c>
      <c r="E369" s="204" t="s">
        <v>235</v>
      </c>
      <c r="F369" s="205">
        <v>1.4152694110653608E-2</v>
      </c>
    </row>
    <row r="370" spans="1:6">
      <c r="A370" s="210">
        <v>54129102</v>
      </c>
      <c r="B370" s="202" t="s">
        <v>417</v>
      </c>
      <c r="C370" s="203" t="s">
        <v>2143</v>
      </c>
      <c r="D370" s="204">
        <v>1</v>
      </c>
      <c r="E370" s="204" t="s">
        <v>235</v>
      </c>
      <c r="F370" s="205">
        <v>1.574172014473459E-2</v>
      </c>
    </row>
    <row r="371" spans="1:6">
      <c r="A371" s="210">
        <v>54129103</v>
      </c>
      <c r="B371" s="202" t="s">
        <v>418</v>
      </c>
      <c r="C371" s="203" t="s">
        <v>2143</v>
      </c>
      <c r="D371" s="204">
        <v>1</v>
      </c>
      <c r="E371" s="204" t="s">
        <v>235</v>
      </c>
      <c r="F371" s="205">
        <v>1.4152694110653608E-2</v>
      </c>
    </row>
    <row r="372" spans="1:6">
      <c r="A372" s="210">
        <v>54129200</v>
      </c>
      <c r="B372" s="202" t="s">
        <v>419</v>
      </c>
      <c r="C372" s="203" t="s">
        <v>2143</v>
      </c>
      <c r="D372" s="204">
        <v>1</v>
      </c>
      <c r="E372" s="204" t="s">
        <v>235</v>
      </c>
      <c r="F372" s="205">
        <v>0.10368281009970372</v>
      </c>
    </row>
    <row r="373" spans="1:6">
      <c r="A373" s="210">
        <v>54129202</v>
      </c>
      <c r="B373" s="202" t="s">
        <v>420</v>
      </c>
      <c r="C373" s="203" t="s">
        <v>2143</v>
      </c>
      <c r="D373" s="204">
        <v>1</v>
      </c>
      <c r="E373" s="204" t="s">
        <v>235</v>
      </c>
      <c r="F373" s="205">
        <v>3.3288794687143193E-2</v>
      </c>
    </row>
    <row r="374" spans="1:6">
      <c r="A374" s="210">
        <v>54129203</v>
      </c>
      <c r="B374" s="202" t="s">
        <v>421</v>
      </c>
      <c r="C374" s="203" t="s">
        <v>2143</v>
      </c>
      <c r="D374" s="204">
        <v>1</v>
      </c>
      <c r="E374" s="204" t="s">
        <v>235</v>
      </c>
      <c r="F374" s="205">
        <v>0.26866757681054704</v>
      </c>
    </row>
    <row r="375" spans="1:6">
      <c r="A375" s="210">
        <v>54129205</v>
      </c>
      <c r="B375" s="202" t="s">
        <v>423</v>
      </c>
      <c r="C375" s="203" t="s">
        <v>2143</v>
      </c>
      <c r="D375" s="204">
        <v>1</v>
      </c>
      <c r="E375" s="204" t="s">
        <v>235</v>
      </c>
      <c r="F375" s="205">
        <v>6.4396877280738826E-2</v>
      </c>
    </row>
    <row r="376" spans="1:6">
      <c r="A376" s="210">
        <v>54129206</v>
      </c>
      <c r="B376" s="202" t="s">
        <v>424</v>
      </c>
      <c r="C376" s="203" t="s">
        <v>2143</v>
      </c>
      <c r="D376" s="204">
        <v>1</v>
      </c>
      <c r="E376" s="204" t="s">
        <v>235</v>
      </c>
      <c r="F376" s="205">
        <v>5.0625577575679093E-2</v>
      </c>
    </row>
    <row r="377" spans="1:6">
      <c r="A377" s="210">
        <v>54129207</v>
      </c>
      <c r="B377" s="202" t="s">
        <v>2752</v>
      </c>
      <c r="C377" s="203" t="s">
        <v>2143</v>
      </c>
      <c r="D377" s="204">
        <v>1</v>
      </c>
      <c r="E377" s="204" t="s">
        <v>235</v>
      </c>
      <c r="F377" s="205">
        <v>1596.4856959821407</v>
      </c>
    </row>
    <row r="378" spans="1:6">
      <c r="A378" s="210">
        <v>54129208</v>
      </c>
      <c r="B378" s="202" t="s">
        <v>2754</v>
      </c>
      <c r="C378" s="203" t="s">
        <v>2143</v>
      </c>
      <c r="D378" s="204">
        <v>1</v>
      </c>
      <c r="E378" s="204" t="s">
        <v>235</v>
      </c>
      <c r="F378" s="205">
        <v>0.31929700122440846</v>
      </c>
    </row>
    <row r="379" spans="1:6">
      <c r="A379" s="210">
        <v>54129209</v>
      </c>
      <c r="B379" s="202" t="s">
        <v>5612</v>
      </c>
      <c r="C379" s="203" t="s">
        <v>2143</v>
      </c>
      <c r="D379" s="204">
        <v>1</v>
      </c>
      <c r="E379" s="204" t="s">
        <v>235</v>
      </c>
      <c r="F379" s="205">
        <v>0</v>
      </c>
    </row>
    <row r="380" spans="1:6">
      <c r="A380" s="210">
        <v>54129210</v>
      </c>
      <c r="B380" s="202" t="s">
        <v>5613</v>
      </c>
      <c r="C380" s="203" t="s">
        <v>2143</v>
      </c>
      <c r="D380" s="204">
        <v>1</v>
      </c>
      <c r="E380" s="204" t="s">
        <v>235</v>
      </c>
      <c r="F380" s="205">
        <v>0</v>
      </c>
    </row>
    <row r="381" spans="1:6">
      <c r="A381" s="210">
        <v>54129212</v>
      </c>
      <c r="B381" s="202" t="s">
        <v>5614</v>
      </c>
      <c r="C381" s="203" t="s">
        <v>2143</v>
      </c>
      <c r="D381" s="204">
        <v>1</v>
      </c>
      <c r="E381" s="204" t="s">
        <v>235</v>
      </c>
      <c r="F381" s="205">
        <v>0.11454511970024332</v>
      </c>
    </row>
    <row r="382" spans="1:6">
      <c r="A382" s="210">
        <v>54129213</v>
      </c>
      <c r="B382" s="202" t="s">
        <v>5615</v>
      </c>
      <c r="C382" s="203" t="s">
        <v>2143</v>
      </c>
      <c r="D382" s="204">
        <v>1</v>
      </c>
      <c r="E382" s="204" t="s">
        <v>235</v>
      </c>
      <c r="F382" s="205">
        <v>7.1557473497473684E-2</v>
      </c>
    </row>
    <row r="383" spans="1:6">
      <c r="A383" s="210">
        <v>61100000</v>
      </c>
      <c r="B383" s="202" t="s">
        <v>2756</v>
      </c>
      <c r="C383" s="203" t="s">
        <v>2143</v>
      </c>
      <c r="D383" s="204">
        <v>1</v>
      </c>
      <c r="E383" s="204" t="s">
        <v>425</v>
      </c>
      <c r="F383" s="205">
        <v>543.45904344436531</v>
      </c>
    </row>
    <row r="384" spans="1:6">
      <c r="A384" s="210">
        <v>61111000</v>
      </c>
      <c r="B384" s="202" t="s">
        <v>426</v>
      </c>
      <c r="C384" s="203" t="s">
        <v>2143</v>
      </c>
      <c r="D384" s="204">
        <v>1</v>
      </c>
      <c r="E384" s="204" t="s">
        <v>425</v>
      </c>
      <c r="F384" s="205">
        <v>616.54885043640843</v>
      </c>
    </row>
    <row r="385" spans="1:6">
      <c r="A385" s="210">
        <v>61112000</v>
      </c>
      <c r="B385" s="202" t="s">
        <v>427</v>
      </c>
      <c r="C385" s="203" t="s">
        <v>2143</v>
      </c>
      <c r="D385" s="204">
        <v>1</v>
      </c>
      <c r="E385" s="204" t="s">
        <v>425</v>
      </c>
      <c r="F385" s="205">
        <v>239.12738072658567</v>
      </c>
    </row>
    <row r="386" spans="1:6">
      <c r="A386" s="210">
        <v>62100000</v>
      </c>
      <c r="B386" s="202" t="s">
        <v>2760</v>
      </c>
      <c r="C386" s="203" t="s">
        <v>2143</v>
      </c>
      <c r="D386" s="204">
        <v>1</v>
      </c>
      <c r="E386" s="204" t="s">
        <v>425</v>
      </c>
      <c r="F386" s="205">
        <v>1028.1748041473429</v>
      </c>
    </row>
    <row r="387" spans="1:6">
      <c r="A387" s="210">
        <v>62111000</v>
      </c>
      <c r="B387" s="202" t="s">
        <v>428</v>
      </c>
      <c r="C387" s="203" t="s">
        <v>2143</v>
      </c>
      <c r="D387" s="204">
        <v>1</v>
      </c>
      <c r="E387" s="204" t="s">
        <v>425</v>
      </c>
      <c r="F387" s="205">
        <v>1028.1748041473429</v>
      </c>
    </row>
    <row r="388" spans="1:6">
      <c r="A388" s="210">
        <v>62200000</v>
      </c>
      <c r="B388" s="202" t="s">
        <v>2763</v>
      </c>
      <c r="C388" s="203" t="s">
        <v>2143</v>
      </c>
      <c r="D388" s="204">
        <v>1</v>
      </c>
      <c r="E388" s="204" t="s">
        <v>425</v>
      </c>
      <c r="F388" s="205">
        <v>798.33051683744361</v>
      </c>
    </row>
    <row r="389" spans="1:6">
      <c r="A389" s="210">
        <v>62211000</v>
      </c>
      <c r="B389" s="202" t="s">
        <v>429</v>
      </c>
      <c r="C389" s="203" t="s">
        <v>2143</v>
      </c>
      <c r="D389" s="204">
        <v>1</v>
      </c>
      <c r="E389" s="204" t="s">
        <v>425</v>
      </c>
      <c r="F389" s="205">
        <v>798.67129608600317</v>
      </c>
    </row>
    <row r="390" spans="1:6">
      <c r="A390" s="210">
        <v>62212000</v>
      </c>
      <c r="B390" s="202" t="s">
        <v>430</v>
      </c>
      <c r="C390" s="203" t="s">
        <v>2143</v>
      </c>
      <c r="D390" s="204">
        <v>1</v>
      </c>
      <c r="E390" s="204" t="s">
        <v>425</v>
      </c>
      <c r="F390" s="205">
        <v>776.36496063434424</v>
      </c>
    </row>
    <row r="391" spans="1:6">
      <c r="A391" s="210">
        <v>62300000</v>
      </c>
      <c r="B391" s="202" t="s">
        <v>2767</v>
      </c>
      <c r="C391" s="203" t="s">
        <v>2143</v>
      </c>
      <c r="D391" s="204">
        <v>1</v>
      </c>
      <c r="E391" s="204" t="s">
        <v>425</v>
      </c>
      <c r="F391" s="205">
        <v>961.8912296873923</v>
      </c>
    </row>
    <row r="392" spans="1:6">
      <c r="A392" s="210">
        <v>62311000</v>
      </c>
      <c r="B392" s="202" t="s">
        <v>431</v>
      </c>
      <c r="C392" s="203" t="s">
        <v>2143</v>
      </c>
      <c r="D392" s="204">
        <v>1</v>
      </c>
      <c r="E392" s="204" t="s">
        <v>425</v>
      </c>
      <c r="F392" s="205">
        <v>894.58051209112909</v>
      </c>
    </row>
    <row r="393" spans="1:6">
      <c r="A393" s="210">
        <v>62312000</v>
      </c>
      <c r="B393" s="202" t="s">
        <v>432</v>
      </c>
      <c r="C393" s="203" t="s">
        <v>2143</v>
      </c>
      <c r="D393" s="204">
        <v>1</v>
      </c>
      <c r="E393" s="204" t="s">
        <v>425</v>
      </c>
      <c r="F393" s="205">
        <v>986.72834943171665</v>
      </c>
    </row>
    <row r="394" spans="1:6">
      <c r="A394" s="210">
        <v>62400000</v>
      </c>
      <c r="B394" s="202" t="s">
        <v>2771</v>
      </c>
      <c r="C394" s="203" t="s">
        <v>2143</v>
      </c>
      <c r="D394" s="204">
        <v>1</v>
      </c>
      <c r="E394" s="204" t="s">
        <v>425</v>
      </c>
      <c r="F394" s="205">
        <v>818.91666123318964</v>
      </c>
    </row>
    <row r="395" spans="1:6">
      <c r="A395" s="210">
        <v>62411000</v>
      </c>
      <c r="B395" s="202" t="s">
        <v>433</v>
      </c>
      <c r="C395" s="203" t="s">
        <v>2143</v>
      </c>
      <c r="D395" s="204">
        <v>1</v>
      </c>
      <c r="E395" s="204" t="s">
        <v>425</v>
      </c>
      <c r="F395" s="205">
        <v>818.91666123318964</v>
      </c>
    </row>
    <row r="396" spans="1:6">
      <c r="A396" s="210">
        <v>63100000</v>
      </c>
      <c r="B396" s="202" t="s">
        <v>2774</v>
      </c>
      <c r="C396" s="203" t="s">
        <v>2143</v>
      </c>
      <c r="D396" s="204">
        <v>1</v>
      </c>
      <c r="E396" s="204" t="s">
        <v>425</v>
      </c>
      <c r="F396" s="205">
        <v>322.32755144224734</v>
      </c>
    </row>
    <row r="397" spans="1:6">
      <c r="A397" s="210">
        <v>63111000</v>
      </c>
      <c r="B397" s="202" t="s">
        <v>434</v>
      </c>
      <c r="C397" s="203" t="s">
        <v>2143</v>
      </c>
      <c r="D397" s="204">
        <v>1</v>
      </c>
      <c r="E397" s="204" t="s">
        <v>425</v>
      </c>
      <c r="F397" s="205">
        <v>322.32755144224734</v>
      </c>
    </row>
    <row r="398" spans="1:6">
      <c r="A398" s="210">
        <v>63200000</v>
      </c>
      <c r="B398" s="202" t="s">
        <v>2777</v>
      </c>
      <c r="C398" s="203" t="s">
        <v>2143</v>
      </c>
      <c r="D398" s="204">
        <v>1</v>
      </c>
      <c r="E398" s="204" t="s">
        <v>425</v>
      </c>
      <c r="F398" s="205">
        <v>519.79799011208206</v>
      </c>
    </row>
    <row r="399" spans="1:6">
      <c r="A399" s="210">
        <v>63211000</v>
      </c>
      <c r="B399" s="202" t="s">
        <v>435</v>
      </c>
      <c r="C399" s="203" t="s">
        <v>2143</v>
      </c>
      <c r="D399" s="204">
        <v>1</v>
      </c>
      <c r="E399" s="204" t="s">
        <v>425</v>
      </c>
      <c r="F399" s="205">
        <v>519.79799011208206</v>
      </c>
    </row>
    <row r="400" spans="1:6">
      <c r="A400" s="210">
        <v>64100000</v>
      </c>
      <c r="B400" s="202" t="s">
        <v>2780</v>
      </c>
      <c r="C400" s="203" t="s">
        <v>2143</v>
      </c>
      <c r="D400" s="204">
        <v>1</v>
      </c>
      <c r="E400" s="204" t="s">
        <v>425</v>
      </c>
      <c r="F400" s="205">
        <v>563.3414967568433</v>
      </c>
    </row>
    <row r="401" spans="1:6">
      <c r="A401" s="210">
        <v>64111000</v>
      </c>
      <c r="B401" s="202" t="s">
        <v>436</v>
      </c>
      <c r="C401" s="203" t="s">
        <v>2143</v>
      </c>
      <c r="D401" s="204">
        <v>1</v>
      </c>
      <c r="E401" s="204" t="s">
        <v>425</v>
      </c>
      <c r="F401" s="205">
        <v>563.3414967568433</v>
      </c>
    </row>
    <row r="402" spans="1:6">
      <c r="A402" s="210">
        <v>64200000</v>
      </c>
      <c r="B402" s="202" t="s">
        <v>2783</v>
      </c>
      <c r="C402" s="203" t="s">
        <v>2143</v>
      </c>
      <c r="D402" s="204">
        <v>1</v>
      </c>
      <c r="E402" s="204" t="s">
        <v>425</v>
      </c>
      <c r="F402" s="205">
        <v>1316.6568619501541</v>
      </c>
    </row>
    <row r="403" spans="1:6">
      <c r="A403" s="210">
        <v>64211000</v>
      </c>
      <c r="B403" s="202" t="s">
        <v>437</v>
      </c>
      <c r="C403" s="203" t="s">
        <v>2143</v>
      </c>
      <c r="D403" s="204">
        <v>1</v>
      </c>
      <c r="E403" s="204" t="s">
        <v>425</v>
      </c>
      <c r="F403" s="205">
        <v>1316.6568619501541</v>
      </c>
    </row>
    <row r="404" spans="1:6">
      <c r="A404" s="210">
        <v>64300000</v>
      </c>
      <c r="B404" s="202" t="s">
        <v>2786</v>
      </c>
      <c r="C404" s="203" t="s">
        <v>2143</v>
      </c>
      <c r="D404" s="204">
        <v>1</v>
      </c>
      <c r="E404" s="204" t="s">
        <v>425</v>
      </c>
      <c r="F404" s="205">
        <v>568.13885895869566</v>
      </c>
    </row>
    <row r="405" spans="1:6">
      <c r="A405" s="210">
        <v>64311000</v>
      </c>
      <c r="B405" s="202" t="s">
        <v>438</v>
      </c>
      <c r="C405" s="203" t="s">
        <v>2143</v>
      </c>
      <c r="D405" s="204">
        <v>1</v>
      </c>
      <c r="E405" s="204" t="s">
        <v>425</v>
      </c>
      <c r="F405" s="205">
        <v>568.13885895869566</v>
      </c>
    </row>
    <row r="406" spans="1:6">
      <c r="A406" s="210">
        <v>64400000</v>
      </c>
      <c r="B406" s="202" t="s">
        <v>2789</v>
      </c>
      <c r="C406" s="203" t="s">
        <v>2143</v>
      </c>
      <c r="D406" s="204">
        <v>1</v>
      </c>
      <c r="E406" s="204" t="s">
        <v>425</v>
      </c>
      <c r="F406" s="205">
        <v>901.04449693379684</v>
      </c>
    </row>
    <row r="407" spans="1:6">
      <c r="A407" s="210">
        <v>64411000</v>
      </c>
      <c r="B407" s="202" t="s">
        <v>440</v>
      </c>
      <c r="C407" s="203" t="s">
        <v>2143</v>
      </c>
      <c r="D407" s="204">
        <v>1</v>
      </c>
      <c r="E407" s="204" t="s">
        <v>425</v>
      </c>
      <c r="F407" s="205">
        <v>901.04449693379684</v>
      </c>
    </row>
    <row r="408" spans="1:6">
      <c r="A408" s="210">
        <v>64500000</v>
      </c>
      <c r="B408" s="202" t="s">
        <v>2792</v>
      </c>
      <c r="C408" s="203" t="s">
        <v>2143</v>
      </c>
      <c r="D408" s="204">
        <v>1</v>
      </c>
      <c r="E408" s="204" t="s">
        <v>425</v>
      </c>
      <c r="F408" s="205">
        <v>1069.4672946189812</v>
      </c>
    </row>
    <row r="409" spans="1:6">
      <c r="A409" s="210">
        <v>64511000</v>
      </c>
      <c r="B409" s="202" t="s">
        <v>439</v>
      </c>
      <c r="C409" s="203" t="s">
        <v>2143</v>
      </c>
      <c r="D409" s="204">
        <v>1</v>
      </c>
      <c r="E409" s="204" t="s">
        <v>425</v>
      </c>
      <c r="F409" s="205">
        <v>1069.4672946189812</v>
      </c>
    </row>
    <row r="410" spans="1:6">
      <c r="A410" s="210">
        <v>64600000</v>
      </c>
      <c r="B410" s="202" t="s">
        <v>2795</v>
      </c>
      <c r="C410" s="203" t="s">
        <v>2143</v>
      </c>
      <c r="D410" s="204">
        <v>1</v>
      </c>
      <c r="E410" s="204" t="s">
        <v>425</v>
      </c>
      <c r="F410" s="205">
        <v>507.30677764560892</v>
      </c>
    </row>
    <row r="411" spans="1:6">
      <c r="A411" s="210">
        <v>64611000</v>
      </c>
      <c r="B411" s="202" t="s">
        <v>441</v>
      </c>
      <c r="C411" s="203" t="s">
        <v>2143</v>
      </c>
      <c r="D411" s="204">
        <v>1</v>
      </c>
      <c r="E411" s="204" t="s">
        <v>425</v>
      </c>
      <c r="F411" s="205">
        <v>507.30677764560892</v>
      </c>
    </row>
    <row r="412" spans="1:6">
      <c r="A412" s="210">
        <v>64700000</v>
      </c>
      <c r="B412" s="202" t="s">
        <v>2798</v>
      </c>
      <c r="C412" s="203" t="s">
        <v>2143</v>
      </c>
      <c r="D412" s="204">
        <v>1</v>
      </c>
      <c r="E412" s="204" t="s">
        <v>425</v>
      </c>
      <c r="F412" s="205">
        <v>713.72527438981842</v>
      </c>
    </row>
    <row r="413" spans="1:6">
      <c r="A413" s="210">
        <v>64711000</v>
      </c>
      <c r="B413" s="202" t="s">
        <v>442</v>
      </c>
      <c r="C413" s="203" t="s">
        <v>2143</v>
      </c>
      <c r="D413" s="204">
        <v>1</v>
      </c>
      <c r="E413" s="204" t="s">
        <v>425</v>
      </c>
      <c r="F413" s="205">
        <v>713.72527438981842</v>
      </c>
    </row>
    <row r="414" spans="1:6">
      <c r="A414" s="210">
        <v>64800000</v>
      </c>
      <c r="B414" s="202" t="s">
        <v>2801</v>
      </c>
      <c r="C414" s="203" t="s">
        <v>2143</v>
      </c>
      <c r="D414" s="204">
        <v>1</v>
      </c>
      <c r="E414" s="204" t="s">
        <v>425</v>
      </c>
      <c r="F414" s="205">
        <v>792.25227841189553</v>
      </c>
    </row>
    <row r="415" spans="1:6">
      <c r="A415" s="210">
        <v>64811000</v>
      </c>
      <c r="B415" s="202" t="s">
        <v>443</v>
      </c>
      <c r="C415" s="203" t="s">
        <v>2143</v>
      </c>
      <c r="D415" s="204">
        <v>1</v>
      </c>
      <c r="E415" s="204" t="s">
        <v>425</v>
      </c>
      <c r="F415" s="205">
        <v>792.25227841189553</v>
      </c>
    </row>
    <row r="416" spans="1:6">
      <c r="A416" s="210">
        <v>71100000</v>
      </c>
      <c r="B416" s="202" t="s">
        <v>5616</v>
      </c>
      <c r="C416" s="203" t="s">
        <v>2143</v>
      </c>
      <c r="D416" s="204">
        <v>1</v>
      </c>
      <c r="E416" s="204" t="s">
        <v>2013</v>
      </c>
      <c r="F416" s="205">
        <v>4.9830927811412729E-3</v>
      </c>
    </row>
    <row r="417" spans="1:6">
      <c r="A417" s="210">
        <v>71111000</v>
      </c>
      <c r="B417" s="202" t="s">
        <v>444</v>
      </c>
      <c r="C417" s="203" t="s">
        <v>2143</v>
      </c>
      <c r="D417" s="204">
        <v>1</v>
      </c>
      <c r="E417" s="204" t="s">
        <v>2013</v>
      </c>
      <c r="F417" s="205">
        <v>4.9830927811412729E-3</v>
      </c>
    </row>
    <row r="418" spans="1:6">
      <c r="A418" s="210">
        <v>71200000</v>
      </c>
      <c r="B418" s="202" t="s">
        <v>5617</v>
      </c>
      <c r="C418" s="203" t="s">
        <v>2143</v>
      </c>
      <c r="D418" s="204">
        <v>1</v>
      </c>
      <c r="E418" s="204" t="s">
        <v>2013</v>
      </c>
      <c r="F418" s="205">
        <v>6.2201864604820465E-3</v>
      </c>
    </row>
    <row r="419" spans="1:6">
      <c r="A419" s="210">
        <v>71211000</v>
      </c>
      <c r="B419" s="202" t="s">
        <v>445</v>
      </c>
      <c r="C419" s="203" t="s">
        <v>2143</v>
      </c>
      <c r="D419" s="204">
        <v>1</v>
      </c>
      <c r="E419" s="204" t="s">
        <v>2013</v>
      </c>
      <c r="F419" s="205">
        <v>6.2201864604820465E-3</v>
      </c>
    </row>
    <row r="420" spans="1:6">
      <c r="A420" s="210">
        <v>72100000</v>
      </c>
      <c r="B420" s="202" t="s">
        <v>5618</v>
      </c>
      <c r="C420" s="203" t="s">
        <v>2143</v>
      </c>
      <c r="D420" s="204">
        <v>1</v>
      </c>
      <c r="E420" s="204" t="s">
        <v>2013</v>
      </c>
      <c r="F420" s="205">
        <v>2.1985056884841923E-3</v>
      </c>
    </row>
    <row r="421" spans="1:6">
      <c r="A421" s="210">
        <v>72111000</v>
      </c>
      <c r="B421" s="202" t="s">
        <v>5619</v>
      </c>
      <c r="C421" s="203" t="s">
        <v>2143</v>
      </c>
      <c r="D421" s="204">
        <v>1</v>
      </c>
      <c r="E421" s="204" t="s">
        <v>2013</v>
      </c>
      <c r="F421" s="205">
        <v>4.2835312935147925E-3</v>
      </c>
    </row>
    <row r="422" spans="1:6">
      <c r="A422" s="210">
        <v>72112000</v>
      </c>
      <c r="B422" s="202" t="s">
        <v>5620</v>
      </c>
      <c r="C422" s="203" t="s">
        <v>2143</v>
      </c>
      <c r="D422" s="204">
        <v>1</v>
      </c>
      <c r="E422" s="204" t="s">
        <v>2013</v>
      </c>
      <c r="F422" s="205">
        <v>3.4015570267860763E-3</v>
      </c>
    </row>
    <row r="423" spans="1:6">
      <c r="A423" s="210">
        <v>72113000</v>
      </c>
      <c r="B423" s="202" t="s">
        <v>5621</v>
      </c>
      <c r="C423" s="203" t="s">
        <v>2143</v>
      </c>
      <c r="D423" s="204">
        <v>1</v>
      </c>
      <c r="E423" s="204" t="s">
        <v>2013</v>
      </c>
      <c r="F423" s="205">
        <v>4.5345742407057613E-3</v>
      </c>
    </row>
    <row r="424" spans="1:6">
      <c r="A424" s="210">
        <v>72114000</v>
      </c>
      <c r="B424" s="202" t="s">
        <v>5622</v>
      </c>
      <c r="C424" s="203" t="s">
        <v>2143</v>
      </c>
      <c r="D424" s="204">
        <v>1</v>
      </c>
      <c r="E424" s="204" t="s">
        <v>2013</v>
      </c>
      <c r="F424" s="205">
        <v>3.8408053191000997E-3</v>
      </c>
    </row>
    <row r="425" spans="1:6">
      <c r="A425" s="210">
        <v>72200000</v>
      </c>
      <c r="B425" s="202" t="s">
        <v>5623</v>
      </c>
      <c r="C425" s="203" t="s">
        <v>2143</v>
      </c>
      <c r="D425" s="204">
        <v>1</v>
      </c>
      <c r="E425" s="204" t="s">
        <v>2013</v>
      </c>
      <c r="F425" s="205">
        <v>3.8753004484119533E-3</v>
      </c>
    </row>
    <row r="426" spans="1:6">
      <c r="A426" s="210">
        <v>72211000</v>
      </c>
      <c r="B426" s="202" t="s">
        <v>446</v>
      </c>
      <c r="C426" s="203" t="s">
        <v>2143</v>
      </c>
      <c r="D426" s="204">
        <v>1</v>
      </c>
      <c r="E426" s="204" t="s">
        <v>2013</v>
      </c>
      <c r="F426" s="205">
        <v>3.8753004484119533E-3</v>
      </c>
    </row>
    <row r="427" spans="1:6">
      <c r="A427" s="210">
        <v>72300000</v>
      </c>
      <c r="B427" s="202" t="s">
        <v>5624</v>
      </c>
      <c r="C427" s="203" t="s">
        <v>2143</v>
      </c>
      <c r="D427" s="204">
        <v>1</v>
      </c>
      <c r="E427" s="204" t="s">
        <v>2013</v>
      </c>
      <c r="F427" s="205">
        <v>4.9796815826887025E-3</v>
      </c>
    </row>
    <row r="428" spans="1:6">
      <c r="A428" s="210">
        <v>72311000</v>
      </c>
      <c r="B428" s="202" t="s">
        <v>447</v>
      </c>
      <c r="C428" s="203" t="s">
        <v>2143</v>
      </c>
      <c r="D428" s="204">
        <v>1</v>
      </c>
      <c r="E428" s="204" t="s">
        <v>2013</v>
      </c>
      <c r="F428" s="205">
        <v>4.9796815826887025E-3</v>
      </c>
    </row>
    <row r="429" spans="1:6">
      <c r="A429" s="210">
        <v>72400000</v>
      </c>
      <c r="B429" s="202" t="s">
        <v>5625</v>
      </c>
      <c r="C429" s="203" t="s">
        <v>2143</v>
      </c>
      <c r="D429" s="204">
        <v>1</v>
      </c>
      <c r="E429" s="204" t="s">
        <v>2013</v>
      </c>
      <c r="F429" s="205">
        <v>4.7520795211824732E-3</v>
      </c>
    </row>
    <row r="430" spans="1:6">
      <c r="A430" s="210">
        <v>72411000</v>
      </c>
      <c r="B430" s="202" t="s">
        <v>448</v>
      </c>
      <c r="C430" s="203" t="s">
        <v>2143</v>
      </c>
      <c r="D430" s="204">
        <v>1</v>
      </c>
      <c r="E430" s="204" t="s">
        <v>2013</v>
      </c>
      <c r="F430" s="205">
        <v>4.7520795211824732E-3</v>
      </c>
    </row>
    <row r="431" spans="1:6">
      <c r="A431" s="210">
        <v>72500000</v>
      </c>
      <c r="B431" s="202" t="s">
        <v>5626</v>
      </c>
      <c r="C431" s="203" t="s">
        <v>2143</v>
      </c>
      <c r="D431" s="204">
        <v>1</v>
      </c>
      <c r="E431" s="204" t="s">
        <v>2013</v>
      </c>
      <c r="F431" s="205">
        <v>5.0957719710347273E-3</v>
      </c>
    </row>
    <row r="432" spans="1:6">
      <c r="A432" s="210">
        <v>72511000</v>
      </c>
      <c r="B432" s="202" t="s">
        <v>5627</v>
      </c>
      <c r="C432" s="203" t="s">
        <v>2143</v>
      </c>
      <c r="D432" s="204">
        <v>1</v>
      </c>
      <c r="E432" s="204" t="s">
        <v>2013</v>
      </c>
      <c r="F432" s="205">
        <v>5.0957719710347273E-3</v>
      </c>
    </row>
    <row r="433" spans="1:6">
      <c r="A433" s="210">
        <v>72600000</v>
      </c>
      <c r="B433" s="202" t="s">
        <v>5628</v>
      </c>
      <c r="C433" s="203" t="s">
        <v>2143</v>
      </c>
      <c r="D433" s="204">
        <v>1</v>
      </c>
      <c r="E433" s="204" t="s">
        <v>2013</v>
      </c>
      <c r="F433" s="205">
        <v>3.1857372230845414E-3</v>
      </c>
    </row>
    <row r="434" spans="1:6">
      <c r="A434" s="210">
        <v>72611000</v>
      </c>
      <c r="B434" s="202" t="s">
        <v>449</v>
      </c>
      <c r="C434" s="203" t="s">
        <v>2143</v>
      </c>
      <c r="D434" s="204">
        <v>1</v>
      </c>
      <c r="E434" s="204" t="s">
        <v>2013</v>
      </c>
      <c r="F434" s="205">
        <v>3.1857372230845414E-3</v>
      </c>
    </row>
    <row r="435" spans="1:6">
      <c r="A435" s="210">
        <v>72700000</v>
      </c>
      <c r="B435" s="202" t="s">
        <v>5629</v>
      </c>
      <c r="C435" s="203" t="s">
        <v>2143</v>
      </c>
      <c r="D435" s="204">
        <v>1</v>
      </c>
      <c r="E435" s="204" t="s">
        <v>2013</v>
      </c>
      <c r="F435" s="205">
        <v>4.7287286068248367E-3</v>
      </c>
    </row>
    <row r="436" spans="1:6">
      <c r="A436" s="210">
        <v>72711000</v>
      </c>
      <c r="B436" s="202" t="s">
        <v>450</v>
      </c>
      <c r="C436" s="203" t="s">
        <v>2143</v>
      </c>
      <c r="D436" s="204">
        <v>1</v>
      </c>
      <c r="E436" s="204" t="s">
        <v>2013</v>
      </c>
      <c r="F436" s="205">
        <v>4.7287286068248367E-3</v>
      </c>
    </row>
    <row r="437" spans="1:6">
      <c r="A437" s="210">
        <v>73100000</v>
      </c>
      <c r="B437" s="202" t="s">
        <v>5630</v>
      </c>
      <c r="C437" s="203" t="s">
        <v>2143</v>
      </c>
      <c r="D437" s="204">
        <v>1</v>
      </c>
      <c r="E437" s="204" t="s">
        <v>2013</v>
      </c>
      <c r="F437" s="205">
        <v>6.0436875988922134E-3</v>
      </c>
    </row>
    <row r="438" spans="1:6">
      <c r="A438" s="210">
        <v>73111000</v>
      </c>
      <c r="B438" s="202" t="s">
        <v>451</v>
      </c>
      <c r="C438" s="203" t="s">
        <v>2143</v>
      </c>
      <c r="D438" s="204">
        <v>1</v>
      </c>
      <c r="E438" s="204" t="s">
        <v>2013</v>
      </c>
      <c r="F438" s="205">
        <v>6.0436875988922134E-3</v>
      </c>
    </row>
    <row r="439" spans="1:6">
      <c r="A439" s="210">
        <v>79100000</v>
      </c>
      <c r="B439" s="202" t="s">
        <v>5631</v>
      </c>
      <c r="C439" s="203" t="s">
        <v>2143</v>
      </c>
      <c r="D439" s="204">
        <v>1</v>
      </c>
      <c r="E439" s="204" t="s">
        <v>2013</v>
      </c>
      <c r="F439" s="205">
        <v>6.1808085541555473E-3</v>
      </c>
    </row>
    <row r="440" spans="1:6">
      <c r="A440" s="210">
        <v>79111000</v>
      </c>
      <c r="B440" s="202" t="s">
        <v>452</v>
      </c>
      <c r="C440" s="203" t="s">
        <v>2143</v>
      </c>
      <c r="D440" s="204">
        <v>1</v>
      </c>
      <c r="E440" s="204" t="s">
        <v>2013</v>
      </c>
      <c r="F440" s="205">
        <v>6.1808085541555473E-3</v>
      </c>
    </row>
    <row r="441" spans="1:6">
      <c r="A441" s="210">
        <v>79200000</v>
      </c>
      <c r="B441" s="202" t="s">
        <v>5632</v>
      </c>
      <c r="C441" s="203" t="s">
        <v>2143</v>
      </c>
      <c r="D441" s="204">
        <v>1</v>
      </c>
      <c r="E441" s="204" t="s">
        <v>2013</v>
      </c>
      <c r="F441" s="205">
        <v>4.5673493083559294E-3</v>
      </c>
    </row>
    <row r="442" spans="1:6">
      <c r="A442" s="210">
        <v>79211000</v>
      </c>
      <c r="B442" s="202" t="s">
        <v>453</v>
      </c>
      <c r="C442" s="203" t="s">
        <v>2143</v>
      </c>
      <c r="D442" s="204">
        <v>1</v>
      </c>
      <c r="E442" s="204" t="s">
        <v>2013</v>
      </c>
      <c r="F442" s="205">
        <v>4.5673493083559294E-3</v>
      </c>
    </row>
    <row r="443" spans="1:6">
      <c r="A443" s="210">
        <v>79300000</v>
      </c>
      <c r="B443" s="202" t="s">
        <v>5633</v>
      </c>
      <c r="C443" s="203" t="s">
        <v>2143</v>
      </c>
      <c r="D443" s="204">
        <v>1</v>
      </c>
      <c r="E443" s="204" t="s">
        <v>2013</v>
      </c>
      <c r="F443" s="205">
        <v>3.4103722819600162E-3</v>
      </c>
    </row>
    <row r="444" spans="1:6">
      <c r="A444" s="210">
        <v>79311000</v>
      </c>
      <c r="B444" s="202" t="s">
        <v>454</v>
      </c>
      <c r="C444" s="203" t="s">
        <v>2143</v>
      </c>
      <c r="D444" s="204">
        <v>1</v>
      </c>
      <c r="E444" s="204" t="s">
        <v>2013</v>
      </c>
      <c r="F444" s="205">
        <v>3.4103722819600162E-3</v>
      </c>
    </row>
    <row r="445" spans="1:6">
      <c r="A445" s="210">
        <v>79400000</v>
      </c>
      <c r="B445" s="202" t="s">
        <v>5634</v>
      </c>
      <c r="C445" s="203" t="s">
        <v>2143</v>
      </c>
      <c r="D445" s="204">
        <v>1</v>
      </c>
      <c r="E445" s="204" t="s">
        <v>2013</v>
      </c>
      <c r="F445" s="205">
        <v>5.1059495521134247E-3</v>
      </c>
    </row>
    <row r="446" spans="1:6">
      <c r="A446" s="210">
        <v>79411000</v>
      </c>
      <c r="B446" s="202" t="s">
        <v>455</v>
      </c>
      <c r="C446" s="203" t="s">
        <v>2143</v>
      </c>
      <c r="D446" s="204">
        <v>1</v>
      </c>
      <c r="E446" s="204" t="s">
        <v>2013</v>
      </c>
      <c r="F446" s="205">
        <v>5.104130614463194E-3</v>
      </c>
    </row>
    <row r="447" spans="1:6">
      <c r="A447" s="210">
        <v>79412000</v>
      </c>
      <c r="B447" s="202" t="s">
        <v>456</v>
      </c>
      <c r="C447" s="203" t="s">
        <v>2143</v>
      </c>
      <c r="D447" s="204">
        <v>1</v>
      </c>
      <c r="E447" s="204" t="s">
        <v>2013</v>
      </c>
      <c r="F447" s="205">
        <v>4.8221530898127207E-3</v>
      </c>
    </row>
    <row r="448" spans="1:6">
      <c r="A448" s="210">
        <v>79413000</v>
      </c>
      <c r="B448" s="202" t="s">
        <v>458</v>
      </c>
      <c r="C448" s="203" t="s">
        <v>2143</v>
      </c>
      <c r="D448" s="204">
        <v>1</v>
      </c>
      <c r="E448" s="204" t="s">
        <v>2013</v>
      </c>
      <c r="F448" s="205">
        <v>5.1557458706413279E-3</v>
      </c>
    </row>
    <row r="449" spans="1:6">
      <c r="A449" s="210">
        <v>79413101</v>
      </c>
      <c r="B449" s="202" t="s">
        <v>5635</v>
      </c>
      <c r="C449" s="203" t="s">
        <v>2143</v>
      </c>
      <c r="D449" s="204">
        <v>1</v>
      </c>
      <c r="E449" s="204" t="s">
        <v>235</v>
      </c>
      <c r="F449" s="205">
        <v>1.9947288158795463E-2</v>
      </c>
    </row>
    <row r="450" spans="1:6">
      <c r="A450" s="210">
        <v>79900000</v>
      </c>
      <c r="B450" s="202" t="s">
        <v>2804</v>
      </c>
      <c r="C450" s="203" t="s">
        <v>2143</v>
      </c>
      <c r="D450" s="204">
        <v>1</v>
      </c>
      <c r="E450" s="204" t="s">
        <v>2013</v>
      </c>
      <c r="F450" s="205">
        <v>1.0038797871626847E-3</v>
      </c>
    </row>
    <row r="451" spans="1:6">
      <c r="A451" s="210">
        <v>79911000</v>
      </c>
      <c r="B451" s="202" t="s">
        <v>457</v>
      </c>
      <c r="C451" s="203" t="s">
        <v>2143</v>
      </c>
      <c r="D451" s="204">
        <v>1</v>
      </c>
      <c r="E451" s="204" t="s">
        <v>2013</v>
      </c>
      <c r="F451" s="205">
        <v>1.0038797871626847E-3</v>
      </c>
    </row>
    <row r="452" spans="1:6">
      <c r="A452" s="210">
        <v>91100000</v>
      </c>
      <c r="B452" s="202" t="s">
        <v>2807</v>
      </c>
      <c r="C452" s="203" t="s">
        <v>2143</v>
      </c>
      <c r="D452" s="204">
        <v>1</v>
      </c>
      <c r="E452" s="204" t="s">
        <v>235</v>
      </c>
      <c r="F452" s="205">
        <v>7.15656539780068</v>
      </c>
    </row>
    <row r="453" spans="1:6">
      <c r="A453" s="210">
        <v>91111000</v>
      </c>
      <c r="B453" s="202" t="s">
        <v>2809</v>
      </c>
      <c r="C453" s="203" t="s">
        <v>2143</v>
      </c>
      <c r="D453" s="204">
        <v>1</v>
      </c>
      <c r="E453" s="204" t="s">
        <v>235</v>
      </c>
      <c r="F453" s="205">
        <v>7.1044977282967707</v>
      </c>
    </row>
    <row r="454" spans="1:6">
      <c r="A454" s="210">
        <v>91111200</v>
      </c>
      <c r="B454" s="202" t="s">
        <v>2811</v>
      </c>
      <c r="C454" s="203" t="s">
        <v>2143</v>
      </c>
      <c r="D454" s="204">
        <v>1</v>
      </c>
      <c r="E454" s="204" t="s">
        <v>235</v>
      </c>
      <c r="F454" s="205">
        <v>21.224234219063934</v>
      </c>
    </row>
    <row r="455" spans="1:6">
      <c r="A455" s="210">
        <v>91111201</v>
      </c>
      <c r="B455" s="202" t="s">
        <v>2813</v>
      </c>
      <c r="C455" s="203" t="s">
        <v>2143</v>
      </c>
      <c r="D455" s="204">
        <v>1</v>
      </c>
      <c r="E455" s="204" t="s">
        <v>235</v>
      </c>
      <c r="F455" s="205">
        <v>6.2747632304241137</v>
      </c>
    </row>
    <row r="456" spans="1:6">
      <c r="A456" s="210">
        <v>91111202</v>
      </c>
      <c r="B456" s="202" t="s">
        <v>2815</v>
      </c>
      <c r="C456" s="203" t="s">
        <v>2143</v>
      </c>
      <c r="D456" s="204">
        <v>1</v>
      </c>
      <c r="E456" s="204" t="s">
        <v>235</v>
      </c>
      <c r="F456" s="205">
        <v>4.3076262125614413</v>
      </c>
    </row>
    <row r="457" spans="1:6">
      <c r="A457" s="210">
        <v>91111203</v>
      </c>
      <c r="B457" s="202" t="s">
        <v>2817</v>
      </c>
      <c r="C457" s="203" t="s">
        <v>2143</v>
      </c>
      <c r="D457" s="204">
        <v>1</v>
      </c>
      <c r="E457" s="204" t="s">
        <v>235</v>
      </c>
      <c r="F457" s="205">
        <v>15.091680376134015</v>
      </c>
    </row>
    <row r="458" spans="1:6">
      <c r="A458" s="210">
        <v>91111204</v>
      </c>
      <c r="B458" s="202" t="s">
        <v>2819</v>
      </c>
      <c r="C458" s="203" t="s">
        <v>2143</v>
      </c>
      <c r="D458" s="204">
        <v>1</v>
      </c>
      <c r="E458" s="204" t="s">
        <v>235</v>
      </c>
      <c r="F458" s="205">
        <v>10.641775027965313</v>
      </c>
    </row>
    <row r="459" spans="1:6">
      <c r="A459" s="210">
        <v>91111610</v>
      </c>
      <c r="B459" s="202" t="s">
        <v>5636</v>
      </c>
      <c r="C459" s="203" t="s">
        <v>5553</v>
      </c>
      <c r="D459" s="204">
        <v>1</v>
      </c>
      <c r="E459" s="204" t="s">
        <v>235</v>
      </c>
      <c r="F459" s="205">
        <v>0</v>
      </c>
    </row>
    <row r="460" spans="1:6">
      <c r="A460" s="210">
        <v>91112000</v>
      </c>
      <c r="B460" s="202" t="s">
        <v>2821</v>
      </c>
      <c r="C460" s="203" t="s">
        <v>2143</v>
      </c>
      <c r="D460" s="204">
        <v>1</v>
      </c>
      <c r="E460" s="204" t="s">
        <v>235</v>
      </c>
      <c r="F460" s="205">
        <v>13.045692676528924</v>
      </c>
    </row>
    <row r="461" spans="1:6">
      <c r="A461" s="210">
        <v>91113000</v>
      </c>
      <c r="B461" s="202" t="s">
        <v>459</v>
      </c>
      <c r="C461" s="203" t="s">
        <v>2143</v>
      </c>
      <c r="D461" s="204">
        <v>1</v>
      </c>
      <c r="E461" s="204" t="s">
        <v>235</v>
      </c>
      <c r="F461" s="205">
        <v>7.4428766653094165</v>
      </c>
    </row>
    <row r="462" spans="1:6">
      <c r="A462" s="210">
        <v>91200000</v>
      </c>
      <c r="B462" s="202" t="s">
        <v>2824</v>
      </c>
      <c r="C462" s="203" t="s">
        <v>2143</v>
      </c>
      <c r="D462" s="204">
        <v>1</v>
      </c>
      <c r="E462" s="204" t="s">
        <v>2013</v>
      </c>
      <c r="F462" s="205">
        <v>7.6891437077599937E-3</v>
      </c>
    </row>
    <row r="463" spans="1:6">
      <c r="A463" s="210">
        <v>91211000</v>
      </c>
      <c r="B463" s="202" t="s">
        <v>460</v>
      </c>
      <c r="C463" s="203" t="s">
        <v>2143</v>
      </c>
      <c r="D463" s="204">
        <v>1</v>
      </c>
      <c r="E463" s="204" t="s">
        <v>235</v>
      </c>
      <c r="F463" s="205">
        <v>6.13584802451415</v>
      </c>
    </row>
    <row r="464" spans="1:6">
      <c r="A464" s="210">
        <v>91212000</v>
      </c>
      <c r="B464" s="202" t="s">
        <v>461</v>
      </c>
      <c r="C464" s="203" t="s">
        <v>2143</v>
      </c>
      <c r="D464" s="204">
        <v>1</v>
      </c>
      <c r="E464" s="204" t="s">
        <v>235</v>
      </c>
      <c r="F464" s="205">
        <v>18.608078061891341</v>
      </c>
    </row>
    <row r="465" spans="1:6">
      <c r="A465" s="210">
        <v>91213000</v>
      </c>
      <c r="B465" s="202" t="s">
        <v>462</v>
      </c>
      <c r="C465" s="203" t="s">
        <v>2143</v>
      </c>
      <c r="D465" s="204">
        <v>1</v>
      </c>
      <c r="E465" s="204" t="s">
        <v>235</v>
      </c>
      <c r="F465" s="205">
        <v>7.7626395321602359</v>
      </c>
    </row>
    <row r="466" spans="1:6">
      <c r="A466" s="210">
        <v>91214000</v>
      </c>
      <c r="B466" s="202" t="s">
        <v>463</v>
      </c>
      <c r="C466" s="203" t="s">
        <v>2143</v>
      </c>
      <c r="D466" s="204">
        <v>1</v>
      </c>
      <c r="E466" s="204" t="s">
        <v>400</v>
      </c>
      <c r="F466" s="205">
        <v>1.7291038099258231</v>
      </c>
    </row>
    <row r="467" spans="1:6">
      <c r="A467" s="210">
        <v>91215000</v>
      </c>
      <c r="B467" s="202" t="s">
        <v>2830</v>
      </c>
      <c r="C467" s="203" t="s">
        <v>2143</v>
      </c>
      <c r="D467" s="204">
        <v>1</v>
      </c>
      <c r="E467" s="204" t="s">
        <v>235</v>
      </c>
      <c r="F467" s="205">
        <v>7.6181327330778839</v>
      </c>
    </row>
    <row r="468" spans="1:6">
      <c r="A468" s="210">
        <v>91216000</v>
      </c>
      <c r="B468" s="202" t="s">
        <v>464</v>
      </c>
      <c r="C468" s="203" t="s">
        <v>2143</v>
      </c>
      <c r="D468" s="204">
        <v>1</v>
      </c>
      <c r="E468" s="204" t="s">
        <v>400</v>
      </c>
      <c r="F468" s="205">
        <v>2.1657915519429731</v>
      </c>
    </row>
    <row r="469" spans="1:6">
      <c r="A469" s="210">
        <v>91217000</v>
      </c>
      <c r="B469" s="202" t="s">
        <v>465</v>
      </c>
      <c r="C469" s="203" t="s">
        <v>2143</v>
      </c>
      <c r="D469" s="204">
        <v>1</v>
      </c>
      <c r="E469" s="204" t="s">
        <v>400</v>
      </c>
      <c r="F469" s="205">
        <v>0.9892823188131552</v>
      </c>
    </row>
    <row r="470" spans="1:6">
      <c r="A470" s="210">
        <v>91219000</v>
      </c>
      <c r="B470" s="202" t="s">
        <v>466</v>
      </c>
      <c r="C470" s="203" t="s">
        <v>2143</v>
      </c>
      <c r="D470" s="204">
        <v>1</v>
      </c>
      <c r="E470" s="204" t="s">
        <v>235</v>
      </c>
      <c r="F470" s="205">
        <v>1.9438481571286788</v>
      </c>
    </row>
    <row r="471" spans="1:6">
      <c r="A471" s="210">
        <v>91900000</v>
      </c>
      <c r="B471" s="202" t="s">
        <v>2835</v>
      </c>
      <c r="C471" s="203" t="s">
        <v>2143</v>
      </c>
      <c r="D471" s="204">
        <v>1</v>
      </c>
      <c r="E471" s="204" t="s">
        <v>235</v>
      </c>
      <c r="F471" s="205">
        <v>6.2473220845629411</v>
      </c>
    </row>
    <row r="472" spans="1:6">
      <c r="A472" s="210">
        <v>91911000</v>
      </c>
      <c r="B472" s="202" t="s">
        <v>467</v>
      </c>
      <c r="C472" s="203" t="s">
        <v>2143</v>
      </c>
      <c r="D472" s="204">
        <v>1</v>
      </c>
      <c r="E472" s="204" t="s">
        <v>235</v>
      </c>
      <c r="F472" s="205">
        <v>3.2182374280720789</v>
      </c>
    </row>
    <row r="473" spans="1:6">
      <c r="A473" s="210">
        <v>91919000</v>
      </c>
      <c r="B473" s="202" t="s">
        <v>2838</v>
      </c>
      <c r="C473" s="203" t="s">
        <v>2143</v>
      </c>
      <c r="D473" s="204">
        <v>1</v>
      </c>
      <c r="E473" s="204" t="s">
        <v>235</v>
      </c>
      <c r="F473" s="205">
        <v>23.79703131270881</v>
      </c>
    </row>
    <row r="474" spans="1:6">
      <c r="A474" s="210">
        <v>92100000</v>
      </c>
      <c r="B474" s="202" t="s">
        <v>2840</v>
      </c>
      <c r="C474" s="203" t="s">
        <v>2143</v>
      </c>
      <c r="D474" s="204">
        <v>1</v>
      </c>
      <c r="E474" s="204" t="s">
        <v>235</v>
      </c>
      <c r="F474" s="205">
        <v>5.6042214765284184</v>
      </c>
    </row>
    <row r="475" spans="1:6">
      <c r="A475" s="210">
        <v>92111000</v>
      </c>
      <c r="B475" s="202" t="s">
        <v>468</v>
      </c>
      <c r="C475" s="203" t="s">
        <v>2143</v>
      </c>
      <c r="D475" s="204">
        <v>1</v>
      </c>
      <c r="E475" s="204" t="s">
        <v>235</v>
      </c>
      <c r="F475" s="205">
        <v>7.1566283513831301</v>
      </c>
    </row>
    <row r="476" spans="1:6">
      <c r="A476" s="210">
        <v>92112000</v>
      </c>
      <c r="B476" s="202" t="s">
        <v>469</v>
      </c>
      <c r="C476" s="203" t="s">
        <v>2143</v>
      </c>
      <c r="D476" s="204">
        <v>1</v>
      </c>
      <c r="E476" s="204" t="s">
        <v>235</v>
      </c>
      <c r="F476" s="205">
        <v>4.0727650996787164</v>
      </c>
    </row>
    <row r="477" spans="1:6">
      <c r="A477" s="210">
        <v>92119000</v>
      </c>
      <c r="B477" s="202" t="s">
        <v>2844</v>
      </c>
      <c r="C477" s="203" t="s">
        <v>2143</v>
      </c>
      <c r="D477" s="204">
        <v>1</v>
      </c>
      <c r="E477" s="204" t="s">
        <v>235</v>
      </c>
      <c r="F477" s="205">
        <v>5.3122812958448291</v>
      </c>
    </row>
    <row r="478" spans="1:6">
      <c r="A478" s="210">
        <v>92200000</v>
      </c>
      <c r="B478" s="202" t="s">
        <v>2846</v>
      </c>
      <c r="C478" s="203" t="s">
        <v>2143</v>
      </c>
      <c r="D478" s="204">
        <v>1</v>
      </c>
      <c r="E478" s="204" t="s">
        <v>2013</v>
      </c>
      <c r="F478" s="205">
        <v>2.4461115584820262E-3</v>
      </c>
    </row>
    <row r="479" spans="1:6">
      <c r="A479" s="210">
        <v>92211000</v>
      </c>
      <c r="B479" s="202" t="s">
        <v>470</v>
      </c>
      <c r="C479" s="203" t="s">
        <v>2143</v>
      </c>
      <c r="D479" s="204">
        <v>1</v>
      </c>
      <c r="E479" s="204" t="s">
        <v>235</v>
      </c>
      <c r="F479" s="205">
        <v>8.5113408865072113</v>
      </c>
    </row>
    <row r="480" spans="1:6">
      <c r="A480" s="210">
        <v>92212000</v>
      </c>
      <c r="B480" s="202" t="s">
        <v>5637</v>
      </c>
      <c r="C480" s="203" t="s">
        <v>2143</v>
      </c>
      <c r="D480" s="204">
        <v>1</v>
      </c>
      <c r="E480" s="204" t="s">
        <v>2013</v>
      </c>
      <c r="F480" s="205">
        <v>2.4494653255668062E-3</v>
      </c>
    </row>
    <row r="481" spans="1:6">
      <c r="A481" s="210">
        <v>92300000</v>
      </c>
      <c r="B481" s="202" t="s">
        <v>2849</v>
      </c>
      <c r="C481" s="203" t="s">
        <v>2143</v>
      </c>
      <c r="D481" s="204">
        <v>1</v>
      </c>
      <c r="E481" s="204" t="s">
        <v>235</v>
      </c>
      <c r="F481" s="205">
        <v>3.1832685354015822</v>
      </c>
    </row>
    <row r="482" spans="1:6">
      <c r="A482" s="210">
        <v>92311000</v>
      </c>
      <c r="B482" s="202" t="s">
        <v>471</v>
      </c>
      <c r="C482" s="203" t="s">
        <v>2143</v>
      </c>
      <c r="D482" s="204">
        <v>1</v>
      </c>
      <c r="E482" s="204" t="s">
        <v>235</v>
      </c>
      <c r="F482" s="205">
        <v>3.1867714830018508</v>
      </c>
    </row>
    <row r="483" spans="1:6">
      <c r="A483" s="210">
        <v>92312000</v>
      </c>
      <c r="B483" s="202" t="s">
        <v>2852</v>
      </c>
      <c r="C483" s="203" t="s">
        <v>2143</v>
      </c>
      <c r="D483" s="204">
        <v>1</v>
      </c>
      <c r="E483" s="204" t="s">
        <v>235</v>
      </c>
      <c r="F483" s="205">
        <v>3.1827834771863235</v>
      </c>
    </row>
    <row r="484" spans="1:6">
      <c r="A484" s="210">
        <v>92400000</v>
      </c>
      <c r="B484" s="202" t="s">
        <v>2854</v>
      </c>
      <c r="C484" s="203" t="s">
        <v>2143</v>
      </c>
      <c r="D484" s="204">
        <v>1</v>
      </c>
      <c r="E484" s="204" t="s">
        <v>235</v>
      </c>
      <c r="F484" s="205">
        <v>2.6131459507679398</v>
      </c>
    </row>
    <row r="485" spans="1:6">
      <c r="A485" s="210">
        <v>92411000</v>
      </c>
      <c r="B485" s="202" t="s">
        <v>472</v>
      </c>
      <c r="C485" s="203" t="s">
        <v>2143</v>
      </c>
      <c r="D485" s="204">
        <v>1</v>
      </c>
      <c r="E485" s="204" t="s">
        <v>235</v>
      </c>
      <c r="F485" s="205">
        <v>2.6131459507679398</v>
      </c>
    </row>
    <row r="486" spans="1:6">
      <c r="A486" s="210">
        <v>92500000</v>
      </c>
      <c r="B486" s="202" t="s">
        <v>2857</v>
      </c>
      <c r="C486" s="203" t="s">
        <v>2143</v>
      </c>
      <c r="D486" s="204">
        <v>1</v>
      </c>
      <c r="E486" s="204" t="s">
        <v>235</v>
      </c>
      <c r="F486" s="205">
        <v>2.2787444902536453</v>
      </c>
    </row>
    <row r="487" spans="1:6">
      <c r="A487" s="210">
        <v>92511000</v>
      </c>
      <c r="B487" s="202" t="s">
        <v>473</v>
      </c>
      <c r="C487" s="203" t="s">
        <v>2143</v>
      </c>
      <c r="D487" s="204">
        <v>1</v>
      </c>
      <c r="E487" s="204" t="s">
        <v>235</v>
      </c>
      <c r="F487" s="205">
        <v>2.2787444902536453</v>
      </c>
    </row>
    <row r="488" spans="1:6">
      <c r="A488" s="210">
        <v>92600000</v>
      </c>
      <c r="B488" s="202" t="s">
        <v>2860</v>
      </c>
      <c r="C488" s="203" t="s">
        <v>2143</v>
      </c>
      <c r="D488" s="204">
        <v>1</v>
      </c>
      <c r="E488" s="204" t="s">
        <v>235</v>
      </c>
      <c r="F488" s="205">
        <v>3.4887524036512811</v>
      </c>
    </row>
    <row r="489" spans="1:6">
      <c r="A489" s="210">
        <v>92611000</v>
      </c>
      <c r="B489" s="202" t="s">
        <v>474</v>
      </c>
      <c r="C489" s="203" t="s">
        <v>2143</v>
      </c>
      <c r="D489" s="204">
        <v>1</v>
      </c>
      <c r="E489" s="204" t="s">
        <v>235</v>
      </c>
      <c r="F489" s="205">
        <v>3.4887524036512811</v>
      </c>
    </row>
    <row r="490" spans="1:6">
      <c r="A490" s="210">
        <v>92900000</v>
      </c>
      <c r="B490" s="202" t="s">
        <v>2863</v>
      </c>
      <c r="C490" s="203" t="s">
        <v>2143</v>
      </c>
      <c r="D490" s="204">
        <v>1</v>
      </c>
      <c r="E490" s="204" t="s">
        <v>235</v>
      </c>
      <c r="F490" s="205">
        <v>4.8240820254090169</v>
      </c>
    </row>
    <row r="491" spans="1:6">
      <c r="A491" s="210">
        <v>92911000</v>
      </c>
      <c r="B491" s="202" t="s">
        <v>2865</v>
      </c>
      <c r="C491" s="203" t="s">
        <v>2143</v>
      </c>
      <c r="D491" s="204">
        <v>1</v>
      </c>
      <c r="E491" s="204" t="s">
        <v>235</v>
      </c>
      <c r="F491" s="205">
        <v>5.3407659679037298</v>
      </c>
    </row>
    <row r="492" spans="1:6">
      <c r="A492" s="210">
        <v>92919000</v>
      </c>
      <c r="B492" s="202" t="s">
        <v>2867</v>
      </c>
      <c r="C492" s="203" t="s">
        <v>2143</v>
      </c>
      <c r="D492" s="204">
        <v>1</v>
      </c>
      <c r="E492" s="204" t="s">
        <v>235</v>
      </c>
      <c r="F492" s="205">
        <v>4.7376309448072726</v>
      </c>
    </row>
    <row r="493" spans="1:6">
      <c r="A493" s="210">
        <v>93100000</v>
      </c>
      <c r="B493" s="202" t="s">
        <v>2869</v>
      </c>
      <c r="C493" s="203" t="s">
        <v>2143</v>
      </c>
      <c r="D493" s="204">
        <v>1</v>
      </c>
      <c r="E493" s="204" t="s">
        <v>235</v>
      </c>
      <c r="F493" s="205">
        <v>1.8718223436962216</v>
      </c>
    </row>
    <row r="494" spans="1:6">
      <c r="A494" s="210">
        <v>93111000</v>
      </c>
      <c r="B494" s="202" t="s">
        <v>2871</v>
      </c>
      <c r="C494" s="203" t="s">
        <v>2143</v>
      </c>
      <c r="D494" s="204">
        <v>1</v>
      </c>
      <c r="E494" s="204" t="s">
        <v>235</v>
      </c>
      <c r="F494" s="205">
        <v>3.7575691806229656</v>
      </c>
    </row>
    <row r="495" spans="1:6">
      <c r="A495" s="210">
        <v>93112000</v>
      </c>
      <c r="B495" s="202" t="s">
        <v>2873</v>
      </c>
      <c r="C495" s="203" t="s">
        <v>2143</v>
      </c>
      <c r="D495" s="204">
        <v>1</v>
      </c>
      <c r="E495" s="204" t="s">
        <v>235</v>
      </c>
      <c r="F495" s="205">
        <v>3.7771081674285005</v>
      </c>
    </row>
    <row r="496" spans="1:6">
      <c r="A496" s="210">
        <v>93119000</v>
      </c>
      <c r="B496" s="202" t="s">
        <v>2875</v>
      </c>
      <c r="C496" s="203" t="s">
        <v>2143</v>
      </c>
      <c r="D496" s="204">
        <v>1</v>
      </c>
      <c r="E496" s="204" t="s">
        <v>235</v>
      </c>
      <c r="F496" s="205">
        <v>4.9846389614223909</v>
      </c>
    </row>
    <row r="497" spans="1:6">
      <c r="A497" s="210">
        <v>93121000</v>
      </c>
      <c r="B497" s="202" t="s">
        <v>475</v>
      </c>
      <c r="C497" s="203" t="s">
        <v>2143</v>
      </c>
      <c r="D497" s="204">
        <v>1</v>
      </c>
      <c r="E497" s="204" t="s">
        <v>235</v>
      </c>
      <c r="F497" s="205">
        <v>1.0459909679695114</v>
      </c>
    </row>
    <row r="498" spans="1:6">
      <c r="A498" s="210">
        <v>93129000</v>
      </c>
      <c r="B498" s="202" t="s">
        <v>476</v>
      </c>
      <c r="C498" s="203" t="s">
        <v>2143</v>
      </c>
      <c r="D498" s="204">
        <v>1</v>
      </c>
      <c r="E498" s="204" t="s">
        <v>235</v>
      </c>
      <c r="F498" s="205">
        <v>1.5107027136142968</v>
      </c>
    </row>
    <row r="499" spans="1:6">
      <c r="A499" s="210">
        <v>93200000</v>
      </c>
      <c r="B499" s="202" t="s">
        <v>2879</v>
      </c>
      <c r="C499" s="203" t="s">
        <v>2143</v>
      </c>
      <c r="D499" s="204">
        <v>1</v>
      </c>
      <c r="E499" s="204" t="s">
        <v>235</v>
      </c>
      <c r="F499" s="205">
        <v>0.75946183656126276</v>
      </c>
    </row>
    <row r="500" spans="1:6">
      <c r="A500" s="210">
        <v>93211000</v>
      </c>
      <c r="B500" s="202" t="s">
        <v>2881</v>
      </c>
      <c r="C500" s="203" t="s">
        <v>2143</v>
      </c>
      <c r="D500" s="204">
        <v>1</v>
      </c>
      <c r="E500" s="204" t="s">
        <v>235</v>
      </c>
      <c r="F500" s="205">
        <v>0.75946183656126276</v>
      </c>
    </row>
    <row r="501" spans="1:6">
      <c r="A501" s="210">
        <v>94100000</v>
      </c>
      <c r="B501" s="202" t="s">
        <v>2883</v>
      </c>
      <c r="C501" s="203" t="s">
        <v>2143</v>
      </c>
      <c r="D501" s="204">
        <v>1</v>
      </c>
      <c r="E501" s="204" t="s">
        <v>235</v>
      </c>
      <c r="F501" s="205">
        <v>1.1147008899610344</v>
      </c>
    </row>
    <row r="502" spans="1:6">
      <c r="A502" s="210">
        <v>94111000</v>
      </c>
      <c r="B502" s="202" t="s">
        <v>2885</v>
      </c>
      <c r="C502" s="203" t="s">
        <v>2143</v>
      </c>
      <c r="D502" s="204">
        <v>1</v>
      </c>
      <c r="E502" s="204" t="s">
        <v>235</v>
      </c>
      <c r="F502" s="205">
        <v>1.1147008899610344</v>
      </c>
    </row>
    <row r="503" spans="1:6">
      <c r="A503" s="210">
        <v>94200000</v>
      </c>
      <c r="B503" s="202" t="s">
        <v>2887</v>
      </c>
      <c r="C503" s="203" t="s">
        <v>2143</v>
      </c>
      <c r="D503" s="204">
        <v>1</v>
      </c>
      <c r="E503" s="204" t="s">
        <v>400</v>
      </c>
      <c r="F503" s="205">
        <v>0.70388326990581107</v>
      </c>
    </row>
    <row r="504" spans="1:6">
      <c r="A504" s="210">
        <v>94211000</v>
      </c>
      <c r="B504" s="202" t="s">
        <v>477</v>
      </c>
      <c r="C504" s="203" t="s">
        <v>2143</v>
      </c>
      <c r="D504" s="204">
        <v>1</v>
      </c>
      <c r="E504" s="204" t="s">
        <v>400</v>
      </c>
      <c r="F504" s="205">
        <v>0.70388326990581107</v>
      </c>
    </row>
    <row r="505" spans="1:6">
      <c r="A505" s="210">
        <v>94211202</v>
      </c>
      <c r="B505" s="202" t="s">
        <v>2890</v>
      </c>
      <c r="C505" s="203" t="s">
        <v>2143</v>
      </c>
      <c r="D505" s="204">
        <v>1</v>
      </c>
      <c r="E505" s="204" t="s">
        <v>235</v>
      </c>
      <c r="F505" s="205">
        <v>3.7490377035924398</v>
      </c>
    </row>
    <row r="506" spans="1:6">
      <c r="A506" s="210">
        <v>94211203</v>
      </c>
      <c r="B506" s="202" t="s">
        <v>478</v>
      </c>
      <c r="C506" s="203" t="s">
        <v>2143</v>
      </c>
      <c r="D506" s="204">
        <v>1</v>
      </c>
      <c r="E506" s="204" t="s">
        <v>400</v>
      </c>
      <c r="F506" s="205">
        <v>0.55107777976684913</v>
      </c>
    </row>
    <row r="507" spans="1:6">
      <c r="A507" s="210">
        <v>94300000</v>
      </c>
      <c r="B507" s="202" t="s">
        <v>2893</v>
      </c>
      <c r="C507" s="203" t="s">
        <v>2143</v>
      </c>
      <c r="D507" s="204">
        <v>1</v>
      </c>
      <c r="E507" s="204" t="s">
        <v>235</v>
      </c>
      <c r="F507" s="205">
        <v>4.7503301235172533</v>
      </c>
    </row>
    <row r="508" spans="1:6">
      <c r="A508" s="210">
        <v>94311000</v>
      </c>
      <c r="B508" s="202" t="s">
        <v>479</v>
      </c>
      <c r="C508" s="203" t="s">
        <v>2143</v>
      </c>
      <c r="D508" s="204">
        <v>1</v>
      </c>
      <c r="E508" s="204" t="s">
        <v>235</v>
      </c>
      <c r="F508" s="205">
        <v>4.7503301235172533</v>
      </c>
    </row>
    <row r="509" spans="1:6">
      <c r="A509" s="210">
        <v>94400000</v>
      </c>
      <c r="B509" s="202" t="s">
        <v>2896</v>
      </c>
      <c r="C509" s="203" t="s">
        <v>2143</v>
      </c>
      <c r="D509" s="204">
        <v>1</v>
      </c>
      <c r="E509" s="204" t="s">
        <v>2013</v>
      </c>
      <c r="F509" s="205">
        <v>8.1058149302949047E-3</v>
      </c>
    </row>
    <row r="510" spans="1:6">
      <c r="A510" s="210">
        <v>94411000</v>
      </c>
      <c r="B510" s="202" t="s">
        <v>480</v>
      </c>
      <c r="C510" s="203" t="s">
        <v>2143</v>
      </c>
      <c r="D510" s="204">
        <v>1</v>
      </c>
      <c r="E510" s="204" t="s">
        <v>400</v>
      </c>
      <c r="F510" s="205">
        <v>2.1864828767143352</v>
      </c>
    </row>
    <row r="511" spans="1:6">
      <c r="A511" s="210">
        <v>94419000</v>
      </c>
      <c r="B511" s="202" t="s">
        <v>481</v>
      </c>
      <c r="C511" s="203" t="s">
        <v>2143</v>
      </c>
      <c r="D511" s="204">
        <v>1</v>
      </c>
      <c r="E511" s="204" t="s">
        <v>235</v>
      </c>
      <c r="F511" s="205">
        <v>4.0516166653856871</v>
      </c>
    </row>
    <row r="512" spans="1:6">
      <c r="A512" s="210">
        <v>94419200</v>
      </c>
      <c r="B512" s="202" t="s">
        <v>482</v>
      </c>
      <c r="C512" s="203" t="s">
        <v>2143</v>
      </c>
      <c r="D512" s="204">
        <v>1</v>
      </c>
      <c r="E512" s="204" t="s">
        <v>235</v>
      </c>
      <c r="F512" s="205">
        <v>6.0432518721022923</v>
      </c>
    </row>
    <row r="513" spans="1:6">
      <c r="A513" s="210">
        <v>94500000</v>
      </c>
      <c r="B513" s="202" t="s">
        <v>2900</v>
      </c>
      <c r="C513" s="203" t="s">
        <v>2143</v>
      </c>
      <c r="D513" s="204">
        <v>1</v>
      </c>
      <c r="E513" s="204" t="s">
        <v>400</v>
      </c>
      <c r="F513" s="205">
        <v>0.39655564263090698</v>
      </c>
    </row>
    <row r="514" spans="1:6">
      <c r="A514" s="210">
        <v>94511000</v>
      </c>
      <c r="B514" s="202" t="s">
        <v>483</v>
      </c>
      <c r="C514" s="203" t="s">
        <v>2143</v>
      </c>
      <c r="D514" s="204">
        <v>1</v>
      </c>
      <c r="E514" s="204" t="s">
        <v>400</v>
      </c>
      <c r="F514" s="205">
        <v>0.39655564263090698</v>
      </c>
    </row>
    <row r="515" spans="1:6">
      <c r="A515" s="210">
        <v>94900000</v>
      </c>
      <c r="B515" s="202" t="s">
        <v>2903</v>
      </c>
      <c r="C515" s="203" t="s">
        <v>2143</v>
      </c>
      <c r="D515" s="204">
        <v>1</v>
      </c>
      <c r="E515" s="204" t="s">
        <v>235</v>
      </c>
      <c r="F515" s="205">
        <v>1.9260544595155464</v>
      </c>
    </row>
    <row r="516" spans="1:6">
      <c r="A516" s="210">
        <v>94911000</v>
      </c>
      <c r="B516" s="202" t="s">
        <v>484</v>
      </c>
      <c r="C516" s="203" t="s">
        <v>2143</v>
      </c>
      <c r="D516" s="204">
        <v>1</v>
      </c>
      <c r="E516" s="204" t="s">
        <v>235</v>
      </c>
      <c r="F516" s="205">
        <v>2.0777360365797728</v>
      </c>
    </row>
    <row r="517" spans="1:6">
      <c r="A517" s="210">
        <v>94912000</v>
      </c>
      <c r="B517" s="202" t="s">
        <v>485</v>
      </c>
      <c r="C517" s="203" t="s">
        <v>2143</v>
      </c>
      <c r="D517" s="204">
        <v>1</v>
      </c>
      <c r="E517" s="204" t="s">
        <v>235</v>
      </c>
      <c r="F517" s="205">
        <v>2.5779396807978525</v>
      </c>
    </row>
    <row r="518" spans="1:6">
      <c r="A518" s="210">
        <v>94919000</v>
      </c>
      <c r="B518" s="202" t="s">
        <v>2907</v>
      </c>
      <c r="C518" s="203" t="s">
        <v>2143</v>
      </c>
      <c r="D518" s="204">
        <v>1</v>
      </c>
      <c r="E518" s="204" t="s">
        <v>235</v>
      </c>
      <c r="F518" s="205">
        <v>1.8652706098587377</v>
      </c>
    </row>
    <row r="519" spans="1:6">
      <c r="A519" s="210">
        <v>95100000</v>
      </c>
      <c r="B519" s="202" t="s">
        <v>2909</v>
      </c>
      <c r="C519" s="203" t="s">
        <v>2143</v>
      </c>
      <c r="D519" s="204">
        <v>1</v>
      </c>
      <c r="E519" s="204" t="s">
        <v>235</v>
      </c>
      <c r="F519" s="205">
        <v>0.94607937409000353</v>
      </c>
    </row>
    <row r="520" spans="1:6">
      <c r="A520" s="210">
        <v>95111000</v>
      </c>
      <c r="B520" s="202" t="s">
        <v>2911</v>
      </c>
      <c r="C520" s="203" t="s">
        <v>2143</v>
      </c>
      <c r="D520" s="204">
        <v>1</v>
      </c>
      <c r="E520" s="204" t="s">
        <v>235</v>
      </c>
      <c r="F520" s="205">
        <v>0.94607937409000353</v>
      </c>
    </row>
    <row r="521" spans="1:6">
      <c r="A521" s="210">
        <v>95111200</v>
      </c>
      <c r="B521" s="202" t="s">
        <v>2913</v>
      </c>
      <c r="C521" s="203" t="s">
        <v>2143</v>
      </c>
      <c r="D521" s="204">
        <v>1</v>
      </c>
      <c r="E521" s="204" t="s">
        <v>235</v>
      </c>
      <c r="F521" s="205">
        <v>1.8551818952658687</v>
      </c>
    </row>
    <row r="522" spans="1:6">
      <c r="A522" s="210">
        <v>95111201</v>
      </c>
      <c r="B522" s="202" t="s">
        <v>2915</v>
      </c>
      <c r="C522" s="203" t="s">
        <v>2143</v>
      </c>
      <c r="D522" s="204">
        <v>1</v>
      </c>
      <c r="E522" s="204" t="s">
        <v>235</v>
      </c>
      <c r="F522" s="205">
        <v>0.83483167011540793</v>
      </c>
    </row>
    <row r="523" spans="1:6">
      <c r="A523" s="210">
        <v>95200000</v>
      </c>
      <c r="B523" s="202" t="s">
        <v>2917</v>
      </c>
      <c r="C523" s="203" t="s">
        <v>2143</v>
      </c>
      <c r="D523" s="204">
        <v>1</v>
      </c>
      <c r="E523" s="204" t="s">
        <v>235</v>
      </c>
      <c r="F523" s="205">
        <v>1.3206441892888174</v>
      </c>
    </row>
    <row r="524" spans="1:6">
      <c r="A524" s="210">
        <v>95211000</v>
      </c>
      <c r="B524" s="202" t="s">
        <v>486</v>
      </c>
      <c r="C524" s="203" t="s">
        <v>2143</v>
      </c>
      <c r="D524" s="204">
        <v>1</v>
      </c>
      <c r="E524" s="204" t="s">
        <v>235</v>
      </c>
      <c r="F524" s="205">
        <v>1.3206441892888174</v>
      </c>
    </row>
    <row r="525" spans="1:6">
      <c r="A525" s="210">
        <v>95300000</v>
      </c>
      <c r="B525" s="202" t="s">
        <v>2920</v>
      </c>
      <c r="C525" s="203" t="s">
        <v>2143</v>
      </c>
      <c r="D525" s="204">
        <v>1</v>
      </c>
      <c r="E525" s="204" t="s">
        <v>235</v>
      </c>
      <c r="F525" s="205">
        <v>1.5655141222295716</v>
      </c>
    </row>
    <row r="526" spans="1:6">
      <c r="A526" s="210">
        <v>95311000</v>
      </c>
      <c r="B526" s="202" t="s">
        <v>487</v>
      </c>
      <c r="C526" s="203" t="s">
        <v>2143</v>
      </c>
      <c r="D526" s="204">
        <v>1</v>
      </c>
      <c r="E526" s="204" t="s">
        <v>235</v>
      </c>
      <c r="F526" s="205">
        <v>1.4866921691528574</v>
      </c>
    </row>
    <row r="527" spans="1:6">
      <c r="A527" s="210">
        <v>95312000</v>
      </c>
      <c r="B527" s="202" t="s">
        <v>488</v>
      </c>
      <c r="C527" s="203" t="s">
        <v>2143</v>
      </c>
      <c r="D527" s="204">
        <v>1</v>
      </c>
      <c r="E527" s="204" t="s">
        <v>235</v>
      </c>
      <c r="F527" s="205">
        <v>1.6235886633777621</v>
      </c>
    </row>
    <row r="528" spans="1:6">
      <c r="A528" s="210">
        <v>95313000</v>
      </c>
      <c r="B528" s="202" t="s">
        <v>489</v>
      </c>
      <c r="C528" s="203" t="s">
        <v>2143</v>
      </c>
      <c r="D528" s="204">
        <v>1</v>
      </c>
      <c r="E528" s="204" t="s">
        <v>235</v>
      </c>
      <c r="F528" s="205">
        <v>1.5473817987288232</v>
      </c>
    </row>
    <row r="529" spans="1:6">
      <c r="A529" s="210">
        <v>96100000</v>
      </c>
      <c r="B529" s="202" t="s">
        <v>2925</v>
      </c>
      <c r="C529" s="203" t="s">
        <v>2143</v>
      </c>
      <c r="D529" s="204">
        <v>1</v>
      </c>
      <c r="E529" s="204" t="s">
        <v>235</v>
      </c>
      <c r="F529" s="205">
        <v>1.9153831067248304</v>
      </c>
    </row>
    <row r="530" spans="1:6">
      <c r="A530" s="210">
        <v>96111000</v>
      </c>
      <c r="B530" s="202" t="s">
        <v>490</v>
      </c>
      <c r="C530" s="203" t="s">
        <v>2143</v>
      </c>
      <c r="D530" s="204">
        <v>1</v>
      </c>
      <c r="E530" s="204" t="s">
        <v>235</v>
      </c>
      <c r="F530" s="205">
        <v>1.9153831067248304</v>
      </c>
    </row>
    <row r="531" spans="1:6">
      <c r="A531" s="210">
        <v>96111610</v>
      </c>
      <c r="B531" s="202" t="s">
        <v>5638</v>
      </c>
      <c r="C531" s="203" t="s">
        <v>5553</v>
      </c>
      <c r="D531" s="204">
        <v>1</v>
      </c>
      <c r="E531" s="204" t="s">
        <v>235</v>
      </c>
      <c r="F531" s="205">
        <v>0</v>
      </c>
    </row>
    <row r="532" spans="1:6">
      <c r="A532" s="210">
        <v>96111910</v>
      </c>
      <c r="B532" s="202" t="s">
        <v>5639</v>
      </c>
      <c r="C532" s="203" t="s">
        <v>5553</v>
      </c>
      <c r="D532" s="204">
        <v>1</v>
      </c>
      <c r="E532" s="204" t="s">
        <v>235</v>
      </c>
      <c r="F532" s="205">
        <v>0</v>
      </c>
    </row>
    <row r="533" spans="1:6">
      <c r="A533" s="210">
        <v>96200000</v>
      </c>
      <c r="B533" s="202" t="s">
        <v>2928</v>
      </c>
      <c r="C533" s="203" t="s">
        <v>2143</v>
      </c>
      <c r="D533" s="204">
        <v>1</v>
      </c>
      <c r="E533" s="204" t="s">
        <v>235</v>
      </c>
      <c r="F533" s="205">
        <v>1.2546098292649435</v>
      </c>
    </row>
    <row r="534" spans="1:6">
      <c r="A534" s="210">
        <v>96211000</v>
      </c>
      <c r="B534" s="202" t="s">
        <v>491</v>
      </c>
      <c r="C534" s="203" t="s">
        <v>2143</v>
      </c>
      <c r="D534" s="204">
        <v>1</v>
      </c>
      <c r="E534" s="204" t="s">
        <v>235</v>
      </c>
      <c r="F534" s="205">
        <v>1.2546098292649435</v>
      </c>
    </row>
    <row r="535" spans="1:6">
      <c r="A535" s="210">
        <v>96300000</v>
      </c>
      <c r="B535" s="202" t="s">
        <v>2931</v>
      </c>
      <c r="C535" s="203" t="s">
        <v>2143</v>
      </c>
      <c r="D535" s="204">
        <v>1</v>
      </c>
      <c r="E535" s="204" t="s">
        <v>235</v>
      </c>
      <c r="F535" s="205">
        <v>0.94200821016533631</v>
      </c>
    </row>
    <row r="536" spans="1:6">
      <c r="A536" s="210">
        <v>96311000</v>
      </c>
      <c r="B536" s="202" t="s">
        <v>492</v>
      </c>
      <c r="C536" s="203" t="s">
        <v>2143</v>
      </c>
      <c r="D536" s="204">
        <v>1</v>
      </c>
      <c r="E536" s="204" t="s">
        <v>235</v>
      </c>
      <c r="F536" s="205">
        <v>0.94200821016533631</v>
      </c>
    </row>
    <row r="537" spans="1:6">
      <c r="A537" s="210">
        <v>96900000</v>
      </c>
      <c r="B537" s="202" t="s">
        <v>2934</v>
      </c>
      <c r="C537" s="203" t="s">
        <v>2143</v>
      </c>
      <c r="D537" s="204">
        <v>1</v>
      </c>
      <c r="E537" s="204" t="s">
        <v>235</v>
      </c>
      <c r="F537" s="205">
        <v>1.6120077936648309</v>
      </c>
    </row>
    <row r="538" spans="1:6">
      <c r="A538" s="210">
        <v>96911000</v>
      </c>
      <c r="B538" s="202" t="s">
        <v>493</v>
      </c>
      <c r="C538" s="203" t="s">
        <v>2143</v>
      </c>
      <c r="D538" s="204">
        <v>1</v>
      </c>
      <c r="E538" s="204" t="s">
        <v>235</v>
      </c>
      <c r="F538" s="205">
        <v>3.9631943501990601</v>
      </c>
    </row>
    <row r="539" spans="1:6">
      <c r="A539" s="210">
        <v>96919000</v>
      </c>
      <c r="B539" s="202" t="s">
        <v>2937</v>
      </c>
      <c r="C539" s="203" t="s">
        <v>2143</v>
      </c>
      <c r="D539" s="204">
        <v>1</v>
      </c>
      <c r="E539" s="204" t="s">
        <v>235</v>
      </c>
      <c r="F539" s="205">
        <v>1.5803864889863242</v>
      </c>
    </row>
    <row r="540" spans="1:6">
      <c r="A540" s="210">
        <v>97100000</v>
      </c>
      <c r="B540" s="202" t="s">
        <v>5640</v>
      </c>
      <c r="C540" s="203" t="s">
        <v>2143</v>
      </c>
      <c r="D540" s="204">
        <v>1</v>
      </c>
      <c r="E540" s="204" t="s">
        <v>235</v>
      </c>
      <c r="F540" s="205">
        <v>3.4655805188551816</v>
      </c>
    </row>
    <row r="541" spans="1:6">
      <c r="A541" s="210">
        <v>97111000</v>
      </c>
      <c r="B541" s="202" t="s">
        <v>5641</v>
      </c>
      <c r="C541" s="203" t="s">
        <v>2143</v>
      </c>
      <c r="D541" s="204">
        <v>1</v>
      </c>
      <c r="E541" s="204" t="s">
        <v>235</v>
      </c>
      <c r="F541" s="205">
        <v>2.4731684877368374</v>
      </c>
    </row>
    <row r="542" spans="1:6">
      <c r="A542" s="210">
        <v>97112000</v>
      </c>
      <c r="B542" s="202" t="s">
        <v>5642</v>
      </c>
      <c r="C542" s="203" t="s">
        <v>2143</v>
      </c>
      <c r="D542" s="204">
        <v>1</v>
      </c>
      <c r="E542" s="204" t="s">
        <v>235</v>
      </c>
      <c r="F542" s="205">
        <v>4.9899249203611085</v>
      </c>
    </row>
    <row r="543" spans="1:6">
      <c r="A543" s="210">
        <v>97200000</v>
      </c>
      <c r="B543" s="202" t="s">
        <v>2944</v>
      </c>
      <c r="C543" s="203" t="s">
        <v>2143</v>
      </c>
      <c r="D543" s="204">
        <v>1</v>
      </c>
      <c r="E543" s="204" t="s">
        <v>235</v>
      </c>
      <c r="F543" s="205">
        <v>3.1734364311075467</v>
      </c>
    </row>
    <row r="544" spans="1:6">
      <c r="A544" s="210">
        <v>97211000</v>
      </c>
      <c r="B544" s="202" t="s">
        <v>497</v>
      </c>
      <c r="C544" s="203" t="s">
        <v>2143</v>
      </c>
      <c r="D544" s="204">
        <v>1</v>
      </c>
      <c r="E544" s="204" t="s">
        <v>235</v>
      </c>
      <c r="F544" s="205">
        <v>4.0010638665797309</v>
      </c>
    </row>
    <row r="545" spans="1:6">
      <c r="A545" s="210">
        <v>97212000</v>
      </c>
      <c r="B545" s="202" t="s">
        <v>498</v>
      </c>
      <c r="C545" s="203" t="s">
        <v>2143</v>
      </c>
      <c r="D545" s="204">
        <v>1</v>
      </c>
      <c r="E545" s="204" t="s">
        <v>235</v>
      </c>
      <c r="F545" s="205">
        <v>2.6221357303218369</v>
      </c>
    </row>
    <row r="546" spans="1:6">
      <c r="A546" s="210">
        <v>97300000</v>
      </c>
      <c r="B546" s="202" t="s">
        <v>2948</v>
      </c>
      <c r="C546" s="203" t="s">
        <v>2143</v>
      </c>
      <c r="D546" s="204">
        <v>1</v>
      </c>
      <c r="E546" s="204" t="s">
        <v>235</v>
      </c>
      <c r="F546" s="205">
        <v>2.6676405934666008</v>
      </c>
    </row>
    <row r="547" spans="1:6">
      <c r="A547" s="210">
        <v>97311000</v>
      </c>
      <c r="B547" s="202" t="s">
        <v>499</v>
      </c>
      <c r="C547" s="203" t="s">
        <v>2143</v>
      </c>
      <c r="D547" s="204">
        <v>1</v>
      </c>
      <c r="E547" s="204" t="s">
        <v>235</v>
      </c>
      <c r="F547" s="205">
        <v>2.6676405934666008</v>
      </c>
    </row>
    <row r="548" spans="1:6">
      <c r="A548" s="210">
        <v>97400000</v>
      </c>
      <c r="B548" s="202" t="s">
        <v>2951</v>
      </c>
      <c r="C548" s="203" t="s">
        <v>2143</v>
      </c>
      <c r="D548" s="204">
        <v>1</v>
      </c>
      <c r="E548" s="204" t="s">
        <v>235</v>
      </c>
      <c r="F548" s="205">
        <v>4.0553058713798116</v>
      </c>
    </row>
    <row r="549" spans="1:6">
      <c r="A549" s="210">
        <v>97411000</v>
      </c>
      <c r="B549" s="202" t="s">
        <v>500</v>
      </c>
      <c r="C549" s="203" t="s">
        <v>2143</v>
      </c>
      <c r="D549" s="204">
        <v>1</v>
      </c>
      <c r="E549" s="204" t="s">
        <v>235</v>
      </c>
      <c r="F549" s="205">
        <v>4.0553058713798116</v>
      </c>
    </row>
    <row r="550" spans="1:6">
      <c r="A550" s="210">
        <v>97900000</v>
      </c>
      <c r="B550" s="202" t="s">
        <v>2954</v>
      </c>
      <c r="C550" s="203" t="s">
        <v>2143</v>
      </c>
      <c r="D550" s="204">
        <v>1</v>
      </c>
      <c r="E550" s="204" t="s">
        <v>235</v>
      </c>
      <c r="F550" s="205">
        <v>2.48356540213722</v>
      </c>
    </row>
    <row r="551" spans="1:6">
      <c r="A551" s="210">
        <v>97911000</v>
      </c>
      <c r="B551" s="202" t="s">
        <v>501</v>
      </c>
      <c r="C551" s="203" t="s">
        <v>2143</v>
      </c>
      <c r="D551" s="204">
        <v>1</v>
      </c>
      <c r="E551" s="204" t="s">
        <v>235</v>
      </c>
      <c r="F551" s="205">
        <v>2.941523919134756</v>
      </c>
    </row>
    <row r="552" spans="1:6">
      <c r="A552" s="210">
        <v>97912000</v>
      </c>
      <c r="B552" s="202" t="s">
        <v>502</v>
      </c>
      <c r="C552" s="203" t="s">
        <v>2143</v>
      </c>
      <c r="D552" s="204">
        <v>1</v>
      </c>
      <c r="E552" s="204" t="s">
        <v>235</v>
      </c>
      <c r="F552" s="205">
        <v>7.6673230077359165</v>
      </c>
    </row>
    <row r="553" spans="1:6">
      <c r="A553" s="210">
        <v>97919000</v>
      </c>
      <c r="B553" s="202" t="s">
        <v>503</v>
      </c>
      <c r="C553" s="203" t="s">
        <v>2143</v>
      </c>
      <c r="D553" s="204">
        <v>1</v>
      </c>
      <c r="E553" s="204" t="s">
        <v>235</v>
      </c>
      <c r="F553" s="205">
        <v>1.986455684589636</v>
      </c>
    </row>
    <row r="554" spans="1:6">
      <c r="A554" s="210">
        <v>98100000</v>
      </c>
      <c r="B554" s="202" t="s">
        <v>2959</v>
      </c>
      <c r="C554" s="203" t="s">
        <v>2143</v>
      </c>
      <c r="D554" s="204">
        <v>1</v>
      </c>
      <c r="E554" s="204" t="s">
        <v>235</v>
      </c>
      <c r="F554" s="205">
        <v>3.5125573494233238</v>
      </c>
    </row>
    <row r="555" spans="1:6">
      <c r="A555" s="210">
        <v>98100940</v>
      </c>
      <c r="B555" s="202" t="s">
        <v>5643</v>
      </c>
      <c r="C555" s="203" t="s">
        <v>5553</v>
      </c>
      <c r="D555" s="204">
        <v>1</v>
      </c>
      <c r="E555" s="204" t="s">
        <v>235</v>
      </c>
      <c r="F555" s="205">
        <v>0</v>
      </c>
    </row>
    <row r="556" spans="1:6">
      <c r="A556" s="210">
        <v>98111000</v>
      </c>
      <c r="B556" s="202" t="s">
        <v>504</v>
      </c>
      <c r="C556" s="203" t="s">
        <v>2143</v>
      </c>
      <c r="D556" s="204">
        <v>1</v>
      </c>
      <c r="E556" s="204" t="s">
        <v>235</v>
      </c>
      <c r="F556" s="205">
        <v>6.0383224621136522</v>
      </c>
    </row>
    <row r="557" spans="1:6">
      <c r="A557" s="210">
        <v>98112000</v>
      </c>
      <c r="B557" s="202" t="s">
        <v>505</v>
      </c>
      <c r="C557" s="203" t="s">
        <v>2143</v>
      </c>
      <c r="D557" s="204">
        <v>1</v>
      </c>
      <c r="E557" s="204" t="s">
        <v>235</v>
      </c>
      <c r="F557" s="205">
        <v>3.6366070936343888</v>
      </c>
    </row>
    <row r="558" spans="1:6">
      <c r="A558" s="210">
        <v>98119000</v>
      </c>
      <c r="B558" s="202" t="s">
        <v>506</v>
      </c>
      <c r="C558" s="203" t="s">
        <v>2143</v>
      </c>
      <c r="D558" s="204">
        <v>1</v>
      </c>
      <c r="E558" s="204" t="s">
        <v>235</v>
      </c>
      <c r="F558" s="205">
        <v>1.2163719336771956</v>
      </c>
    </row>
    <row r="559" spans="1:6">
      <c r="A559" s="210">
        <v>98119200</v>
      </c>
      <c r="B559" s="202" t="s">
        <v>507</v>
      </c>
      <c r="C559" s="203" t="s">
        <v>2143</v>
      </c>
      <c r="D559" s="204">
        <v>1</v>
      </c>
      <c r="E559" s="204" t="s">
        <v>235</v>
      </c>
      <c r="F559" s="205">
        <v>0.9827576262412191</v>
      </c>
    </row>
    <row r="560" spans="1:6">
      <c r="A560" s="210">
        <v>98200000</v>
      </c>
      <c r="B560" s="202" t="s">
        <v>2965</v>
      </c>
      <c r="C560" s="203" t="s">
        <v>2143</v>
      </c>
      <c r="D560" s="204">
        <v>1</v>
      </c>
      <c r="E560" s="204" t="s">
        <v>235</v>
      </c>
      <c r="F560" s="205">
        <v>0.4090525388997962</v>
      </c>
    </row>
    <row r="561" spans="1:6">
      <c r="A561" s="210">
        <v>98211000</v>
      </c>
      <c r="B561" s="202" t="s">
        <v>508</v>
      </c>
      <c r="C561" s="203" t="s">
        <v>2143</v>
      </c>
      <c r="D561" s="204">
        <v>1</v>
      </c>
      <c r="E561" s="204" t="s">
        <v>235</v>
      </c>
      <c r="F561" s="205">
        <v>0.24274609331418454</v>
      </c>
    </row>
    <row r="562" spans="1:6">
      <c r="A562" s="210">
        <v>98212000</v>
      </c>
      <c r="B562" s="202" t="s">
        <v>509</v>
      </c>
      <c r="C562" s="203" t="s">
        <v>2143</v>
      </c>
      <c r="D562" s="204">
        <v>1</v>
      </c>
      <c r="E562" s="204" t="s">
        <v>235</v>
      </c>
      <c r="F562" s="205">
        <v>0.30960441140682426</v>
      </c>
    </row>
    <row r="563" spans="1:6">
      <c r="A563" s="210">
        <v>98219000</v>
      </c>
      <c r="B563" s="202" t="s">
        <v>510</v>
      </c>
      <c r="C563" s="203" t="s">
        <v>2143</v>
      </c>
      <c r="D563" s="204">
        <v>1</v>
      </c>
      <c r="E563" s="204" t="s">
        <v>235</v>
      </c>
      <c r="F563" s="205">
        <v>0.62688238995133549</v>
      </c>
    </row>
    <row r="564" spans="1:6">
      <c r="A564" s="210">
        <v>98300000</v>
      </c>
      <c r="B564" s="202" t="s">
        <v>2970</v>
      </c>
      <c r="C564" s="203" t="s">
        <v>2143</v>
      </c>
      <c r="D564" s="204">
        <v>1</v>
      </c>
      <c r="E564" s="204" t="s">
        <v>235</v>
      </c>
      <c r="F564" s="205">
        <v>1.7315618910177335</v>
      </c>
    </row>
    <row r="565" spans="1:6">
      <c r="A565" s="210">
        <v>98311000</v>
      </c>
      <c r="B565" s="202" t="s">
        <v>511</v>
      </c>
      <c r="C565" s="203" t="s">
        <v>2143</v>
      </c>
      <c r="D565" s="204">
        <v>1</v>
      </c>
      <c r="E565" s="204" t="s">
        <v>235</v>
      </c>
      <c r="F565" s="205">
        <v>1.7771461270341928</v>
      </c>
    </row>
    <row r="566" spans="1:6">
      <c r="A566" s="210">
        <v>98312000</v>
      </c>
      <c r="B566" s="202" t="s">
        <v>512</v>
      </c>
      <c r="C566" s="203" t="s">
        <v>2143</v>
      </c>
      <c r="D566" s="204">
        <v>1</v>
      </c>
      <c r="E566" s="204" t="s">
        <v>235</v>
      </c>
      <c r="F566" s="205">
        <v>2.0522635454234042</v>
      </c>
    </row>
    <row r="567" spans="1:6">
      <c r="A567" s="210">
        <v>98319000</v>
      </c>
      <c r="B567" s="202" t="s">
        <v>513</v>
      </c>
      <c r="C567" s="203" t="s">
        <v>2143</v>
      </c>
      <c r="D567" s="204">
        <v>1</v>
      </c>
      <c r="E567" s="204" t="s">
        <v>235</v>
      </c>
      <c r="F567" s="205">
        <v>1.3921257909903075</v>
      </c>
    </row>
    <row r="568" spans="1:6">
      <c r="A568" s="210">
        <v>99100000</v>
      </c>
      <c r="B568" s="202" t="s">
        <v>2975</v>
      </c>
      <c r="C568" s="203" t="s">
        <v>2143</v>
      </c>
      <c r="D568" s="204">
        <v>1</v>
      </c>
      <c r="E568" s="204" t="s">
        <v>235</v>
      </c>
      <c r="F568" s="205">
        <v>1.0383804677212964</v>
      </c>
    </row>
    <row r="569" spans="1:6">
      <c r="A569" s="210">
        <v>99111000</v>
      </c>
      <c r="B569" s="202" t="s">
        <v>514</v>
      </c>
      <c r="C569" s="203" t="s">
        <v>2143</v>
      </c>
      <c r="D569" s="204">
        <v>1</v>
      </c>
      <c r="E569" s="204" t="s">
        <v>235</v>
      </c>
      <c r="F569" s="205">
        <v>1.0383804677212964</v>
      </c>
    </row>
    <row r="570" spans="1:6">
      <c r="A570" s="210">
        <v>99200000</v>
      </c>
      <c r="B570" s="202" t="s">
        <v>5644</v>
      </c>
      <c r="C570" s="203" t="s">
        <v>2143</v>
      </c>
      <c r="D570" s="204">
        <v>1</v>
      </c>
      <c r="E570" s="204" t="s">
        <v>235</v>
      </c>
      <c r="F570" s="205">
        <v>1.9739866252050122</v>
      </c>
    </row>
    <row r="571" spans="1:6">
      <c r="A571" s="210">
        <v>99211000</v>
      </c>
      <c r="B571" s="202" t="s">
        <v>5645</v>
      </c>
      <c r="C571" s="203" t="s">
        <v>2143</v>
      </c>
      <c r="D571" s="204">
        <v>1</v>
      </c>
      <c r="E571" s="204" t="s">
        <v>235</v>
      </c>
      <c r="F571" s="205">
        <v>2.8989841051341196</v>
      </c>
    </row>
    <row r="572" spans="1:6">
      <c r="A572" s="210">
        <v>99212000</v>
      </c>
      <c r="B572" s="202" t="s">
        <v>5646</v>
      </c>
      <c r="C572" s="203" t="s">
        <v>2143</v>
      </c>
      <c r="D572" s="204">
        <v>1</v>
      </c>
      <c r="E572" s="204" t="s">
        <v>235</v>
      </c>
      <c r="F572" s="205">
        <v>1.5009090746249596</v>
      </c>
    </row>
    <row r="573" spans="1:6">
      <c r="A573" s="210">
        <v>99213000</v>
      </c>
      <c r="B573" s="202" t="s">
        <v>5647</v>
      </c>
      <c r="C573" s="203" t="s">
        <v>2143</v>
      </c>
      <c r="D573" s="204">
        <v>1</v>
      </c>
      <c r="E573" s="204" t="s">
        <v>235</v>
      </c>
      <c r="F573" s="205">
        <v>1.5273795501496132</v>
      </c>
    </row>
    <row r="574" spans="1:6">
      <c r="A574" s="210">
        <v>99214000</v>
      </c>
      <c r="B574" s="202" t="s">
        <v>5648</v>
      </c>
      <c r="C574" s="203" t="s">
        <v>2143</v>
      </c>
      <c r="D574" s="204">
        <v>1</v>
      </c>
      <c r="E574" s="204" t="s">
        <v>235</v>
      </c>
      <c r="F574" s="205">
        <v>1.8502575116977074</v>
      </c>
    </row>
    <row r="575" spans="1:6">
      <c r="A575" s="210">
        <v>99300000</v>
      </c>
      <c r="B575" s="202" t="s">
        <v>2984</v>
      </c>
      <c r="C575" s="203" t="s">
        <v>2143</v>
      </c>
      <c r="D575" s="204">
        <v>1</v>
      </c>
      <c r="E575" s="204" t="s">
        <v>235</v>
      </c>
      <c r="F575" s="205">
        <v>1.4173191508352883</v>
      </c>
    </row>
    <row r="576" spans="1:6">
      <c r="A576" s="210">
        <v>99311000</v>
      </c>
      <c r="B576" s="202" t="s">
        <v>519</v>
      </c>
      <c r="C576" s="203" t="s">
        <v>2143</v>
      </c>
      <c r="D576" s="204">
        <v>1</v>
      </c>
      <c r="E576" s="204" t="s">
        <v>235</v>
      </c>
      <c r="F576" s="205">
        <v>1.4173191508352883</v>
      </c>
    </row>
    <row r="577" spans="1:6">
      <c r="A577" s="210">
        <v>99400000</v>
      </c>
      <c r="B577" s="202" t="s">
        <v>2987</v>
      </c>
      <c r="C577" s="203" t="s">
        <v>2143</v>
      </c>
      <c r="D577" s="204">
        <v>1</v>
      </c>
      <c r="E577" s="204" t="s">
        <v>235</v>
      </c>
      <c r="F577" s="205">
        <v>2.3015517538832357</v>
      </c>
    </row>
    <row r="578" spans="1:6">
      <c r="A578" s="210">
        <v>99411000</v>
      </c>
      <c r="B578" s="202" t="s">
        <v>520</v>
      </c>
      <c r="C578" s="203" t="s">
        <v>2143</v>
      </c>
      <c r="D578" s="204">
        <v>1</v>
      </c>
      <c r="E578" s="204" t="s">
        <v>235</v>
      </c>
      <c r="F578" s="205">
        <v>2.3015517538832357</v>
      </c>
    </row>
    <row r="579" spans="1:6">
      <c r="A579" s="210">
        <v>99500000</v>
      </c>
      <c r="B579" s="202" t="s">
        <v>2990</v>
      </c>
      <c r="C579" s="203" t="s">
        <v>2143</v>
      </c>
      <c r="D579" s="204">
        <v>1</v>
      </c>
      <c r="E579" s="204" t="s">
        <v>235</v>
      </c>
      <c r="F579" s="205">
        <v>5.2507044412078532</v>
      </c>
    </row>
    <row r="580" spans="1:6">
      <c r="A580" s="210">
        <v>99511000</v>
      </c>
      <c r="B580" s="202" t="s">
        <v>521</v>
      </c>
      <c r="C580" s="203" t="s">
        <v>2143</v>
      </c>
      <c r="D580" s="204">
        <v>1</v>
      </c>
      <c r="E580" s="204" t="s">
        <v>235</v>
      </c>
      <c r="F580" s="205">
        <v>5.2507044412078532</v>
      </c>
    </row>
    <row r="581" spans="1:6">
      <c r="A581" s="210">
        <v>99600000</v>
      </c>
      <c r="B581" s="202" t="s">
        <v>5649</v>
      </c>
      <c r="C581" s="203" t="s">
        <v>2143</v>
      </c>
      <c r="D581" s="204">
        <v>1</v>
      </c>
      <c r="E581" s="204" t="s">
        <v>2013</v>
      </c>
      <c r="F581" s="205">
        <v>5.5955266928188726E-3</v>
      </c>
    </row>
    <row r="582" spans="1:6">
      <c r="A582" s="210">
        <v>99611000</v>
      </c>
      <c r="B582" s="202" t="s">
        <v>2993</v>
      </c>
      <c r="C582" s="203" t="s">
        <v>2143</v>
      </c>
      <c r="D582" s="204">
        <v>1</v>
      </c>
      <c r="E582" s="204" t="s">
        <v>2013</v>
      </c>
      <c r="F582" s="205">
        <v>5.5955266928188726E-3</v>
      </c>
    </row>
    <row r="583" spans="1:6">
      <c r="A583" s="210">
        <v>99900000</v>
      </c>
      <c r="B583" s="202" t="s">
        <v>5650</v>
      </c>
      <c r="C583" s="203" t="s">
        <v>2143</v>
      </c>
      <c r="D583" s="204">
        <v>1</v>
      </c>
      <c r="E583" s="204" t="s">
        <v>2013</v>
      </c>
      <c r="F583" s="205">
        <v>4.1457862347606123E-3</v>
      </c>
    </row>
    <row r="584" spans="1:6">
      <c r="A584" s="210">
        <v>99911000</v>
      </c>
      <c r="B584" s="202" t="s">
        <v>5651</v>
      </c>
      <c r="C584" s="203" t="s">
        <v>2143</v>
      </c>
      <c r="D584" s="204">
        <v>1</v>
      </c>
      <c r="E584" s="204" t="s">
        <v>2013</v>
      </c>
      <c r="F584" s="205">
        <v>4.1457862347606123E-3</v>
      </c>
    </row>
    <row r="585" spans="1:6">
      <c r="A585" s="210">
        <v>101100000</v>
      </c>
      <c r="B585" s="202" t="s">
        <v>2995</v>
      </c>
      <c r="C585" s="203" t="s">
        <v>2143</v>
      </c>
      <c r="D585" s="204">
        <v>1</v>
      </c>
      <c r="E585" s="204" t="s">
        <v>400</v>
      </c>
      <c r="F585" s="205">
        <v>0.97174011860261089</v>
      </c>
    </row>
    <row r="586" spans="1:6">
      <c r="A586" s="210">
        <v>101111000</v>
      </c>
      <c r="B586" s="202" t="s">
        <v>522</v>
      </c>
      <c r="C586" s="203" t="s">
        <v>2143</v>
      </c>
      <c r="D586" s="204">
        <v>1</v>
      </c>
      <c r="E586" s="204" t="s">
        <v>400</v>
      </c>
      <c r="F586" s="205">
        <v>0.82352940714314826</v>
      </c>
    </row>
    <row r="587" spans="1:6">
      <c r="A587" s="210">
        <v>101112000</v>
      </c>
      <c r="B587" s="202" t="s">
        <v>523</v>
      </c>
      <c r="C587" s="203" t="s">
        <v>2143</v>
      </c>
      <c r="D587" s="204">
        <v>1</v>
      </c>
      <c r="E587" s="204" t="s">
        <v>400</v>
      </c>
      <c r="F587" s="205">
        <v>1.0260197144405083</v>
      </c>
    </row>
    <row r="588" spans="1:6">
      <c r="A588" s="210">
        <v>101113000</v>
      </c>
      <c r="B588" s="202" t="s">
        <v>524</v>
      </c>
      <c r="C588" s="203" t="s">
        <v>2143</v>
      </c>
      <c r="D588" s="204">
        <v>1</v>
      </c>
      <c r="E588" s="204" t="s">
        <v>400</v>
      </c>
      <c r="F588" s="205">
        <v>1.685210232068048</v>
      </c>
    </row>
    <row r="589" spans="1:6">
      <c r="A589" s="210">
        <v>101114000</v>
      </c>
      <c r="B589" s="202" t="s">
        <v>525</v>
      </c>
      <c r="C589" s="203" t="s">
        <v>2143</v>
      </c>
      <c r="D589" s="204">
        <v>1</v>
      </c>
      <c r="E589" s="204" t="s">
        <v>400</v>
      </c>
      <c r="F589" s="205">
        <v>1.0308770169651886</v>
      </c>
    </row>
    <row r="590" spans="1:6">
      <c r="A590" s="210">
        <v>101115000</v>
      </c>
      <c r="B590" s="202" t="s">
        <v>526</v>
      </c>
      <c r="C590" s="203" t="s">
        <v>2143</v>
      </c>
      <c r="D590" s="204">
        <v>1</v>
      </c>
      <c r="E590" s="204" t="s">
        <v>400</v>
      </c>
      <c r="F590" s="205">
        <v>0.20842593074842253</v>
      </c>
    </row>
    <row r="591" spans="1:6">
      <c r="A591" s="210">
        <v>101119000</v>
      </c>
      <c r="B591" s="202" t="s">
        <v>527</v>
      </c>
      <c r="C591" s="203" t="s">
        <v>2143</v>
      </c>
      <c r="D591" s="204">
        <v>1</v>
      </c>
      <c r="E591" s="204" t="s">
        <v>400</v>
      </c>
      <c r="F591" s="205">
        <v>0.87070714413918182</v>
      </c>
    </row>
    <row r="592" spans="1:6">
      <c r="A592" s="210">
        <v>102100000</v>
      </c>
      <c r="B592" s="202" t="s">
        <v>3003</v>
      </c>
      <c r="C592" s="203" t="s">
        <v>2143</v>
      </c>
      <c r="D592" s="204">
        <v>1</v>
      </c>
      <c r="E592" s="204" t="s">
        <v>400</v>
      </c>
      <c r="F592" s="205">
        <v>1.4715105292994153</v>
      </c>
    </row>
    <row r="593" spans="1:6">
      <c r="A593" s="210">
        <v>102111000</v>
      </c>
      <c r="B593" s="202" t="s">
        <v>528</v>
      </c>
      <c r="C593" s="203" t="s">
        <v>2143</v>
      </c>
      <c r="D593" s="204">
        <v>1</v>
      </c>
      <c r="E593" s="204" t="s">
        <v>400</v>
      </c>
      <c r="F593" s="205">
        <v>1.4715105292994153</v>
      </c>
    </row>
    <row r="594" spans="1:6">
      <c r="A594" s="210">
        <v>102200000</v>
      </c>
      <c r="B594" s="202" t="s">
        <v>3006</v>
      </c>
      <c r="C594" s="203" t="s">
        <v>2143</v>
      </c>
      <c r="D594" s="204">
        <v>1</v>
      </c>
      <c r="E594" s="204" t="s">
        <v>400</v>
      </c>
      <c r="F594" s="205">
        <v>1.2851430154674688</v>
      </c>
    </row>
    <row r="595" spans="1:6">
      <c r="A595" s="210">
        <v>102211000</v>
      </c>
      <c r="B595" s="202" t="s">
        <v>529</v>
      </c>
      <c r="C595" s="203" t="s">
        <v>2143</v>
      </c>
      <c r="D595" s="204">
        <v>1</v>
      </c>
      <c r="E595" s="204" t="s">
        <v>400</v>
      </c>
      <c r="F595" s="205">
        <v>1.2851430154674688</v>
      </c>
    </row>
    <row r="596" spans="1:6">
      <c r="A596" s="210">
        <v>102300000</v>
      </c>
      <c r="B596" s="202" t="s">
        <v>3009</v>
      </c>
      <c r="C596" s="203" t="s">
        <v>2143</v>
      </c>
      <c r="D596" s="204">
        <v>1</v>
      </c>
      <c r="E596" s="204" t="s">
        <v>400</v>
      </c>
      <c r="F596" s="205">
        <v>2.0168398042580016</v>
      </c>
    </row>
    <row r="597" spans="1:6">
      <c r="A597" s="210">
        <v>102311000</v>
      </c>
      <c r="B597" s="202" t="s">
        <v>530</v>
      </c>
      <c r="C597" s="203" t="s">
        <v>2143</v>
      </c>
      <c r="D597" s="204">
        <v>1</v>
      </c>
      <c r="E597" s="204" t="s">
        <v>400</v>
      </c>
      <c r="F597" s="205">
        <v>2.0168398042580016</v>
      </c>
    </row>
    <row r="598" spans="1:6">
      <c r="A598" s="210">
        <v>102400000</v>
      </c>
      <c r="B598" s="202" t="s">
        <v>3012</v>
      </c>
      <c r="C598" s="203" t="s">
        <v>2143</v>
      </c>
      <c r="D598" s="204">
        <v>1</v>
      </c>
      <c r="E598" s="204" t="s">
        <v>400</v>
      </c>
      <c r="F598" s="205">
        <v>1.319688337818441</v>
      </c>
    </row>
    <row r="599" spans="1:6">
      <c r="A599" s="210">
        <v>102411000</v>
      </c>
      <c r="B599" s="202" t="s">
        <v>3014</v>
      </c>
      <c r="C599" s="203" t="s">
        <v>2143</v>
      </c>
      <c r="D599" s="204">
        <v>1</v>
      </c>
      <c r="E599" s="204" t="s">
        <v>400</v>
      </c>
      <c r="F599" s="205">
        <v>3.3117474463053682</v>
      </c>
    </row>
    <row r="600" spans="1:6">
      <c r="A600" s="210">
        <v>102412000</v>
      </c>
      <c r="B600" s="202" t="s">
        <v>531</v>
      </c>
      <c r="C600" s="203" t="s">
        <v>2143</v>
      </c>
      <c r="D600" s="204">
        <v>1</v>
      </c>
      <c r="E600" s="204" t="s">
        <v>400</v>
      </c>
      <c r="F600" s="205">
        <v>0.97059946220988813</v>
      </c>
    </row>
    <row r="601" spans="1:6">
      <c r="A601" s="210">
        <v>102413000</v>
      </c>
      <c r="B601" s="202" t="s">
        <v>532</v>
      </c>
      <c r="C601" s="203" t="s">
        <v>2143</v>
      </c>
      <c r="D601" s="204">
        <v>1</v>
      </c>
      <c r="E601" s="204" t="s">
        <v>400</v>
      </c>
      <c r="F601" s="205">
        <v>1.0120022789346548</v>
      </c>
    </row>
    <row r="602" spans="1:6">
      <c r="A602" s="210">
        <v>102414000</v>
      </c>
      <c r="B602" s="202" t="s">
        <v>533</v>
      </c>
      <c r="C602" s="203" t="s">
        <v>2143</v>
      </c>
      <c r="D602" s="204">
        <v>1</v>
      </c>
      <c r="E602" s="204" t="s">
        <v>400</v>
      </c>
      <c r="F602" s="205">
        <v>2.0350629870431494</v>
      </c>
    </row>
    <row r="603" spans="1:6">
      <c r="A603" s="210">
        <v>102415000</v>
      </c>
      <c r="B603" s="202" t="s">
        <v>534</v>
      </c>
      <c r="C603" s="203" t="s">
        <v>2143</v>
      </c>
      <c r="D603" s="204">
        <v>1</v>
      </c>
      <c r="E603" s="204" t="s">
        <v>400</v>
      </c>
      <c r="F603" s="205">
        <v>1.6574945523789473</v>
      </c>
    </row>
    <row r="604" spans="1:6">
      <c r="A604" s="210">
        <v>102416000</v>
      </c>
      <c r="B604" s="202" t="s">
        <v>535</v>
      </c>
      <c r="C604" s="203" t="s">
        <v>2143</v>
      </c>
      <c r="D604" s="204">
        <v>1</v>
      </c>
      <c r="E604" s="204" t="s">
        <v>400</v>
      </c>
      <c r="F604" s="205">
        <v>1.1116549100075215</v>
      </c>
    </row>
    <row r="605" spans="1:6">
      <c r="A605" s="210">
        <v>102419000</v>
      </c>
      <c r="B605" s="202" t="s">
        <v>3021</v>
      </c>
      <c r="C605" s="203" t="s">
        <v>2143</v>
      </c>
      <c r="D605" s="204">
        <v>1</v>
      </c>
      <c r="E605" s="204" t="s">
        <v>400</v>
      </c>
      <c r="F605" s="205">
        <v>1.4168032381769864</v>
      </c>
    </row>
    <row r="606" spans="1:6">
      <c r="A606" s="210">
        <v>103100000</v>
      </c>
      <c r="B606" s="202" t="s">
        <v>3023</v>
      </c>
      <c r="C606" s="203" t="s">
        <v>2143</v>
      </c>
      <c r="D606" s="204">
        <v>1</v>
      </c>
      <c r="E606" s="204" t="s">
        <v>235</v>
      </c>
      <c r="F606" s="205">
        <v>12.750996976061819</v>
      </c>
    </row>
    <row r="607" spans="1:6">
      <c r="A607" s="210">
        <v>103111000</v>
      </c>
      <c r="B607" s="202" t="s">
        <v>536</v>
      </c>
      <c r="C607" s="203" t="s">
        <v>2143</v>
      </c>
      <c r="D607" s="204">
        <v>1</v>
      </c>
      <c r="E607" s="204" t="s">
        <v>235</v>
      </c>
      <c r="F607" s="205">
        <v>10.202439799773638</v>
      </c>
    </row>
    <row r="608" spans="1:6">
      <c r="A608" s="210">
        <v>103112000</v>
      </c>
      <c r="B608" s="202" t="s">
        <v>3026</v>
      </c>
      <c r="C608" s="203" t="s">
        <v>2143</v>
      </c>
      <c r="D608" s="204">
        <v>1</v>
      </c>
      <c r="E608" s="204" t="s">
        <v>235</v>
      </c>
      <c r="F608" s="205">
        <v>13.65532978846846</v>
      </c>
    </row>
    <row r="609" spans="1:6">
      <c r="A609" s="210">
        <v>103113000</v>
      </c>
      <c r="B609" s="202" t="s">
        <v>3028</v>
      </c>
      <c r="C609" s="203" t="s">
        <v>2143</v>
      </c>
      <c r="D609" s="204">
        <v>1</v>
      </c>
      <c r="E609" s="204" t="s">
        <v>235</v>
      </c>
      <c r="F609" s="205">
        <v>15.378944889657687</v>
      </c>
    </row>
    <row r="610" spans="1:6">
      <c r="A610" s="210">
        <v>103200000</v>
      </c>
      <c r="B610" s="202" t="s">
        <v>3030</v>
      </c>
      <c r="C610" s="203" t="s">
        <v>2143</v>
      </c>
      <c r="D610" s="204">
        <v>1</v>
      </c>
      <c r="E610" s="204" t="s">
        <v>235</v>
      </c>
      <c r="F610" s="205">
        <v>13.714315003722614</v>
      </c>
    </row>
    <row r="611" spans="1:6">
      <c r="A611" s="210">
        <v>103211000</v>
      </c>
      <c r="B611" s="202" t="s">
        <v>537</v>
      </c>
      <c r="C611" s="203" t="s">
        <v>2143</v>
      </c>
      <c r="D611" s="204">
        <v>1</v>
      </c>
      <c r="E611" s="204" t="s">
        <v>235</v>
      </c>
      <c r="F611" s="205">
        <v>13.714315003722614</v>
      </c>
    </row>
    <row r="612" spans="1:6">
      <c r="A612" s="210">
        <v>104100000</v>
      </c>
      <c r="B612" s="202" t="s">
        <v>3033</v>
      </c>
      <c r="C612" s="203" t="s">
        <v>2143</v>
      </c>
      <c r="D612" s="204">
        <v>1</v>
      </c>
      <c r="E612" s="204" t="s">
        <v>235</v>
      </c>
      <c r="F612" s="205">
        <v>3.436678525430005E-2</v>
      </c>
    </row>
    <row r="613" spans="1:6">
      <c r="A613" s="210">
        <v>104111000</v>
      </c>
      <c r="B613" s="202" t="s">
        <v>538</v>
      </c>
      <c r="C613" s="203" t="s">
        <v>2143</v>
      </c>
      <c r="D613" s="204">
        <v>1</v>
      </c>
      <c r="E613" s="204" t="s">
        <v>235</v>
      </c>
      <c r="F613" s="205">
        <v>3.436678525430005E-2</v>
      </c>
    </row>
    <row r="614" spans="1:6">
      <c r="A614" s="210">
        <v>105100000</v>
      </c>
      <c r="B614" s="202" t="s">
        <v>3036</v>
      </c>
      <c r="C614" s="203" t="s">
        <v>2143</v>
      </c>
      <c r="D614" s="204">
        <v>1</v>
      </c>
      <c r="E614" s="204" t="s">
        <v>2144</v>
      </c>
      <c r="F614" s="205">
        <v>4.8429963317346419E-3</v>
      </c>
    </row>
    <row r="615" spans="1:6">
      <c r="A615" s="210">
        <v>105111000</v>
      </c>
      <c r="B615" s="202" t="s">
        <v>3038</v>
      </c>
      <c r="C615" s="203" t="s">
        <v>2143</v>
      </c>
      <c r="D615" s="204">
        <v>1</v>
      </c>
      <c r="E615" s="204" t="s">
        <v>2144</v>
      </c>
      <c r="F615" s="205">
        <v>4.8429963317346419E-3</v>
      </c>
    </row>
    <row r="616" spans="1:6">
      <c r="A616" s="210">
        <v>105200000</v>
      </c>
      <c r="B616" s="202" t="s">
        <v>3040</v>
      </c>
      <c r="C616" s="203" t="s">
        <v>2143</v>
      </c>
      <c r="D616" s="204">
        <v>1</v>
      </c>
      <c r="E616" s="204" t="s">
        <v>235</v>
      </c>
      <c r="F616" s="205">
        <v>3.5350185356958832</v>
      </c>
    </row>
    <row r="617" spans="1:6">
      <c r="A617" s="210">
        <v>105211000</v>
      </c>
      <c r="B617" s="202" t="s">
        <v>3042</v>
      </c>
      <c r="C617" s="203" t="s">
        <v>2143</v>
      </c>
      <c r="D617" s="204">
        <v>1</v>
      </c>
      <c r="E617" s="204" t="s">
        <v>235</v>
      </c>
      <c r="F617" s="205">
        <v>3.5350185356958832</v>
      </c>
    </row>
    <row r="618" spans="1:6">
      <c r="A618" s="210">
        <v>106100000</v>
      </c>
      <c r="B618" s="202" t="s">
        <v>3044</v>
      </c>
      <c r="C618" s="203" t="s">
        <v>2143</v>
      </c>
      <c r="D618" s="204">
        <v>1</v>
      </c>
      <c r="E618" s="204" t="s">
        <v>235</v>
      </c>
      <c r="F618" s="205">
        <v>0.65571799247362061</v>
      </c>
    </row>
    <row r="619" spans="1:6">
      <c r="A619" s="210">
        <v>106111000</v>
      </c>
      <c r="B619" s="202" t="s">
        <v>3046</v>
      </c>
      <c r="C619" s="203" t="s">
        <v>2143</v>
      </c>
      <c r="D619" s="204">
        <v>1</v>
      </c>
      <c r="E619" s="204" t="s">
        <v>235</v>
      </c>
      <c r="F619" s="205">
        <v>0.54076546840777795</v>
      </c>
    </row>
    <row r="620" spans="1:6">
      <c r="A620" s="210">
        <v>106112000</v>
      </c>
      <c r="B620" s="202" t="s">
        <v>539</v>
      </c>
      <c r="C620" s="203" t="s">
        <v>2143</v>
      </c>
      <c r="D620" s="204">
        <v>1</v>
      </c>
      <c r="E620" s="204" t="s">
        <v>235</v>
      </c>
      <c r="F620" s="205">
        <v>9.2549111591419191</v>
      </c>
    </row>
    <row r="621" spans="1:6">
      <c r="A621" s="210">
        <v>106200000</v>
      </c>
      <c r="B621" s="202" t="s">
        <v>3049</v>
      </c>
      <c r="C621" s="203" t="s">
        <v>2143</v>
      </c>
      <c r="D621" s="204">
        <v>1</v>
      </c>
      <c r="E621" s="204" t="s">
        <v>2013</v>
      </c>
      <c r="F621" s="205">
        <v>7.6377587954408284E-3</v>
      </c>
    </row>
    <row r="622" spans="1:6">
      <c r="A622" s="210">
        <v>106211000</v>
      </c>
      <c r="B622" s="202" t="s">
        <v>540</v>
      </c>
      <c r="C622" s="203" t="s">
        <v>2143</v>
      </c>
      <c r="D622" s="204">
        <v>1</v>
      </c>
      <c r="E622" s="204" t="s">
        <v>2013</v>
      </c>
      <c r="F622" s="205">
        <v>7.6377587954408284E-3</v>
      </c>
    </row>
    <row r="623" spans="1:6">
      <c r="A623" s="210">
        <v>106300000</v>
      </c>
      <c r="B623" s="202" t="s">
        <v>3052</v>
      </c>
      <c r="C623" s="203" t="s">
        <v>2143</v>
      </c>
      <c r="D623" s="204">
        <v>1</v>
      </c>
      <c r="E623" s="204" t="s">
        <v>235</v>
      </c>
      <c r="F623" s="205">
        <v>6.9893228104549246E-2</v>
      </c>
    </row>
    <row r="624" spans="1:6">
      <c r="A624" s="210">
        <v>106311000</v>
      </c>
      <c r="B624" s="202" t="s">
        <v>541</v>
      </c>
      <c r="C624" s="203" t="s">
        <v>2143</v>
      </c>
      <c r="D624" s="204">
        <v>1</v>
      </c>
      <c r="E624" s="204" t="s">
        <v>235</v>
      </c>
      <c r="F624" s="205">
        <v>6.9893228104549246E-2</v>
      </c>
    </row>
    <row r="625" spans="1:6">
      <c r="A625" s="210">
        <v>110000801</v>
      </c>
      <c r="B625" s="202" t="s">
        <v>3055</v>
      </c>
      <c r="C625" s="203" t="s">
        <v>2143</v>
      </c>
      <c r="D625" s="204">
        <v>1</v>
      </c>
      <c r="E625" s="204" t="s">
        <v>279</v>
      </c>
      <c r="F625" s="205">
        <v>1.5370000141956552E-4</v>
      </c>
    </row>
    <row r="626" spans="1:6">
      <c r="A626" s="210">
        <v>111100000</v>
      </c>
      <c r="B626" s="202" t="s">
        <v>3057</v>
      </c>
      <c r="C626" s="203" t="s">
        <v>2143</v>
      </c>
      <c r="D626" s="204">
        <v>1</v>
      </c>
      <c r="E626" s="204" t="s">
        <v>235</v>
      </c>
      <c r="F626" s="205">
        <v>20.292384643581062</v>
      </c>
    </row>
    <row r="627" spans="1:6">
      <c r="A627" s="210">
        <v>111111000</v>
      </c>
      <c r="B627" s="202" t="s">
        <v>542</v>
      </c>
      <c r="C627" s="203" t="s">
        <v>2143</v>
      </c>
      <c r="D627" s="204">
        <v>1</v>
      </c>
      <c r="E627" s="204" t="s">
        <v>235</v>
      </c>
      <c r="F627" s="205">
        <v>20.292384643581062</v>
      </c>
    </row>
    <row r="628" spans="1:6">
      <c r="A628" s="210">
        <v>112000701</v>
      </c>
      <c r="B628" s="202" t="s">
        <v>550</v>
      </c>
      <c r="C628" s="203" t="s">
        <v>2143</v>
      </c>
      <c r="D628" s="204">
        <v>1</v>
      </c>
      <c r="E628" s="204" t="s">
        <v>235</v>
      </c>
      <c r="F628" s="205">
        <v>3.3550927193435962</v>
      </c>
    </row>
    <row r="629" spans="1:6">
      <c r="A629" s="210">
        <v>112000702</v>
      </c>
      <c r="B629" s="202" t="s">
        <v>551</v>
      </c>
      <c r="C629" s="203" t="s">
        <v>2143</v>
      </c>
      <c r="D629" s="204">
        <v>1</v>
      </c>
      <c r="E629" s="204" t="s">
        <v>235</v>
      </c>
      <c r="F629" s="205">
        <v>7.3332434668142055</v>
      </c>
    </row>
    <row r="630" spans="1:6">
      <c r="A630" s="210">
        <v>112100000</v>
      </c>
      <c r="B630" s="202" t="s">
        <v>3061</v>
      </c>
      <c r="C630" s="203" t="s">
        <v>2143</v>
      </c>
      <c r="D630" s="204">
        <v>1</v>
      </c>
      <c r="E630" s="204" t="s">
        <v>235</v>
      </c>
      <c r="F630" s="205">
        <v>4.2293115012089464</v>
      </c>
    </row>
    <row r="631" spans="1:6">
      <c r="A631" s="210">
        <v>112111000</v>
      </c>
      <c r="B631" s="202" t="s">
        <v>543</v>
      </c>
      <c r="C631" s="203" t="s">
        <v>2143</v>
      </c>
      <c r="D631" s="204">
        <v>1</v>
      </c>
      <c r="E631" s="204" t="s">
        <v>235</v>
      </c>
      <c r="F631" s="205">
        <v>4.2293115012089464</v>
      </c>
    </row>
    <row r="632" spans="1:6">
      <c r="A632" s="210">
        <v>112200000</v>
      </c>
      <c r="B632" s="202" t="s">
        <v>3064</v>
      </c>
      <c r="C632" s="203" t="s">
        <v>2143</v>
      </c>
      <c r="D632" s="204">
        <v>1</v>
      </c>
      <c r="E632" s="204" t="s">
        <v>235</v>
      </c>
      <c r="F632" s="205">
        <v>7.6894309956426437</v>
      </c>
    </row>
    <row r="633" spans="1:6">
      <c r="A633" s="210">
        <v>112211000</v>
      </c>
      <c r="B633" s="202" t="s">
        <v>544</v>
      </c>
      <c r="C633" s="203" t="s">
        <v>2143</v>
      </c>
      <c r="D633" s="204">
        <v>1</v>
      </c>
      <c r="E633" s="204" t="s">
        <v>235</v>
      </c>
      <c r="F633" s="205">
        <v>7.6894309956426437</v>
      </c>
    </row>
    <row r="634" spans="1:6">
      <c r="A634" s="210">
        <v>112211200</v>
      </c>
      <c r="B634" s="202" t="s">
        <v>545</v>
      </c>
      <c r="C634" s="203" t="s">
        <v>2143</v>
      </c>
      <c r="D634" s="204">
        <v>1</v>
      </c>
      <c r="E634" s="204" t="s">
        <v>235</v>
      </c>
      <c r="F634" s="205">
        <v>10.923019698333599</v>
      </c>
    </row>
    <row r="635" spans="1:6">
      <c r="A635" s="210">
        <v>112300000</v>
      </c>
      <c r="B635" s="202" t="s">
        <v>3067</v>
      </c>
      <c r="C635" s="203" t="s">
        <v>2143</v>
      </c>
      <c r="D635" s="204">
        <v>1</v>
      </c>
      <c r="E635" s="204" t="s">
        <v>235</v>
      </c>
      <c r="F635" s="205">
        <v>13.116228238365988</v>
      </c>
    </row>
    <row r="636" spans="1:6">
      <c r="A636" s="210">
        <v>112311000</v>
      </c>
      <c r="B636" s="202" t="s">
        <v>546</v>
      </c>
      <c r="C636" s="203" t="s">
        <v>2143</v>
      </c>
      <c r="D636" s="204">
        <v>1</v>
      </c>
      <c r="E636" s="204" t="s">
        <v>235</v>
      </c>
      <c r="F636" s="205">
        <v>13.116228238365988</v>
      </c>
    </row>
    <row r="637" spans="1:6">
      <c r="A637" s="210">
        <v>112311201</v>
      </c>
      <c r="B637" s="202" t="s">
        <v>547</v>
      </c>
      <c r="C637" s="203" t="s">
        <v>2143</v>
      </c>
      <c r="D637" s="204">
        <v>1</v>
      </c>
      <c r="E637" s="204" t="s">
        <v>235</v>
      </c>
      <c r="F637" s="205">
        <v>8.4386605116645903</v>
      </c>
    </row>
    <row r="638" spans="1:6">
      <c r="A638" s="210">
        <v>112311619</v>
      </c>
      <c r="B638" s="202" t="s">
        <v>5652</v>
      </c>
      <c r="C638" s="203" t="s">
        <v>5553</v>
      </c>
      <c r="D638" s="204">
        <v>1</v>
      </c>
      <c r="E638" s="204" t="s">
        <v>235</v>
      </c>
      <c r="F638" s="205">
        <v>0</v>
      </c>
    </row>
    <row r="639" spans="1:6">
      <c r="A639" s="210">
        <v>112900000</v>
      </c>
      <c r="B639" s="202" t="s">
        <v>3070</v>
      </c>
      <c r="C639" s="203" t="s">
        <v>2143</v>
      </c>
      <c r="D639" s="204">
        <v>1</v>
      </c>
      <c r="E639" s="204" t="s">
        <v>235</v>
      </c>
      <c r="F639" s="205">
        <v>11.535347729137042</v>
      </c>
    </row>
    <row r="640" spans="1:6">
      <c r="A640" s="210">
        <v>112911000</v>
      </c>
      <c r="B640" s="202" t="s">
        <v>548</v>
      </c>
      <c r="C640" s="203" t="s">
        <v>2143</v>
      </c>
      <c r="D640" s="204">
        <v>1</v>
      </c>
      <c r="E640" s="204" t="s">
        <v>235</v>
      </c>
      <c r="F640" s="205">
        <v>11.535347729137042</v>
      </c>
    </row>
    <row r="641" spans="1:6">
      <c r="A641" s="210">
        <v>112911200</v>
      </c>
      <c r="B641" s="202" t="s">
        <v>549</v>
      </c>
      <c r="C641" s="203" t="s">
        <v>2143</v>
      </c>
      <c r="D641" s="204">
        <v>1</v>
      </c>
      <c r="E641" s="204" t="s">
        <v>235</v>
      </c>
      <c r="F641" s="205">
        <v>11.031674169228733</v>
      </c>
    </row>
    <row r="642" spans="1:6">
      <c r="A642" s="210">
        <v>114100000</v>
      </c>
      <c r="B642" s="202" t="s">
        <v>3073</v>
      </c>
      <c r="C642" s="203" t="s">
        <v>2143</v>
      </c>
      <c r="D642" s="204">
        <v>1</v>
      </c>
      <c r="E642" s="204" t="s">
        <v>425</v>
      </c>
      <c r="F642" s="205">
        <v>5.3359438648654969</v>
      </c>
    </row>
    <row r="643" spans="1:6">
      <c r="A643" s="210">
        <v>114111000</v>
      </c>
      <c r="B643" s="202" t="s">
        <v>3075</v>
      </c>
      <c r="C643" s="203" t="s">
        <v>2143</v>
      </c>
      <c r="D643" s="204">
        <v>1</v>
      </c>
      <c r="E643" s="204" t="s">
        <v>425</v>
      </c>
      <c r="F643" s="205">
        <v>5.3359438648654969</v>
      </c>
    </row>
    <row r="644" spans="1:6">
      <c r="A644" s="210">
        <v>114111200</v>
      </c>
      <c r="B644" s="202" t="s">
        <v>5653</v>
      </c>
      <c r="C644" s="203" t="s">
        <v>2143</v>
      </c>
      <c r="D644" s="204">
        <v>1</v>
      </c>
      <c r="E644" s="204" t="s">
        <v>425</v>
      </c>
      <c r="F644" s="205">
        <v>0.69171867963428224</v>
      </c>
    </row>
    <row r="645" spans="1:6">
      <c r="A645" s="210">
        <v>114111201</v>
      </c>
      <c r="B645" s="202" t="s">
        <v>5654</v>
      </c>
      <c r="C645" s="203" t="s">
        <v>2143</v>
      </c>
      <c r="D645" s="204">
        <v>1</v>
      </c>
      <c r="E645" s="204" t="s">
        <v>425</v>
      </c>
      <c r="F645" s="205">
        <v>1.1867021747923574</v>
      </c>
    </row>
    <row r="646" spans="1:6">
      <c r="A646" s="210">
        <v>114111202</v>
      </c>
      <c r="B646" s="202" t="s">
        <v>5655</v>
      </c>
      <c r="C646" s="203" t="s">
        <v>2143</v>
      </c>
      <c r="D646" s="204">
        <v>1</v>
      </c>
      <c r="E646" s="204" t="s">
        <v>425</v>
      </c>
      <c r="F646" s="205">
        <v>0.68355123997090517</v>
      </c>
    </row>
    <row r="647" spans="1:6">
      <c r="A647" s="210">
        <v>114111203</v>
      </c>
      <c r="B647" s="202" t="s">
        <v>5656</v>
      </c>
      <c r="C647" s="203" t="s">
        <v>2143</v>
      </c>
      <c r="D647" s="204">
        <v>1</v>
      </c>
      <c r="E647" s="204" t="s">
        <v>425</v>
      </c>
      <c r="F647" s="205">
        <v>0.69097005102819797</v>
      </c>
    </row>
    <row r="648" spans="1:6">
      <c r="A648" s="210">
        <v>114111204</v>
      </c>
      <c r="B648" s="202" t="s">
        <v>5657</v>
      </c>
      <c r="C648" s="203" t="s">
        <v>2143</v>
      </c>
      <c r="D648" s="204">
        <v>1</v>
      </c>
      <c r="E648" s="204" t="s">
        <v>425</v>
      </c>
      <c r="F648" s="205">
        <v>0.76157891453819959</v>
      </c>
    </row>
    <row r="649" spans="1:6">
      <c r="A649" s="210">
        <v>114111205</v>
      </c>
      <c r="B649" s="202" t="s">
        <v>5658</v>
      </c>
      <c r="C649" s="203" t="s">
        <v>2143</v>
      </c>
      <c r="D649" s="204">
        <v>1</v>
      </c>
      <c r="E649" s="204" t="s">
        <v>425</v>
      </c>
      <c r="F649" s="205">
        <v>0.90041436738870528</v>
      </c>
    </row>
    <row r="650" spans="1:6">
      <c r="A650" s="210">
        <v>114111206</v>
      </c>
      <c r="B650" s="202" t="s">
        <v>5659</v>
      </c>
      <c r="C650" s="203" t="s">
        <v>2143</v>
      </c>
      <c r="D650" s="204">
        <v>1</v>
      </c>
      <c r="E650" s="204" t="s">
        <v>425</v>
      </c>
      <c r="F650" s="205">
        <v>1.2254411104144143</v>
      </c>
    </row>
    <row r="651" spans="1:6">
      <c r="A651" s="210">
        <v>114111207</v>
      </c>
      <c r="B651" s="202" t="s">
        <v>3077</v>
      </c>
      <c r="C651" s="203" t="s">
        <v>2143</v>
      </c>
      <c r="D651" s="204">
        <v>1</v>
      </c>
      <c r="E651" s="204" t="s">
        <v>235</v>
      </c>
      <c r="F651" s="205">
        <v>15.129416785838091</v>
      </c>
    </row>
    <row r="652" spans="1:6">
      <c r="A652" s="210">
        <v>114200000</v>
      </c>
      <c r="B652" s="202" t="s">
        <v>3079</v>
      </c>
      <c r="C652" s="203" t="s">
        <v>2143</v>
      </c>
      <c r="D652" s="204">
        <v>1</v>
      </c>
      <c r="E652" s="204" t="s">
        <v>425</v>
      </c>
      <c r="F652" s="205">
        <v>5.0516280043769752</v>
      </c>
    </row>
    <row r="653" spans="1:6">
      <c r="A653" s="210">
        <v>114211000</v>
      </c>
      <c r="B653" s="202" t="s">
        <v>3081</v>
      </c>
      <c r="C653" s="203" t="s">
        <v>2143</v>
      </c>
      <c r="D653" s="204">
        <v>1</v>
      </c>
      <c r="E653" s="204" t="s">
        <v>425</v>
      </c>
      <c r="F653" s="205">
        <v>5.0516280043769752</v>
      </c>
    </row>
    <row r="654" spans="1:6">
      <c r="A654" s="210">
        <v>114211200</v>
      </c>
      <c r="B654" s="202" t="s">
        <v>5660</v>
      </c>
      <c r="C654" s="203" t="s">
        <v>2143</v>
      </c>
      <c r="D654" s="204">
        <v>1</v>
      </c>
      <c r="E654" s="204" t="s">
        <v>425</v>
      </c>
      <c r="F654" s="205">
        <v>0.54886600159543419</v>
      </c>
    </row>
    <row r="655" spans="1:6">
      <c r="A655" s="210">
        <v>114211201</v>
      </c>
      <c r="B655" s="202" t="s">
        <v>5661</v>
      </c>
      <c r="C655" s="203" t="s">
        <v>2143</v>
      </c>
      <c r="D655" s="204">
        <v>1</v>
      </c>
      <c r="E655" s="204" t="s">
        <v>425</v>
      </c>
      <c r="F655" s="205">
        <v>0.95249640116790057</v>
      </c>
    </row>
    <row r="656" spans="1:6">
      <c r="A656" s="210">
        <v>114211204</v>
      </c>
      <c r="B656" s="202" t="s">
        <v>3083</v>
      </c>
      <c r="C656" s="203" t="s">
        <v>2143</v>
      </c>
      <c r="D656" s="204">
        <v>1</v>
      </c>
      <c r="E656" s="204" t="s">
        <v>235</v>
      </c>
      <c r="F656" s="205">
        <v>19.479626092163805</v>
      </c>
    </row>
    <row r="657" spans="1:6">
      <c r="A657" s="210">
        <v>114211205</v>
      </c>
      <c r="B657" s="202" t="s">
        <v>3085</v>
      </c>
      <c r="C657" s="203" t="s">
        <v>2143</v>
      </c>
      <c r="D657" s="204">
        <v>1</v>
      </c>
      <c r="E657" s="204" t="s">
        <v>235</v>
      </c>
      <c r="F657" s="205">
        <v>22.305471685505147</v>
      </c>
    </row>
    <row r="658" spans="1:6">
      <c r="A658" s="210">
        <v>114300000</v>
      </c>
      <c r="B658" s="202" t="s">
        <v>3087</v>
      </c>
      <c r="C658" s="203" t="s">
        <v>2143</v>
      </c>
      <c r="D658" s="204">
        <v>1</v>
      </c>
      <c r="E658" s="204" t="s">
        <v>425</v>
      </c>
      <c r="F658" s="205">
        <v>5.6311875464526366</v>
      </c>
    </row>
    <row r="659" spans="1:6">
      <c r="A659" s="210">
        <v>114311000</v>
      </c>
      <c r="B659" s="202" t="s">
        <v>3089</v>
      </c>
      <c r="C659" s="203" t="s">
        <v>2143</v>
      </c>
      <c r="D659" s="204">
        <v>1</v>
      </c>
      <c r="E659" s="204" t="s">
        <v>425</v>
      </c>
      <c r="F659" s="205">
        <v>5.6311875464526366</v>
      </c>
    </row>
    <row r="660" spans="1:6">
      <c r="A660" s="210">
        <v>114311200</v>
      </c>
      <c r="B660" s="202" t="s">
        <v>5662</v>
      </c>
      <c r="C660" s="203" t="s">
        <v>2143</v>
      </c>
      <c r="D660" s="204">
        <v>1</v>
      </c>
      <c r="E660" s="204" t="s">
        <v>425</v>
      </c>
      <c r="F660" s="205">
        <v>3.3187326438575733</v>
      </c>
    </row>
    <row r="661" spans="1:6">
      <c r="A661" s="210">
        <v>114311201</v>
      </c>
      <c r="B661" s="202" t="s">
        <v>5663</v>
      </c>
      <c r="C661" s="203" t="s">
        <v>2143</v>
      </c>
      <c r="D661" s="204">
        <v>1</v>
      </c>
      <c r="E661" s="204" t="s">
        <v>425</v>
      </c>
      <c r="F661" s="205">
        <v>2.2295478053164115</v>
      </c>
    </row>
    <row r="662" spans="1:6">
      <c r="A662" s="210">
        <v>114311202</v>
      </c>
      <c r="B662" s="202" t="s">
        <v>5664</v>
      </c>
      <c r="C662" s="203" t="s">
        <v>2143</v>
      </c>
      <c r="D662" s="204">
        <v>1</v>
      </c>
      <c r="E662" s="204" t="s">
        <v>235</v>
      </c>
      <c r="F662" s="205">
        <v>14.833881037035354</v>
      </c>
    </row>
    <row r="663" spans="1:6">
      <c r="A663" s="210">
        <v>114311203</v>
      </c>
      <c r="B663" s="202" t="s">
        <v>5665</v>
      </c>
      <c r="C663" s="203" t="s">
        <v>2143</v>
      </c>
      <c r="D663" s="204">
        <v>1</v>
      </c>
      <c r="E663" s="204" t="s">
        <v>235</v>
      </c>
      <c r="F663" s="205">
        <v>18.903543174351022</v>
      </c>
    </row>
    <row r="664" spans="1:6">
      <c r="A664" s="210">
        <v>114400000</v>
      </c>
      <c r="B664" s="202" t="s">
        <v>3091</v>
      </c>
      <c r="C664" s="203" t="s">
        <v>2143</v>
      </c>
      <c r="D664" s="204">
        <v>1</v>
      </c>
      <c r="E664" s="204" t="s">
        <v>425</v>
      </c>
      <c r="F664" s="205">
        <v>5.5094113745788427</v>
      </c>
    </row>
    <row r="665" spans="1:6">
      <c r="A665" s="210">
        <v>114411000</v>
      </c>
      <c r="B665" s="202" t="s">
        <v>3093</v>
      </c>
      <c r="C665" s="203" t="s">
        <v>2143</v>
      </c>
      <c r="D665" s="204">
        <v>1</v>
      </c>
      <c r="E665" s="204" t="s">
        <v>425</v>
      </c>
      <c r="F665" s="205">
        <v>5.5094113745788427</v>
      </c>
    </row>
    <row r="666" spans="1:6">
      <c r="A666" s="210">
        <v>114900000</v>
      </c>
      <c r="B666" s="202" t="s">
        <v>3095</v>
      </c>
      <c r="C666" s="203" t="s">
        <v>2143</v>
      </c>
      <c r="D666" s="204">
        <v>1</v>
      </c>
      <c r="E666" s="204" t="s">
        <v>425</v>
      </c>
      <c r="F666" s="205">
        <v>4.2792990293817903</v>
      </c>
    </row>
    <row r="667" spans="1:6">
      <c r="A667" s="210">
        <v>114911000</v>
      </c>
      <c r="B667" s="202" t="s">
        <v>3097</v>
      </c>
      <c r="C667" s="203" t="s">
        <v>2143</v>
      </c>
      <c r="D667" s="204">
        <v>1</v>
      </c>
      <c r="E667" s="204" t="s">
        <v>425</v>
      </c>
      <c r="F667" s="205">
        <v>4.2792990293817903</v>
      </c>
    </row>
    <row r="668" spans="1:6">
      <c r="A668" s="210">
        <v>115100000</v>
      </c>
      <c r="B668" s="202" t="s">
        <v>3099</v>
      </c>
      <c r="C668" s="203" t="s">
        <v>2143</v>
      </c>
      <c r="D668" s="204">
        <v>1</v>
      </c>
      <c r="E668" s="204" t="s">
        <v>235</v>
      </c>
      <c r="F668" s="205">
        <v>11.295692003570299</v>
      </c>
    </row>
    <row r="669" spans="1:6">
      <c r="A669" s="210">
        <v>115111000</v>
      </c>
      <c r="B669" s="202" t="s">
        <v>554</v>
      </c>
      <c r="C669" s="203" t="s">
        <v>2143</v>
      </c>
      <c r="D669" s="204">
        <v>1</v>
      </c>
      <c r="E669" s="204" t="s">
        <v>235</v>
      </c>
      <c r="F669" s="205">
        <v>11.295692003570299</v>
      </c>
    </row>
    <row r="670" spans="1:6">
      <c r="A670" s="210">
        <v>115200000</v>
      </c>
      <c r="B670" s="202" t="s">
        <v>3102</v>
      </c>
      <c r="C670" s="203" t="s">
        <v>2143</v>
      </c>
      <c r="D670" s="204">
        <v>1</v>
      </c>
      <c r="E670" s="204" t="s">
        <v>235</v>
      </c>
      <c r="F670" s="205">
        <v>13.641209699757269</v>
      </c>
    </row>
    <row r="671" spans="1:6">
      <c r="A671" s="210">
        <v>115211000</v>
      </c>
      <c r="B671" s="202" t="s">
        <v>555</v>
      </c>
      <c r="C671" s="203" t="s">
        <v>2143</v>
      </c>
      <c r="D671" s="204">
        <v>1</v>
      </c>
      <c r="E671" s="204" t="s">
        <v>235</v>
      </c>
      <c r="F671" s="205">
        <v>13.641209699757269</v>
      </c>
    </row>
    <row r="672" spans="1:6">
      <c r="A672" s="210">
        <v>115300000</v>
      </c>
      <c r="B672" s="202" t="s">
        <v>3105</v>
      </c>
      <c r="C672" s="203" t="s">
        <v>2143</v>
      </c>
      <c r="D672" s="204">
        <v>1</v>
      </c>
      <c r="E672" s="204" t="s">
        <v>235</v>
      </c>
      <c r="F672" s="205">
        <v>15.601634657242132</v>
      </c>
    </row>
    <row r="673" spans="1:6">
      <c r="A673" s="210">
        <v>115311000</v>
      </c>
      <c r="B673" s="202" t="s">
        <v>556</v>
      </c>
      <c r="C673" s="203" t="s">
        <v>2143</v>
      </c>
      <c r="D673" s="204">
        <v>1</v>
      </c>
      <c r="E673" s="204" t="s">
        <v>235</v>
      </c>
      <c r="F673" s="205">
        <v>15.601634657242132</v>
      </c>
    </row>
    <row r="674" spans="1:6">
      <c r="A674" s="210">
        <v>116000700</v>
      </c>
      <c r="B674" s="202" t="s">
        <v>3108</v>
      </c>
      <c r="C674" s="203" t="s">
        <v>2143</v>
      </c>
      <c r="D674" s="204">
        <v>1</v>
      </c>
      <c r="E674" s="204" t="s">
        <v>425</v>
      </c>
      <c r="F674" s="205">
        <v>1.1005995260773418</v>
      </c>
    </row>
    <row r="675" spans="1:6">
      <c r="A675" s="210">
        <v>116100700</v>
      </c>
      <c r="B675" s="202" t="s">
        <v>3110</v>
      </c>
      <c r="C675" s="203" t="s">
        <v>2143</v>
      </c>
      <c r="D675" s="204">
        <v>1</v>
      </c>
      <c r="E675" s="204" t="s">
        <v>425</v>
      </c>
      <c r="F675" s="205">
        <v>1.1005995260773418</v>
      </c>
    </row>
    <row r="676" spans="1:6">
      <c r="A676" s="210">
        <v>116200700</v>
      </c>
      <c r="B676" s="202" t="s">
        <v>3112</v>
      </c>
      <c r="C676" s="203" t="s">
        <v>2143</v>
      </c>
      <c r="D676" s="204">
        <v>1</v>
      </c>
      <c r="E676" s="204" t="s">
        <v>425</v>
      </c>
      <c r="F676" s="205">
        <v>1.0944838087106765</v>
      </c>
    </row>
    <row r="677" spans="1:6">
      <c r="A677" s="210">
        <v>117100000</v>
      </c>
      <c r="B677" s="202" t="s">
        <v>3114</v>
      </c>
      <c r="C677" s="203" t="s">
        <v>2143</v>
      </c>
      <c r="D677" s="204">
        <v>1</v>
      </c>
      <c r="E677" s="204" t="s">
        <v>235</v>
      </c>
      <c r="F677" s="205">
        <v>14.734182339956783</v>
      </c>
    </row>
    <row r="678" spans="1:6">
      <c r="A678" s="210">
        <v>117111000</v>
      </c>
      <c r="B678" s="202" t="s">
        <v>557</v>
      </c>
      <c r="C678" s="203" t="s">
        <v>2143</v>
      </c>
      <c r="D678" s="204">
        <v>1</v>
      </c>
      <c r="E678" s="204" t="s">
        <v>235</v>
      </c>
      <c r="F678" s="205">
        <v>14.734182339956783</v>
      </c>
    </row>
    <row r="679" spans="1:6">
      <c r="A679" s="210">
        <v>117200000</v>
      </c>
      <c r="B679" s="202" t="s">
        <v>3117</v>
      </c>
      <c r="C679" s="203" t="s">
        <v>2143</v>
      </c>
      <c r="D679" s="204">
        <v>1</v>
      </c>
      <c r="E679" s="204" t="s">
        <v>235</v>
      </c>
      <c r="F679" s="205">
        <v>18.73179145213755</v>
      </c>
    </row>
    <row r="680" spans="1:6">
      <c r="A680" s="210">
        <v>117211000</v>
      </c>
      <c r="B680" s="202" t="s">
        <v>558</v>
      </c>
      <c r="C680" s="203" t="s">
        <v>2143</v>
      </c>
      <c r="D680" s="204">
        <v>1</v>
      </c>
      <c r="E680" s="204" t="s">
        <v>235</v>
      </c>
      <c r="F680" s="205">
        <v>18.73179145213755</v>
      </c>
    </row>
    <row r="681" spans="1:6">
      <c r="A681" s="210">
        <v>117900000</v>
      </c>
      <c r="B681" s="202" t="s">
        <v>5666</v>
      </c>
      <c r="C681" s="203" t="s">
        <v>2143</v>
      </c>
      <c r="D681" s="204">
        <v>1</v>
      </c>
      <c r="E681" s="204" t="s">
        <v>2013</v>
      </c>
      <c r="F681" s="205">
        <v>7.7347562425629937E-3</v>
      </c>
    </row>
    <row r="682" spans="1:6">
      <c r="A682" s="210">
        <v>117911000</v>
      </c>
      <c r="B682" s="202" t="s">
        <v>559</v>
      </c>
      <c r="C682" s="203" t="s">
        <v>2143</v>
      </c>
      <c r="D682" s="204">
        <v>1</v>
      </c>
      <c r="E682" s="204" t="s">
        <v>2013</v>
      </c>
      <c r="F682" s="205">
        <v>7.7347562425629937E-3</v>
      </c>
    </row>
    <row r="683" spans="1:6">
      <c r="A683" s="210">
        <v>118100000</v>
      </c>
      <c r="B683" s="202" t="s">
        <v>3120</v>
      </c>
      <c r="C683" s="203" t="s">
        <v>2143</v>
      </c>
      <c r="D683" s="204">
        <v>1</v>
      </c>
      <c r="E683" s="204" t="s">
        <v>425</v>
      </c>
      <c r="F683" s="205">
        <v>4.2068742142716111</v>
      </c>
    </row>
    <row r="684" spans="1:6">
      <c r="A684" s="210">
        <v>118111000</v>
      </c>
      <c r="B684" s="202" t="s">
        <v>560</v>
      </c>
      <c r="C684" s="203" t="s">
        <v>2143</v>
      </c>
      <c r="D684" s="204">
        <v>1</v>
      </c>
      <c r="E684" s="204" t="s">
        <v>425</v>
      </c>
      <c r="F684" s="205">
        <v>4.2068742142716111</v>
      </c>
    </row>
    <row r="685" spans="1:6">
      <c r="A685" s="210">
        <v>118200000</v>
      </c>
      <c r="B685" s="202" t="s">
        <v>3123</v>
      </c>
      <c r="C685" s="203" t="s">
        <v>2143</v>
      </c>
      <c r="D685" s="204">
        <v>1</v>
      </c>
      <c r="E685" s="204" t="s">
        <v>425</v>
      </c>
      <c r="F685" s="205">
        <v>1.8940376876922986</v>
      </c>
    </row>
    <row r="686" spans="1:6">
      <c r="A686" s="210">
        <v>118211000</v>
      </c>
      <c r="B686" s="202" t="s">
        <v>561</v>
      </c>
      <c r="C686" s="203" t="s">
        <v>2143</v>
      </c>
      <c r="D686" s="204">
        <v>1</v>
      </c>
      <c r="E686" s="204" t="s">
        <v>425</v>
      </c>
      <c r="F686" s="205">
        <v>1.8940376876922986</v>
      </c>
    </row>
    <row r="687" spans="1:6">
      <c r="A687" s="210">
        <v>118300000</v>
      </c>
      <c r="B687" s="202" t="s">
        <v>3126</v>
      </c>
      <c r="C687" s="203" t="s">
        <v>2143</v>
      </c>
      <c r="D687" s="204">
        <v>1</v>
      </c>
      <c r="E687" s="204" t="s">
        <v>425</v>
      </c>
      <c r="F687" s="205">
        <v>2.6551946457965769</v>
      </c>
    </row>
    <row r="688" spans="1:6">
      <c r="A688" s="210">
        <v>118311000</v>
      </c>
      <c r="B688" s="202" t="s">
        <v>562</v>
      </c>
      <c r="C688" s="203" t="s">
        <v>2143</v>
      </c>
      <c r="D688" s="204">
        <v>1</v>
      </c>
      <c r="E688" s="204" t="s">
        <v>425</v>
      </c>
      <c r="F688" s="205">
        <v>2.6551946457965769</v>
      </c>
    </row>
    <row r="689" spans="1:6">
      <c r="A689" s="210">
        <v>118400000</v>
      </c>
      <c r="B689" s="202" t="s">
        <v>3129</v>
      </c>
      <c r="C689" s="203" t="s">
        <v>2143</v>
      </c>
      <c r="D689" s="204">
        <v>1</v>
      </c>
      <c r="E689" s="204" t="s">
        <v>235</v>
      </c>
      <c r="F689" s="205">
        <v>32.382724406737132</v>
      </c>
    </row>
    <row r="690" spans="1:6">
      <c r="A690" s="210">
        <v>118411000</v>
      </c>
      <c r="B690" s="202" t="s">
        <v>563</v>
      </c>
      <c r="C690" s="203" t="s">
        <v>2143</v>
      </c>
      <c r="D690" s="204">
        <v>1</v>
      </c>
      <c r="E690" s="204" t="s">
        <v>235</v>
      </c>
      <c r="F690" s="205">
        <v>32.382724406737132</v>
      </c>
    </row>
    <row r="691" spans="1:6">
      <c r="A691" s="210">
        <v>118500000</v>
      </c>
      <c r="B691" s="202" t="s">
        <v>3132</v>
      </c>
      <c r="C691" s="203" t="s">
        <v>2143</v>
      </c>
      <c r="D691" s="204">
        <v>1</v>
      </c>
      <c r="E691" s="204" t="s">
        <v>235</v>
      </c>
      <c r="F691" s="205">
        <v>21.390585086555824</v>
      </c>
    </row>
    <row r="692" spans="1:6">
      <c r="A692" s="210">
        <v>118511000</v>
      </c>
      <c r="B692" s="202" t="s">
        <v>564</v>
      </c>
      <c r="C692" s="203" t="s">
        <v>2143</v>
      </c>
      <c r="D692" s="204">
        <v>1</v>
      </c>
      <c r="E692" s="204" t="s">
        <v>235</v>
      </c>
      <c r="F692" s="205">
        <v>21.390585086555824</v>
      </c>
    </row>
    <row r="693" spans="1:6">
      <c r="A693" s="210">
        <v>118900000</v>
      </c>
      <c r="B693" s="202" t="s">
        <v>5667</v>
      </c>
      <c r="C693" s="203" t="s">
        <v>2143</v>
      </c>
      <c r="D693" s="204">
        <v>1</v>
      </c>
      <c r="E693" s="204" t="s">
        <v>2013</v>
      </c>
      <c r="F693" s="205">
        <v>4.3525504030112339E-3</v>
      </c>
    </row>
    <row r="694" spans="1:6">
      <c r="A694" s="210">
        <v>118919000</v>
      </c>
      <c r="B694" s="202" t="s">
        <v>565</v>
      </c>
      <c r="C694" s="203" t="s">
        <v>2143</v>
      </c>
      <c r="D694" s="204">
        <v>1</v>
      </c>
      <c r="E694" s="204" t="s">
        <v>2013</v>
      </c>
      <c r="F694" s="205">
        <v>4.3525504030112339E-3</v>
      </c>
    </row>
    <row r="695" spans="1:6">
      <c r="A695" s="210">
        <v>119100000</v>
      </c>
      <c r="B695" s="202" t="s">
        <v>3135</v>
      </c>
      <c r="C695" s="203" t="s">
        <v>2143</v>
      </c>
      <c r="D695" s="204">
        <v>1</v>
      </c>
      <c r="E695" s="204" t="s">
        <v>235</v>
      </c>
      <c r="F695" s="205">
        <v>3.771600824583067</v>
      </c>
    </row>
    <row r="696" spans="1:6">
      <c r="A696" s="210">
        <v>119111000</v>
      </c>
      <c r="B696" s="202" t="s">
        <v>3137</v>
      </c>
      <c r="C696" s="203" t="s">
        <v>2143</v>
      </c>
      <c r="D696" s="204">
        <v>1</v>
      </c>
      <c r="E696" s="204" t="s">
        <v>235</v>
      </c>
      <c r="F696" s="205">
        <v>3.771600824583067</v>
      </c>
    </row>
    <row r="697" spans="1:6">
      <c r="A697" s="210">
        <v>119200000</v>
      </c>
      <c r="B697" s="202" t="s">
        <v>3139</v>
      </c>
      <c r="C697" s="203" t="s">
        <v>2143</v>
      </c>
      <c r="D697" s="204">
        <v>1</v>
      </c>
      <c r="E697" s="204" t="s">
        <v>235</v>
      </c>
      <c r="F697" s="205">
        <v>6.638234963380043</v>
      </c>
    </row>
    <row r="698" spans="1:6">
      <c r="A698" s="210">
        <v>119211000</v>
      </c>
      <c r="B698" s="202" t="s">
        <v>3141</v>
      </c>
      <c r="C698" s="203" t="s">
        <v>2143</v>
      </c>
      <c r="D698" s="204">
        <v>1</v>
      </c>
      <c r="E698" s="204" t="s">
        <v>235</v>
      </c>
      <c r="F698" s="205">
        <v>6.638234963380043</v>
      </c>
    </row>
    <row r="699" spans="1:6">
      <c r="A699" s="210">
        <v>119300000</v>
      </c>
      <c r="B699" s="202" t="s">
        <v>3143</v>
      </c>
      <c r="C699" s="203" t="s">
        <v>2143</v>
      </c>
      <c r="D699" s="204">
        <v>1</v>
      </c>
      <c r="E699" s="204" t="s">
        <v>235</v>
      </c>
      <c r="F699" s="205">
        <v>6.7873106093289346</v>
      </c>
    </row>
    <row r="700" spans="1:6">
      <c r="A700" s="210">
        <v>119311000</v>
      </c>
      <c r="B700" s="202" t="s">
        <v>566</v>
      </c>
      <c r="C700" s="203" t="s">
        <v>2143</v>
      </c>
      <c r="D700" s="204">
        <v>1</v>
      </c>
      <c r="E700" s="204" t="s">
        <v>235</v>
      </c>
      <c r="F700" s="205">
        <v>6.7873106093289346</v>
      </c>
    </row>
    <row r="701" spans="1:6">
      <c r="A701" s="210">
        <v>119400000</v>
      </c>
      <c r="B701" s="202" t="s">
        <v>3146</v>
      </c>
      <c r="C701" s="203" t="s">
        <v>2143</v>
      </c>
      <c r="D701" s="204">
        <v>1</v>
      </c>
      <c r="E701" s="204" t="s">
        <v>425</v>
      </c>
      <c r="F701" s="205">
        <v>10.420159128173538</v>
      </c>
    </row>
    <row r="702" spans="1:6">
      <c r="A702" s="210">
        <v>119411000</v>
      </c>
      <c r="B702" s="202" t="s">
        <v>567</v>
      </c>
      <c r="C702" s="203" t="s">
        <v>2143</v>
      </c>
      <c r="D702" s="204">
        <v>1</v>
      </c>
      <c r="E702" s="204" t="s">
        <v>425</v>
      </c>
      <c r="F702" s="205">
        <v>10.420159128173538</v>
      </c>
    </row>
    <row r="703" spans="1:6">
      <c r="A703" s="210">
        <v>119500000</v>
      </c>
      <c r="B703" s="202" t="s">
        <v>5668</v>
      </c>
      <c r="C703" s="203" t="s">
        <v>2143</v>
      </c>
      <c r="D703" s="204">
        <v>1</v>
      </c>
      <c r="E703" s="204" t="s">
        <v>2013</v>
      </c>
      <c r="F703" s="205">
        <v>9.7678367937082539E-3</v>
      </c>
    </row>
    <row r="704" spans="1:6">
      <c r="A704" s="210">
        <v>119511000</v>
      </c>
      <c r="B704" s="202" t="s">
        <v>5669</v>
      </c>
      <c r="C704" s="203" t="s">
        <v>2143</v>
      </c>
      <c r="D704" s="204">
        <v>1</v>
      </c>
      <c r="E704" s="204" t="s">
        <v>2013</v>
      </c>
      <c r="F704" s="205">
        <v>9.7678367937082539E-3</v>
      </c>
    </row>
    <row r="705" spans="1:6">
      <c r="A705" s="210">
        <v>119600000</v>
      </c>
      <c r="B705" s="202" t="s">
        <v>5670</v>
      </c>
      <c r="C705" s="203" t="s">
        <v>2143</v>
      </c>
      <c r="D705" s="204">
        <v>1</v>
      </c>
      <c r="E705" s="204" t="s">
        <v>2013</v>
      </c>
      <c r="F705" s="205">
        <v>6.8886570736718831E-3</v>
      </c>
    </row>
    <row r="706" spans="1:6">
      <c r="A706" s="210">
        <v>119611000</v>
      </c>
      <c r="B706" s="202" t="s">
        <v>568</v>
      </c>
      <c r="C706" s="203" t="s">
        <v>2143</v>
      </c>
      <c r="D706" s="204">
        <v>1</v>
      </c>
      <c r="E706" s="204" t="s">
        <v>2013</v>
      </c>
      <c r="F706" s="205">
        <v>6.8886570736718831E-3</v>
      </c>
    </row>
    <row r="707" spans="1:6">
      <c r="A707" s="210">
        <v>119900000</v>
      </c>
      <c r="B707" s="202" t="s">
        <v>5671</v>
      </c>
      <c r="C707" s="203" t="s">
        <v>2143</v>
      </c>
      <c r="D707" s="204">
        <v>1</v>
      </c>
      <c r="E707" s="204" t="s">
        <v>2013</v>
      </c>
      <c r="F707" s="205">
        <v>8.0215025884695819E-3</v>
      </c>
    </row>
    <row r="708" spans="1:6">
      <c r="A708" s="210">
        <v>119911000</v>
      </c>
      <c r="B708" s="202" t="s">
        <v>569</v>
      </c>
      <c r="C708" s="203" t="s">
        <v>2143</v>
      </c>
      <c r="D708" s="204">
        <v>1</v>
      </c>
      <c r="E708" s="204" t="s">
        <v>2013</v>
      </c>
      <c r="F708" s="205">
        <v>8.0215025884695819E-3</v>
      </c>
    </row>
    <row r="709" spans="1:6">
      <c r="A709" s="210">
        <v>121100000</v>
      </c>
      <c r="B709" s="202" t="s">
        <v>3149</v>
      </c>
      <c r="C709" s="203" t="s">
        <v>2143</v>
      </c>
      <c r="D709" s="204">
        <v>1</v>
      </c>
      <c r="E709" s="204" t="s">
        <v>2013</v>
      </c>
      <c r="F709" s="205">
        <v>3.14827334628855E-3</v>
      </c>
    </row>
    <row r="710" spans="1:6">
      <c r="A710" s="210">
        <v>121111000</v>
      </c>
      <c r="B710" s="202" t="s">
        <v>570</v>
      </c>
      <c r="C710" s="203" t="s">
        <v>2143</v>
      </c>
      <c r="D710" s="204">
        <v>1</v>
      </c>
      <c r="E710" s="204" t="s">
        <v>2013</v>
      </c>
      <c r="F710" s="205">
        <v>3.14827334628855E-3</v>
      </c>
    </row>
    <row r="711" spans="1:6">
      <c r="A711" s="210">
        <v>121200000</v>
      </c>
      <c r="B711" s="202" t="s">
        <v>3152</v>
      </c>
      <c r="C711" s="203" t="s">
        <v>2143</v>
      </c>
      <c r="D711" s="204">
        <v>1</v>
      </c>
      <c r="E711" s="204" t="s">
        <v>2013</v>
      </c>
      <c r="F711" s="205">
        <v>2.88258261908333E-3</v>
      </c>
    </row>
    <row r="712" spans="1:6">
      <c r="A712" s="210">
        <v>121211000</v>
      </c>
      <c r="B712" s="202" t="s">
        <v>571</v>
      </c>
      <c r="C712" s="203" t="s">
        <v>2143</v>
      </c>
      <c r="D712" s="204">
        <v>1</v>
      </c>
      <c r="E712" s="204" t="s">
        <v>2013</v>
      </c>
      <c r="F712" s="205">
        <v>2.88258261908333E-3</v>
      </c>
    </row>
    <row r="713" spans="1:6">
      <c r="A713" s="210">
        <v>121300000</v>
      </c>
      <c r="B713" s="202" t="s">
        <v>3155</v>
      </c>
      <c r="C713" s="203" t="s">
        <v>2143</v>
      </c>
      <c r="D713" s="204">
        <v>1</v>
      </c>
      <c r="E713" s="204" t="s">
        <v>2013</v>
      </c>
      <c r="F713" s="205">
        <v>2.2844114017406161E-3</v>
      </c>
    </row>
    <row r="714" spans="1:6">
      <c r="A714" s="210">
        <v>121311000</v>
      </c>
      <c r="B714" s="202" t="s">
        <v>572</v>
      </c>
      <c r="C714" s="203" t="s">
        <v>2143</v>
      </c>
      <c r="D714" s="204">
        <v>1</v>
      </c>
      <c r="E714" s="204" t="s">
        <v>2013</v>
      </c>
      <c r="F714" s="205">
        <v>2.2844114017406161E-3</v>
      </c>
    </row>
    <row r="715" spans="1:6">
      <c r="A715" s="210">
        <v>121400000</v>
      </c>
      <c r="B715" s="202" t="s">
        <v>3158</v>
      </c>
      <c r="C715" s="203" t="s">
        <v>2143</v>
      </c>
      <c r="D715" s="204">
        <v>1</v>
      </c>
      <c r="E715" s="204" t="s">
        <v>2013</v>
      </c>
      <c r="F715" s="205">
        <v>2.4044134850924894E-3</v>
      </c>
    </row>
    <row r="716" spans="1:6">
      <c r="A716" s="210">
        <v>121411000</v>
      </c>
      <c r="B716" s="202" t="s">
        <v>573</v>
      </c>
      <c r="C716" s="203" t="s">
        <v>2143</v>
      </c>
      <c r="D716" s="204">
        <v>1</v>
      </c>
      <c r="E716" s="204" t="s">
        <v>2013</v>
      </c>
      <c r="F716" s="205">
        <v>2.4044134850924894E-3</v>
      </c>
    </row>
    <row r="717" spans="1:6">
      <c r="A717" s="210">
        <v>121500000</v>
      </c>
      <c r="B717" s="202" t="s">
        <v>5672</v>
      </c>
      <c r="C717" s="203" t="s">
        <v>2143</v>
      </c>
      <c r="D717" s="204">
        <v>1</v>
      </c>
      <c r="E717" s="204" t="s">
        <v>2013</v>
      </c>
      <c r="F717" s="205">
        <v>2.2638657839184973E-3</v>
      </c>
    </row>
    <row r="718" spans="1:6">
      <c r="A718" s="210">
        <v>121511000</v>
      </c>
      <c r="B718" s="202" t="s">
        <v>574</v>
      </c>
      <c r="C718" s="203" t="s">
        <v>2143</v>
      </c>
      <c r="D718" s="204">
        <v>1</v>
      </c>
      <c r="E718" s="204" t="s">
        <v>2013</v>
      </c>
      <c r="F718" s="205">
        <v>2.2638657839184973E-3</v>
      </c>
    </row>
    <row r="719" spans="1:6">
      <c r="A719" s="210">
        <v>121600000</v>
      </c>
      <c r="B719" s="202" t="s">
        <v>3161</v>
      </c>
      <c r="C719" s="203" t="s">
        <v>2143</v>
      </c>
      <c r="D719" s="204">
        <v>1</v>
      </c>
      <c r="E719" s="204" t="s">
        <v>2013</v>
      </c>
      <c r="F719" s="205">
        <v>2.1162965253188606E-3</v>
      </c>
    </row>
    <row r="720" spans="1:6">
      <c r="A720" s="210">
        <v>121611000</v>
      </c>
      <c r="B720" s="202" t="s">
        <v>575</v>
      </c>
      <c r="C720" s="203" t="s">
        <v>2143</v>
      </c>
      <c r="D720" s="204">
        <v>1</v>
      </c>
      <c r="E720" s="204" t="s">
        <v>2013</v>
      </c>
      <c r="F720" s="205">
        <v>2.1162965253188606E-3</v>
      </c>
    </row>
    <row r="721" spans="1:6">
      <c r="A721" s="210">
        <v>122100000</v>
      </c>
      <c r="B721" s="202" t="s">
        <v>3164</v>
      </c>
      <c r="C721" s="203" t="s">
        <v>2143</v>
      </c>
      <c r="D721" s="204">
        <v>1</v>
      </c>
      <c r="E721" s="204" t="s">
        <v>2013</v>
      </c>
      <c r="F721" s="205">
        <v>6.380765083885704E-3</v>
      </c>
    </row>
    <row r="722" spans="1:6">
      <c r="A722" s="210">
        <v>122111000</v>
      </c>
      <c r="B722" s="202" t="s">
        <v>3166</v>
      </c>
      <c r="C722" s="203" t="s">
        <v>2143</v>
      </c>
      <c r="D722" s="204">
        <v>1</v>
      </c>
      <c r="E722" s="204" t="s">
        <v>2013</v>
      </c>
      <c r="F722" s="205">
        <v>6.380765083885704E-3</v>
      </c>
    </row>
    <row r="723" spans="1:6">
      <c r="A723" s="210">
        <v>122200000</v>
      </c>
      <c r="B723" s="202" t="s">
        <v>3168</v>
      </c>
      <c r="C723" s="203" t="s">
        <v>2143</v>
      </c>
      <c r="D723" s="204">
        <v>1</v>
      </c>
      <c r="E723" s="204" t="s">
        <v>2013</v>
      </c>
      <c r="F723" s="205">
        <v>6.2488750523526917E-3</v>
      </c>
    </row>
    <row r="724" spans="1:6">
      <c r="A724" s="210">
        <v>122211000</v>
      </c>
      <c r="B724" s="202" t="s">
        <v>576</v>
      </c>
      <c r="C724" s="203" t="s">
        <v>2143</v>
      </c>
      <c r="D724" s="204">
        <v>1</v>
      </c>
      <c r="E724" s="204" t="s">
        <v>2013</v>
      </c>
      <c r="F724" s="205">
        <v>6.2488750523526917E-3</v>
      </c>
    </row>
    <row r="725" spans="1:6">
      <c r="A725" s="210">
        <v>122300000</v>
      </c>
      <c r="B725" s="202" t="s">
        <v>3171</v>
      </c>
      <c r="C725" s="203" t="s">
        <v>2143</v>
      </c>
      <c r="D725" s="204">
        <v>1</v>
      </c>
      <c r="E725" s="204" t="s">
        <v>2013</v>
      </c>
      <c r="F725" s="205">
        <v>2.2566397413486235E-3</v>
      </c>
    </row>
    <row r="726" spans="1:6">
      <c r="A726" s="210">
        <v>122311000</v>
      </c>
      <c r="B726" s="202" t="s">
        <v>577</v>
      </c>
      <c r="C726" s="203" t="s">
        <v>2143</v>
      </c>
      <c r="D726" s="204">
        <v>1</v>
      </c>
      <c r="E726" s="204" t="s">
        <v>2013</v>
      </c>
      <c r="F726" s="205">
        <v>2.2566397413486235E-3</v>
      </c>
    </row>
    <row r="727" spans="1:6">
      <c r="A727" s="210">
        <v>122900000</v>
      </c>
      <c r="B727" s="202" t="s">
        <v>3174</v>
      </c>
      <c r="C727" s="203" t="s">
        <v>2143</v>
      </c>
      <c r="D727" s="204">
        <v>1</v>
      </c>
      <c r="E727" s="204" t="s">
        <v>2013</v>
      </c>
      <c r="F727" s="205">
        <v>6.1139572611933531E-3</v>
      </c>
    </row>
    <row r="728" spans="1:6">
      <c r="A728" s="210">
        <v>122911000</v>
      </c>
      <c r="B728" s="202" t="s">
        <v>578</v>
      </c>
      <c r="C728" s="203" t="s">
        <v>2143</v>
      </c>
      <c r="D728" s="204">
        <v>1</v>
      </c>
      <c r="E728" s="204" t="s">
        <v>2013</v>
      </c>
      <c r="F728" s="205">
        <v>6.1139572611933531E-3</v>
      </c>
    </row>
    <row r="729" spans="1:6">
      <c r="A729" s="210">
        <v>123100000</v>
      </c>
      <c r="B729" s="202" t="s">
        <v>3177</v>
      </c>
      <c r="C729" s="203" t="s">
        <v>2143</v>
      </c>
      <c r="D729" s="204">
        <v>1</v>
      </c>
      <c r="E729" s="204" t="s">
        <v>2013</v>
      </c>
      <c r="F729" s="205">
        <v>2.4085450724810153E-3</v>
      </c>
    </row>
    <row r="730" spans="1:6">
      <c r="A730" s="210">
        <v>123111000</v>
      </c>
      <c r="B730" s="202" t="s">
        <v>579</v>
      </c>
      <c r="C730" s="203" t="s">
        <v>2143</v>
      </c>
      <c r="D730" s="204">
        <v>1</v>
      </c>
      <c r="E730" s="204" t="s">
        <v>2013</v>
      </c>
      <c r="F730" s="205">
        <v>2.4085450724810153E-3</v>
      </c>
    </row>
    <row r="731" spans="1:6">
      <c r="A731" s="210">
        <v>123200000</v>
      </c>
      <c r="B731" s="202" t="s">
        <v>3180</v>
      </c>
      <c r="C731" s="203" t="s">
        <v>2143</v>
      </c>
      <c r="D731" s="204">
        <v>1</v>
      </c>
      <c r="E731" s="204" t="s">
        <v>2013</v>
      </c>
      <c r="F731" s="205">
        <v>6.3058013204180512E-3</v>
      </c>
    </row>
    <row r="732" spans="1:6">
      <c r="A732" s="210">
        <v>123211000</v>
      </c>
      <c r="B732" s="202" t="s">
        <v>580</v>
      </c>
      <c r="C732" s="203" t="s">
        <v>2143</v>
      </c>
      <c r="D732" s="204">
        <v>1</v>
      </c>
      <c r="E732" s="204" t="s">
        <v>2013</v>
      </c>
      <c r="F732" s="205">
        <v>6.3058013204180512E-3</v>
      </c>
    </row>
    <row r="733" spans="1:6">
      <c r="A733" s="210">
        <v>123300000</v>
      </c>
      <c r="B733" s="202" t="s">
        <v>5673</v>
      </c>
      <c r="C733" s="203" t="s">
        <v>2143</v>
      </c>
      <c r="D733" s="204">
        <v>1</v>
      </c>
      <c r="E733" s="204" t="s">
        <v>2013</v>
      </c>
      <c r="F733" s="205">
        <v>2.511447068175807E-3</v>
      </c>
    </row>
    <row r="734" spans="1:6">
      <c r="A734" s="210">
        <v>123311000</v>
      </c>
      <c r="B734" s="202" t="s">
        <v>581</v>
      </c>
      <c r="C734" s="203" t="s">
        <v>2143</v>
      </c>
      <c r="D734" s="204">
        <v>1</v>
      </c>
      <c r="E734" s="204" t="s">
        <v>2013</v>
      </c>
      <c r="F734" s="205">
        <v>2.511447068175807E-3</v>
      </c>
    </row>
    <row r="735" spans="1:6">
      <c r="A735" s="210">
        <v>123400000</v>
      </c>
      <c r="B735" s="202" t="s">
        <v>5674</v>
      </c>
      <c r="C735" s="203" t="s">
        <v>2143</v>
      </c>
      <c r="D735" s="204">
        <v>1</v>
      </c>
      <c r="E735" s="204" t="s">
        <v>2013</v>
      </c>
      <c r="F735" s="205">
        <v>7.3970840189442914E-3</v>
      </c>
    </row>
    <row r="736" spans="1:6">
      <c r="A736" s="210">
        <v>123411000</v>
      </c>
      <c r="B736" s="202" t="s">
        <v>582</v>
      </c>
      <c r="C736" s="203" t="s">
        <v>2143</v>
      </c>
      <c r="D736" s="204">
        <v>1</v>
      </c>
      <c r="E736" s="204" t="s">
        <v>2013</v>
      </c>
      <c r="F736" s="205">
        <v>7.3970840189442914E-3</v>
      </c>
    </row>
    <row r="737" spans="1:6">
      <c r="A737" s="210">
        <v>123500000</v>
      </c>
      <c r="B737" s="202" t="s">
        <v>5675</v>
      </c>
      <c r="C737" s="203" t="s">
        <v>2143</v>
      </c>
      <c r="D737" s="204">
        <v>1</v>
      </c>
      <c r="E737" s="204" t="s">
        <v>2013</v>
      </c>
      <c r="F737" s="205">
        <v>2.4090630986228876E-3</v>
      </c>
    </row>
    <row r="738" spans="1:6">
      <c r="A738" s="210">
        <v>123511000</v>
      </c>
      <c r="B738" s="202" t="s">
        <v>583</v>
      </c>
      <c r="C738" s="203" t="s">
        <v>2143</v>
      </c>
      <c r="D738" s="204">
        <v>1</v>
      </c>
      <c r="E738" s="204" t="s">
        <v>2013</v>
      </c>
      <c r="F738" s="205">
        <v>2.4090630986228876E-3</v>
      </c>
    </row>
    <row r="739" spans="1:6">
      <c r="A739" s="210">
        <v>124100000</v>
      </c>
      <c r="B739" s="202" t="s">
        <v>5676</v>
      </c>
      <c r="C739" s="203" t="s">
        <v>2143</v>
      </c>
      <c r="D739" s="204">
        <v>1</v>
      </c>
      <c r="E739" s="204" t="s">
        <v>2013</v>
      </c>
      <c r="F739" s="205">
        <v>2.4915727952792279E-3</v>
      </c>
    </row>
    <row r="740" spans="1:6">
      <c r="A740" s="210">
        <v>124111000</v>
      </c>
      <c r="B740" s="202" t="s">
        <v>584</v>
      </c>
      <c r="C740" s="203" t="s">
        <v>2143</v>
      </c>
      <c r="D740" s="204">
        <v>1</v>
      </c>
      <c r="E740" s="204" t="s">
        <v>2013</v>
      </c>
      <c r="F740" s="205">
        <v>2.4915727952792279E-3</v>
      </c>
    </row>
    <row r="741" spans="1:6">
      <c r="A741" s="210">
        <v>124200000</v>
      </c>
      <c r="B741" s="202" t="s">
        <v>5677</v>
      </c>
      <c r="C741" s="203" t="s">
        <v>2143</v>
      </c>
      <c r="D741" s="204">
        <v>1</v>
      </c>
      <c r="E741" s="204" t="s">
        <v>2013</v>
      </c>
      <c r="F741" s="205">
        <v>1.6241145073010678E-3</v>
      </c>
    </row>
    <row r="742" spans="1:6">
      <c r="A742" s="210">
        <v>124211000</v>
      </c>
      <c r="B742" s="202" t="s">
        <v>585</v>
      </c>
      <c r="C742" s="203" t="s">
        <v>2143</v>
      </c>
      <c r="D742" s="204">
        <v>1</v>
      </c>
      <c r="E742" s="204" t="s">
        <v>2013</v>
      </c>
      <c r="F742" s="205">
        <v>1.6241145073010678E-3</v>
      </c>
    </row>
    <row r="743" spans="1:6">
      <c r="A743" s="210">
        <v>125100000</v>
      </c>
      <c r="B743" s="202" t="s">
        <v>3183</v>
      </c>
      <c r="C743" s="203" t="s">
        <v>2143</v>
      </c>
      <c r="D743" s="204">
        <v>1</v>
      </c>
      <c r="E743" s="204" t="s">
        <v>2013</v>
      </c>
      <c r="F743" s="205">
        <v>2.8627298855088616E-3</v>
      </c>
    </row>
    <row r="744" spans="1:6">
      <c r="A744" s="210">
        <v>125111000</v>
      </c>
      <c r="B744" s="202" t="s">
        <v>586</v>
      </c>
      <c r="C744" s="203" t="s">
        <v>2143</v>
      </c>
      <c r="D744" s="204">
        <v>1</v>
      </c>
      <c r="E744" s="204" t="s">
        <v>2013</v>
      </c>
      <c r="F744" s="205">
        <v>2.8627298855088616E-3</v>
      </c>
    </row>
    <row r="745" spans="1:6">
      <c r="A745" s="210">
        <v>125200000</v>
      </c>
      <c r="B745" s="202" t="s">
        <v>3186</v>
      </c>
      <c r="C745" s="203" t="s">
        <v>2143</v>
      </c>
      <c r="D745" s="204">
        <v>1</v>
      </c>
      <c r="E745" s="204" t="s">
        <v>2013</v>
      </c>
      <c r="F745" s="205">
        <v>2.4317847202794131E-3</v>
      </c>
    </row>
    <row r="746" spans="1:6">
      <c r="A746" s="210">
        <v>125211000</v>
      </c>
      <c r="B746" s="202" t="s">
        <v>3188</v>
      </c>
      <c r="C746" s="203" t="s">
        <v>2143</v>
      </c>
      <c r="D746" s="204">
        <v>1</v>
      </c>
      <c r="E746" s="204" t="s">
        <v>2013</v>
      </c>
      <c r="F746" s="205">
        <v>2.4317847202794131E-3</v>
      </c>
    </row>
    <row r="747" spans="1:6">
      <c r="A747" s="210">
        <v>125300000</v>
      </c>
      <c r="B747" s="202" t="s">
        <v>3190</v>
      </c>
      <c r="C747" s="203" t="s">
        <v>2143</v>
      </c>
      <c r="D747" s="204">
        <v>1</v>
      </c>
      <c r="E747" s="204" t="s">
        <v>2013</v>
      </c>
      <c r="F747" s="205">
        <v>2.1693162204791078E-3</v>
      </c>
    </row>
    <row r="748" spans="1:6">
      <c r="A748" s="210">
        <v>125311000</v>
      </c>
      <c r="B748" s="202" t="s">
        <v>587</v>
      </c>
      <c r="C748" s="203" t="s">
        <v>2143</v>
      </c>
      <c r="D748" s="204">
        <v>1</v>
      </c>
      <c r="E748" s="204" t="s">
        <v>2013</v>
      </c>
      <c r="F748" s="205">
        <v>2.1693162204791078E-3</v>
      </c>
    </row>
    <row r="749" spans="1:6">
      <c r="A749" s="210">
        <v>125400000</v>
      </c>
      <c r="B749" s="202" t="s">
        <v>3193</v>
      </c>
      <c r="C749" s="203" t="s">
        <v>2143</v>
      </c>
      <c r="D749" s="204">
        <v>1</v>
      </c>
      <c r="E749" s="204" t="s">
        <v>2013</v>
      </c>
      <c r="F749" s="205">
        <v>2.3734674762188814E-3</v>
      </c>
    </row>
    <row r="750" spans="1:6">
      <c r="A750" s="210">
        <v>125411000</v>
      </c>
      <c r="B750" s="202" t="s">
        <v>588</v>
      </c>
      <c r="C750" s="203" t="s">
        <v>2143</v>
      </c>
      <c r="D750" s="204">
        <v>1</v>
      </c>
      <c r="E750" s="204" t="s">
        <v>2013</v>
      </c>
      <c r="F750" s="205">
        <v>2.3734674762188814E-3</v>
      </c>
    </row>
    <row r="751" spans="1:6">
      <c r="A751" s="210">
        <v>125500000</v>
      </c>
      <c r="B751" s="202" t="s">
        <v>3196</v>
      </c>
      <c r="C751" s="203" t="s">
        <v>2143</v>
      </c>
      <c r="D751" s="204">
        <v>1</v>
      </c>
      <c r="E751" s="204" t="s">
        <v>2013</v>
      </c>
      <c r="F751" s="205">
        <v>2.1064542139567007E-3</v>
      </c>
    </row>
    <row r="752" spans="1:6">
      <c r="A752" s="210">
        <v>125511000</v>
      </c>
      <c r="B752" s="202" t="s">
        <v>589</v>
      </c>
      <c r="C752" s="203" t="s">
        <v>2143</v>
      </c>
      <c r="D752" s="204">
        <v>1</v>
      </c>
      <c r="E752" s="204" t="s">
        <v>2013</v>
      </c>
      <c r="F752" s="205">
        <v>2.1064542139567007E-3</v>
      </c>
    </row>
    <row r="753" spans="1:6">
      <c r="A753" s="210">
        <v>125600000</v>
      </c>
      <c r="B753" s="202" t="s">
        <v>5678</v>
      </c>
      <c r="C753" s="203" t="s">
        <v>2143</v>
      </c>
      <c r="D753" s="204">
        <v>1</v>
      </c>
      <c r="E753" s="204" t="s">
        <v>2013</v>
      </c>
      <c r="F753" s="205">
        <v>2.4831499816999423E-3</v>
      </c>
    </row>
    <row r="754" spans="1:6">
      <c r="A754" s="210">
        <v>125611000</v>
      </c>
      <c r="B754" s="202" t="s">
        <v>5679</v>
      </c>
      <c r="C754" s="203" t="s">
        <v>2143</v>
      </c>
      <c r="D754" s="204">
        <v>1</v>
      </c>
      <c r="E754" s="204" t="s">
        <v>2013</v>
      </c>
      <c r="F754" s="205">
        <v>2.4831499816999423E-3</v>
      </c>
    </row>
    <row r="755" spans="1:6">
      <c r="A755" s="210">
        <v>125700000</v>
      </c>
      <c r="B755" s="202" t="s">
        <v>5680</v>
      </c>
      <c r="C755" s="203" t="s">
        <v>2143</v>
      </c>
      <c r="D755" s="204">
        <v>1</v>
      </c>
      <c r="E755" s="204" t="s">
        <v>2013</v>
      </c>
      <c r="F755" s="205">
        <v>5.7016838119420127E-3</v>
      </c>
    </row>
    <row r="756" spans="1:6">
      <c r="A756" s="210">
        <v>125711000</v>
      </c>
      <c r="B756" s="202" t="s">
        <v>591</v>
      </c>
      <c r="C756" s="203" t="s">
        <v>2143</v>
      </c>
      <c r="D756" s="204">
        <v>1</v>
      </c>
      <c r="E756" s="204" t="s">
        <v>2013</v>
      </c>
      <c r="F756" s="205">
        <v>5.7016838119420127E-3</v>
      </c>
    </row>
    <row r="757" spans="1:6">
      <c r="A757" s="210">
        <v>125900000</v>
      </c>
      <c r="B757" s="202" t="s">
        <v>5681</v>
      </c>
      <c r="C757" s="203" t="s">
        <v>2143</v>
      </c>
      <c r="D757" s="204">
        <v>1</v>
      </c>
      <c r="E757" s="204" t="s">
        <v>2013</v>
      </c>
      <c r="F757" s="205">
        <v>4.3038073498071856E-3</v>
      </c>
    </row>
    <row r="758" spans="1:6">
      <c r="A758" s="210">
        <v>125911000</v>
      </c>
      <c r="B758" s="202" t="s">
        <v>590</v>
      </c>
      <c r="C758" s="203" t="s">
        <v>2143</v>
      </c>
      <c r="D758" s="204">
        <v>1</v>
      </c>
      <c r="E758" s="204" t="s">
        <v>2013</v>
      </c>
      <c r="F758" s="205">
        <v>4.3038073498071856E-3</v>
      </c>
    </row>
    <row r="759" spans="1:6">
      <c r="A759" s="210">
        <v>129100000</v>
      </c>
      <c r="B759" s="202" t="s">
        <v>3199</v>
      </c>
      <c r="C759" s="203" t="s">
        <v>2143</v>
      </c>
      <c r="D759" s="204">
        <v>1</v>
      </c>
      <c r="E759" s="204" t="s">
        <v>2013</v>
      </c>
      <c r="F759" s="205">
        <v>4.9409700921265133E-3</v>
      </c>
    </row>
    <row r="760" spans="1:6">
      <c r="A760" s="210">
        <v>129111000</v>
      </c>
      <c r="B760" s="202" t="s">
        <v>5682</v>
      </c>
      <c r="C760" s="203" t="s">
        <v>2143</v>
      </c>
      <c r="D760" s="204">
        <v>1</v>
      </c>
      <c r="E760" s="204" t="s">
        <v>2013</v>
      </c>
      <c r="F760" s="205">
        <v>4.9409700921265133E-3</v>
      </c>
    </row>
    <row r="761" spans="1:6">
      <c r="A761" s="210">
        <v>129200000</v>
      </c>
      <c r="B761" s="202" t="s">
        <v>3201</v>
      </c>
      <c r="C761" s="203" t="s">
        <v>2143</v>
      </c>
      <c r="D761" s="204">
        <v>1</v>
      </c>
      <c r="E761" s="204" t="s">
        <v>2013</v>
      </c>
      <c r="F761" s="205">
        <v>4.0031720377565949E-3</v>
      </c>
    </row>
    <row r="762" spans="1:6">
      <c r="A762" s="210">
        <v>129211000</v>
      </c>
      <c r="B762" s="202" t="s">
        <v>592</v>
      </c>
      <c r="C762" s="203" t="s">
        <v>2143</v>
      </c>
      <c r="D762" s="204">
        <v>1</v>
      </c>
      <c r="E762" s="204" t="s">
        <v>2013</v>
      </c>
      <c r="F762" s="205">
        <v>4.0031720377565949E-3</v>
      </c>
    </row>
    <row r="763" spans="1:6">
      <c r="A763" s="210">
        <v>129300000</v>
      </c>
      <c r="B763" s="202" t="s">
        <v>5683</v>
      </c>
      <c r="C763" s="203" t="s">
        <v>2143</v>
      </c>
      <c r="D763" s="204">
        <v>1</v>
      </c>
      <c r="E763" s="204" t="s">
        <v>2013</v>
      </c>
      <c r="F763" s="205">
        <v>8.0028570644825759E-3</v>
      </c>
    </row>
    <row r="764" spans="1:6">
      <c r="A764" s="210">
        <v>129311000</v>
      </c>
      <c r="B764" s="202" t="s">
        <v>593</v>
      </c>
      <c r="C764" s="203" t="s">
        <v>2143</v>
      </c>
      <c r="D764" s="204">
        <v>1</v>
      </c>
      <c r="E764" s="204" t="s">
        <v>2013</v>
      </c>
      <c r="F764" s="205">
        <v>8.0028570644825759E-3</v>
      </c>
    </row>
    <row r="765" spans="1:6">
      <c r="A765" s="210">
        <v>129400000</v>
      </c>
      <c r="B765" s="202" t="s">
        <v>5684</v>
      </c>
      <c r="C765" s="203" t="s">
        <v>2143</v>
      </c>
      <c r="D765" s="204">
        <v>1</v>
      </c>
      <c r="E765" s="204" t="s">
        <v>2013</v>
      </c>
      <c r="F765" s="205">
        <v>6.8252004646037253E-3</v>
      </c>
    </row>
    <row r="766" spans="1:6">
      <c r="A766" s="210">
        <v>129411000</v>
      </c>
      <c r="B766" s="202" t="s">
        <v>594</v>
      </c>
      <c r="C766" s="203" t="s">
        <v>2143</v>
      </c>
      <c r="D766" s="204">
        <v>1</v>
      </c>
      <c r="E766" s="204" t="s">
        <v>2013</v>
      </c>
      <c r="F766" s="205">
        <v>6.8252004646037253E-3</v>
      </c>
    </row>
    <row r="767" spans="1:6">
      <c r="A767" s="210">
        <v>129500000</v>
      </c>
      <c r="B767" s="202" t="s">
        <v>5685</v>
      </c>
      <c r="C767" s="203" t="s">
        <v>2143</v>
      </c>
      <c r="D767" s="204">
        <v>1</v>
      </c>
      <c r="E767" s="204" t="s">
        <v>2013</v>
      </c>
      <c r="F767" s="205">
        <v>3.2333844441711935E-3</v>
      </c>
    </row>
    <row r="768" spans="1:6">
      <c r="A768" s="210">
        <v>129511000</v>
      </c>
      <c r="B768" s="202" t="s">
        <v>595</v>
      </c>
      <c r="C768" s="203" t="s">
        <v>2143</v>
      </c>
      <c r="D768" s="204">
        <v>1</v>
      </c>
      <c r="E768" s="204" t="s">
        <v>2013</v>
      </c>
      <c r="F768" s="205">
        <v>3.2333844441711935E-3</v>
      </c>
    </row>
    <row r="769" spans="1:6">
      <c r="A769" s="210">
        <v>129600000</v>
      </c>
      <c r="B769" s="202" t="s">
        <v>5686</v>
      </c>
      <c r="C769" s="203" t="s">
        <v>2143</v>
      </c>
      <c r="D769" s="204">
        <v>1</v>
      </c>
      <c r="E769" s="204" t="s">
        <v>2013</v>
      </c>
      <c r="F769" s="205">
        <v>2.2635459864716822E-3</v>
      </c>
    </row>
    <row r="770" spans="1:6">
      <c r="A770" s="210">
        <v>129611000</v>
      </c>
      <c r="B770" s="202" t="s">
        <v>5687</v>
      </c>
      <c r="C770" s="203" t="s">
        <v>2143</v>
      </c>
      <c r="D770" s="204">
        <v>1</v>
      </c>
      <c r="E770" s="204" t="s">
        <v>2013</v>
      </c>
      <c r="F770" s="205">
        <v>2.2635459864716822E-3</v>
      </c>
    </row>
    <row r="771" spans="1:6">
      <c r="A771" s="210">
        <v>129900000</v>
      </c>
      <c r="B771" s="202" t="s">
        <v>5688</v>
      </c>
      <c r="C771" s="203" t="s">
        <v>2143</v>
      </c>
      <c r="D771" s="204">
        <v>1</v>
      </c>
      <c r="E771" s="204" t="s">
        <v>2013</v>
      </c>
      <c r="F771" s="205">
        <v>3.5558634145157163E-3</v>
      </c>
    </row>
    <row r="772" spans="1:6">
      <c r="A772" s="210">
        <v>129911000</v>
      </c>
      <c r="B772" s="202" t="s">
        <v>596</v>
      </c>
      <c r="C772" s="203" t="s">
        <v>2143</v>
      </c>
      <c r="D772" s="204">
        <v>1</v>
      </c>
      <c r="E772" s="204" t="s">
        <v>2013</v>
      </c>
      <c r="F772" s="205">
        <v>3.5558634145157163E-3</v>
      </c>
    </row>
    <row r="773" spans="1:6">
      <c r="A773" s="210">
        <v>130000640</v>
      </c>
      <c r="B773" s="202" t="s">
        <v>5689</v>
      </c>
      <c r="C773" s="203" t="s">
        <v>5553</v>
      </c>
      <c r="D773" s="204">
        <v>1</v>
      </c>
      <c r="E773" s="204" t="s">
        <v>235</v>
      </c>
      <c r="F773" s="205">
        <v>0</v>
      </c>
    </row>
    <row r="774" spans="1:6">
      <c r="A774" s="210">
        <v>130000801</v>
      </c>
      <c r="B774" s="202" t="s">
        <v>3203</v>
      </c>
      <c r="C774" s="203" t="s">
        <v>2143</v>
      </c>
      <c r="D774" s="204">
        <v>1</v>
      </c>
      <c r="E774" s="204" t="s">
        <v>279</v>
      </c>
      <c r="F774" s="205">
        <v>2.2257000916852121E-3</v>
      </c>
    </row>
    <row r="775" spans="1:6">
      <c r="A775" s="210">
        <v>130000940</v>
      </c>
      <c r="B775" s="202" t="s">
        <v>5690</v>
      </c>
      <c r="C775" s="203" t="s">
        <v>5553</v>
      </c>
      <c r="D775" s="204">
        <v>1</v>
      </c>
      <c r="E775" s="204" t="s">
        <v>235</v>
      </c>
      <c r="F775" s="205">
        <v>0</v>
      </c>
    </row>
    <row r="776" spans="1:6">
      <c r="A776" s="210">
        <v>130000941</v>
      </c>
      <c r="B776" s="202" t="s">
        <v>5691</v>
      </c>
      <c r="C776" s="203" t="s">
        <v>5553</v>
      </c>
      <c r="D776" s="204">
        <v>1</v>
      </c>
      <c r="E776" s="204" t="s">
        <v>278</v>
      </c>
      <c r="F776" s="205">
        <v>0</v>
      </c>
    </row>
    <row r="777" spans="1:6">
      <c r="A777" s="210">
        <v>131100000</v>
      </c>
      <c r="B777" s="202" t="s">
        <v>3205</v>
      </c>
      <c r="C777" s="203" t="s">
        <v>2143</v>
      </c>
      <c r="D777" s="204">
        <v>1</v>
      </c>
      <c r="E777" s="204" t="s">
        <v>278</v>
      </c>
      <c r="F777" s="205">
        <v>58.83550342538544</v>
      </c>
    </row>
    <row r="778" spans="1:6">
      <c r="A778" s="210">
        <v>131100940</v>
      </c>
      <c r="B778" s="202" t="s">
        <v>5692</v>
      </c>
      <c r="C778" s="203" t="s">
        <v>5553</v>
      </c>
      <c r="D778" s="204">
        <v>1</v>
      </c>
      <c r="E778" s="204" t="s">
        <v>278</v>
      </c>
      <c r="F778" s="205">
        <v>0</v>
      </c>
    </row>
    <row r="779" spans="1:6">
      <c r="A779" s="210">
        <v>131111000</v>
      </c>
      <c r="B779" s="202" t="s">
        <v>597</v>
      </c>
      <c r="C779" s="203" t="s">
        <v>2143</v>
      </c>
      <c r="D779" s="204">
        <v>1</v>
      </c>
      <c r="E779" s="204" t="s">
        <v>278</v>
      </c>
      <c r="F779" s="205">
        <v>61.689164625994785</v>
      </c>
    </row>
    <row r="780" spans="1:6">
      <c r="A780" s="210">
        <v>131112000</v>
      </c>
      <c r="B780" s="202" t="s">
        <v>598</v>
      </c>
      <c r="C780" s="203" t="s">
        <v>2143</v>
      </c>
      <c r="D780" s="204">
        <v>1</v>
      </c>
      <c r="E780" s="204" t="s">
        <v>278</v>
      </c>
      <c r="F780" s="205">
        <v>58.459119326447741</v>
      </c>
    </row>
    <row r="781" spans="1:6">
      <c r="A781" s="210">
        <v>131112200</v>
      </c>
      <c r="B781" s="202" t="s">
        <v>600</v>
      </c>
      <c r="C781" s="203" t="s">
        <v>2143</v>
      </c>
      <c r="D781" s="204">
        <v>1</v>
      </c>
      <c r="E781" s="204" t="s">
        <v>278</v>
      </c>
      <c r="F781" s="205">
        <v>64.455301764917735</v>
      </c>
    </row>
    <row r="782" spans="1:6">
      <c r="A782" s="210">
        <v>131113000</v>
      </c>
      <c r="B782" s="202" t="s">
        <v>599</v>
      </c>
      <c r="C782" s="203" t="s">
        <v>2143</v>
      </c>
      <c r="D782" s="204">
        <v>1</v>
      </c>
      <c r="E782" s="204" t="s">
        <v>278</v>
      </c>
      <c r="F782" s="205">
        <v>62.930001815177569</v>
      </c>
    </row>
    <row r="783" spans="1:6">
      <c r="A783" s="210">
        <v>131113200</v>
      </c>
      <c r="B783" s="202" t="s">
        <v>601</v>
      </c>
      <c r="C783" s="203" t="s">
        <v>2143</v>
      </c>
      <c r="D783" s="204">
        <v>1</v>
      </c>
      <c r="E783" s="204" t="s">
        <v>278</v>
      </c>
      <c r="F783" s="205">
        <v>64.455301764917735</v>
      </c>
    </row>
    <row r="784" spans="1:6">
      <c r="A784" s="210">
        <v>131114000</v>
      </c>
      <c r="B784" s="202" t="s">
        <v>3210</v>
      </c>
      <c r="C784" s="203" t="s">
        <v>2143</v>
      </c>
      <c r="D784" s="204">
        <v>1</v>
      </c>
      <c r="E784" s="204" t="s">
        <v>278</v>
      </c>
      <c r="F784" s="205">
        <v>37.637572306507877</v>
      </c>
    </row>
    <row r="785" spans="1:6">
      <c r="A785" s="210">
        <v>131119000</v>
      </c>
      <c r="B785" s="202" t="s">
        <v>602</v>
      </c>
      <c r="C785" s="203" t="s">
        <v>2143</v>
      </c>
      <c r="D785" s="204">
        <v>1</v>
      </c>
      <c r="E785" s="204" t="s">
        <v>278</v>
      </c>
      <c r="F785" s="205">
        <v>63.394439312679872</v>
      </c>
    </row>
    <row r="786" spans="1:6">
      <c r="A786" s="210">
        <v>131200000</v>
      </c>
      <c r="B786" s="202" t="s">
        <v>5693</v>
      </c>
      <c r="C786" s="203" t="s">
        <v>2143</v>
      </c>
      <c r="D786" s="204">
        <v>1</v>
      </c>
      <c r="E786" s="204" t="s">
        <v>2013</v>
      </c>
      <c r="F786" s="205">
        <v>2.8921720082001863E-3</v>
      </c>
    </row>
    <row r="787" spans="1:6">
      <c r="A787" s="210">
        <v>131211000</v>
      </c>
      <c r="B787" s="202" t="s">
        <v>5694</v>
      </c>
      <c r="C787" s="203" t="s">
        <v>2143</v>
      </c>
      <c r="D787" s="204">
        <v>1</v>
      </c>
      <c r="E787" s="204" t="s">
        <v>2013</v>
      </c>
      <c r="F787" s="205">
        <v>2.8921720082001863E-3</v>
      </c>
    </row>
    <row r="788" spans="1:6">
      <c r="A788" s="210">
        <v>131300000</v>
      </c>
      <c r="B788" s="202" t="s">
        <v>3213</v>
      </c>
      <c r="C788" s="203" t="s">
        <v>2143</v>
      </c>
      <c r="D788" s="204">
        <v>1</v>
      </c>
      <c r="E788" s="204" t="s">
        <v>278</v>
      </c>
      <c r="F788" s="205">
        <v>240.16422830915548</v>
      </c>
    </row>
    <row r="789" spans="1:6">
      <c r="A789" s="210">
        <v>131311000</v>
      </c>
      <c r="B789" s="202" t="s">
        <v>603</v>
      </c>
      <c r="C789" s="203" t="s">
        <v>2143</v>
      </c>
      <c r="D789" s="204">
        <v>1</v>
      </c>
      <c r="E789" s="204" t="s">
        <v>278</v>
      </c>
      <c r="F789" s="205">
        <v>240.16422830915548</v>
      </c>
    </row>
    <row r="790" spans="1:6">
      <c r="A790" s="210">
        <v>131311200</v>
      </c>
      <c r="B790" s="202" t="s">
        <v>604</v>
      </c>
      <c r="C790" s="203" t="s">
        <v>2143</v>
      </c>
      <c r="D790" s="204">
        <v>1</v>
      </c>
      <c r="E790" s="204" t="s">
        <v>278</v>
      </c>
      <c r="F790" s="205">
        <v>366.31068808021439</v>
      </c>
    </row>
    <row r="791" spans="1:6">
      <c r="A791" s="210">
        <v>131400000</v>
      </c>
      <c r="B791" s="202" t="s">
        <v>3216</v>
      </c>
      <c r="C791" s="203" t="s">
        <v>2143</v>
      </c>
      <c r="D791" s="204">
        <v>1</v>
      </c>
      <c r="E791" s="204" t="s">
        <v>278</v>
      </c>
      <c r="F791" s="205">
        <v>12.650672360873566</v>
      </c>
    </row>
    <row r="792" spans="1:6">
      <c r="A792" s="210">
        <v>131411000</v>
      </c>
      <c r="B792" s="202" t="s">
        <v>605</v>
      </c>
      <c r="C792" s="203" t="s">
        <v>2143</v>
      </c>
      <c r="D792" s="204">
        <v>1</v>
      </c>
      <c r="E792" s="204" t="s">
        <v>278</v>
      </c>
      <c r="F792" s="205">
        <v>12.650672360873566</v>
      </c>
    </row>
    <row r="793" spans="1:6">
      <c r="A793" s="210">
        <v>131900000</v>
      </c>
      <c r="B793" s="202" t="s">
        <v>5695</v>
      </c>
      <c r="C793" s="203" t="s">
        <v>2143</v>
      </c>
      <c r="D793" s="204">
        <v>1</v>
      </c>
      <c r="E793" s="204" t="s">
        <v>2013</v>
      </c>
      <c r="F793" s="205">
        <v>4.7294067374981808E-3</v>
      </c>
    </row>
    <row r="794" spans="1:6">
      <c r="A794" s="210">
        <v>131911000</v>
      </c>
      <c r="B794" s="202" t="s">
        <v>606</v>
      </c>
      <c r="C794" s="203" t="s">
        <v>2143</v>
      </c>
      <c r="D794" s="204">
        <v>1</v>
      </c>
      <c r="E794" s="204" t="s">
        <v>2013</v>
      </c>
      <c r="F794" s="205">
        <v>3.0062723890767226E-3</v>
      </c>
    </row>
    <row r="795" spans="1:6">
      <c r="A795" s="210">
        <v>131919000</v>
      </c>
      <c r="B795" s="202" t="s">
        <v>607</v>
      </c>
      <c r="C795" s="203" t="s">
        <v>2143</v>
      </c>
      <c r="D795" s="204">
        <v>1</v>
      </c>
      <c r="E795" s="204" t="s">
        <v>2013</v>
      </c>
      <c r="F795" s="205">
        <v>5.0936990353761336E-3</v>
      </c>
    </row>
    <row r="796" spans="1:6">
      <c r="A796" s="210">
        <v>132100000</v>
      </c>
      <c r="B796" s="202" t="s">
        <v>5696</v>
      </c>
      <c r="C796" s="203" t="s">
        <v>2143</v>
      </c>
      <c r="D796" s="204">
        <v>1</v>
      </c>
      <c r="E796" s="204" t="s">
        <v>2013</v>
      </c>
      <c r="F796" s="205">
        <v>2.0933051369222272E-3</v>
      </c>
    </row>
    <row r="797" spans="1:6">
      <c r="A797" s="210">
        <v>132111000</v>
      </c>
      <c r="B797" s="202" t="s">
        <v>5697</v>
      </c>
      <c r="C797" s="203" t="s">
        <v>2143</v>
      </c>
      <c r="D797" s="204">
        <v>1</v>
      </c>
      <c r="E797" s="204" t="s">
        <v>2013</v>
      </c>
      <c r="F797" s="205">
        <v>2.0933051369222272E-3</v>
      </c>
    </row>
    <row r="798" spans="1:6">
      <c r="A798" s="210">
        <v>132111200</v>
      </c>
      <c r="B798" s="202" t="s">
        <v>608</v>
      </c>
      <c r="C798" s="203" t="s">
        <v>2143</v>
      </c>
      <c r="D798" s="204">
        <v>1</v>
      </c>
      <c r="E798" s="204" t="s">
        <v>235</v>
      </c>
      <c r="F798" s="205">
        <v>1.101196157304235</v>
      </c>
    </row>
    <row r="799" spans="1:6">
      <c r="A799" s="210">
        <v>132111201</v>
      </c>
      <c r="B799" s="202" t="s">
        <v>609</v>
      </c>
      <c r="C799" s="203" t="s">
        <v>2143</v>
      </c>
      <c r="D799" s="204">
        <v>1</v>
      </c>
      <c r="E799" s="204" t="s">
        <v>235</v>
      </c>
      <c r="F799" s="205">
        <v>1.1242972046576927</v>
      </c>
    </row>
    <row r="800" spans="1:6">
      <c r="A800" s="210">
        <v>132111202</v>
      </c>
      <c r="B800" s="202" t="s">
        <v>610</v>
      </c>
      <c r="C800" s="203" t="s">
        <v>2143</v>
      </c>
      <c r="D800" s="204">
        <v>1</v>
      </c>
      <c r="E800" s="204" t="s">
        <v>235</v>
      </c>
      <c r="F800" s="205">
        <v>1.31480202988926</v>
      </c>
    </row>
    <row r="801" spans="1:6">
      <c r="A801" s="210">
        <v>132200000</v>
      </c>
      <c r="B801" s="202" t="s">
        <v>3219</v>
      </c>
      <c r="C801" s="203" t="s">
        <v>2143</v>
      </c>
      <c r="D801" s="204">
        <v>1</v>
      </c>
      <c r="E801" s="204" t="s">
        <v>278</v>
      </c>
      <c r="F801" s="205">
        <v>296.5256596902434</v>
      </c>
    </row>
    <row r="802" spans="1:6">
      <c r="A802" s="210">
        <v>132211000</v>
      </c>
      <c r="B802" s="202" t="s">
        <v>611</v>
      </c>
      <c r="C802" s="203" t="s">
        <v>2143</v>
      </c>
      <c r="D802" s="204">
        <v>1</v>
      </c>
      <c r="E802" s="204" t="s">
        <v>278</v>
      </c>
      <c r="F802" s="205">
        <v>252.83230688352646</v>
      </c>
    </row>
    <row r="803" spans="1:6">
      <c r="A803" s="210">
        <v>132212000</v>
      </c>
      <c r="B803" s="202" t="s">
        <v>612</v>
      </c>
      <c r="C803" s="203" t="s">
        <v>2143</v>
      </c>
      <c r="D803" s="204">
        <v>1</v>
      </c>
      <c r="E803" s="204" t="s">
        <v>278</v>
      </c>
      <c r="F803" s="205">
        <v>553.40520943186834</v>
      </c>
    </row>
    <row r="804" spans="1:6">
      <c r="A804" s="210">
        <v>132300000</v>
      </c>
      <c r="B804" s="202" t="s">
        <v>3223</v>
      </c>
      <c r="C804" s="203" t="s">
        <v>2143</v>
      </c>
      <c r="D804" s="204">
        <v>1</v>
      </c>
      <c r="E804" s="204" t="s">
        <v>278</v>
      </c>
      <c r="F804" s="205">
        <v>234.35539330156197</v>
      </c>
    </row>
    <row r="805" spans="1:6">
      <c r="A805" s="210">
        <v>132311000</v>
      </c>
      <c r="B805" s="202" t="s">
        <v>613</v>
      </c>
      <c r="C805" s="203" t="s">
        <v>2143</v>
      </c>
      <c r="D805" s="204">
        <v>1</v>
      </c>
      <c r="E805" s="204" t="s">
        <v>278</v>
      </c>
      <c r="F805" s="205">
        <v>234.35539330156197</v>
      </c>
    </row>
    <row r="806" spans="1:6">
      <c r="A806" s="210">
        <v>132400000</v>
      </c>
      <c r="B806" s="202" t="s">
        <v>3226</v>
      </c>
      <c r="C806" s="203" t="s">
        <v>2143</v>
      </c>
      <c r="D806" s="204">
        <v>1</v>
      </c>
      <c r="E806" s="204" t="s">
        <v>2013</v>
      </c>
      <c r="F806" s="205">
        <v>1.3198889717508516E-2</v>
      </c>
    </row>
    <row r="807" spans="1:6">
      <c r="A807" s="210">
        <v>132411000</v>
      </c>
      <c r="B807" s="202" t="s">
        <v>614</v>
      </c>
      <c r="C807" s="203" t="s">
        <v>2143</v>
      </c>
      <c r="D807" s="204">
        <v>1</v>
      </c>
      <c r="E807" s="204" t="s">
        <v>425</v>
      </c>
      <c r="F807" s="205">
        <v>7.4509228382880082</v>
      </c>
    </row>
    <row r="808" spans="1:6">
      <c r="A808" s="210">
        <v>132412000</v>
      </c>
      <c r="B808" s="202" t="s">
        <v>615</v>
      </c>
      <c r="C808" s="203" t="s">
        <v>2143</v>
      </c>
      <c r="D808" s="204">
        <v>1</v>
      </c>
      <c r="E808" s="204" t="s">
        <v>2013</v>
      </c>
      <c r="F808" s="205">
        <v>2.5387576738569624E-3</v>
      </c>
    </row>
    <row r="809" spans="1:6">
      <c r="A809" s="210">
        <v>132413000</v>
      </c>
      <c r="B809" s="202" t="s">
        <v>616</v>
      </c>
      <c r="C809" s="203" t="s">
        <v>2143</v>
      </c>
      <c r="D809" s="204">
        <v>1</v>
      </c>
      <c r="E809" s="204" t="s">
        <v>2013</v>
      </c>
      <c r="F809" s="205">
        <v>4.2266451991908489E-3</v>
      </c>
    </row>
    <row r="810" spans="1:6">
      <c r="A810" s="210">
        <v>132500000</v>
      </c>
      <c r="B810" s="202" t="s">
        <v>3229</v>
      </c>
      <c r="C810" s="203" t="s">
        <v>2143</v>
      </c>
      <c r="D810" s="204">
        <v>1</v>
      </c>
      <c r="E810" s="204" t="s">
        <v>425</v>
      </c>
      <c r="F810" s="205">
        <v>5.1051607528500442</v>
      </c>
    </row>
    <row r="811" spans="1:6">
      <c r="A811" s="210">
        <v>132511000</v>
      </c>
      <c r="B811" s="202" t="s">
        <v>617</v>
      </c>
      <c r="C811" s="203" t="s">
        <v>2143</v>
      </c>
      <c r="D811" s="204">
        <v>1</v>
      </c>
      <c r="E811" s="204" t="s">
        <v>425</v>
      </c>
      <c r="F811" s="205">
        <v>5.1051607528500442</v>
      </c>
    </row>
    <row r="812" spans="1:6">
      <c r="A812" s="210">
        <v>132511608</v>
      </c>
      <c r="B812" s="202" t="s">
        <v>5698</v>
      </c>
      <c r="C812" s="203" t="s">
        <v>5553</v>
      </c>
      <c r="D812" s="204">
        <v>1</v>
      </c>
      <c r="E812" s="204" t="s">
        <v>235</v>
      </c>
      <c r="F812" s="205">
        <v>0</v>
      </c>
    </row>
    <row r="813" spans="1:6">
      <c r="A813" s="210">
        <v>132600000</v>
      </c>
      <c r="B813" s="202" t="s">
        <v>5699</v>
      </c>
      <c r="C813" s="203" t="s">
        <v>2143</v>
      </c>
      <c r="D813" s="204">
        <v>1</v>
      </c>
      <c r="E813" s="204" t="s">
        <v>2013</v>
      </c>
      <c r="F813" s="205">
        <v>9.231186711358265E-4</v>
      </c>
    </row>
    <row r="814" spans="1:6">
      <c r="A814" s="210">
        <v>132611000</v>
      </c>
      <c r="B814" s="202" t="s">
        <v>5700</v>
      </c>
      <c r="C814" s="203" t="s">
        <v>2143</v>
      </c>
      <c r="D814" s="204">
        <v>1</v>
      </c>
      <c r="E814" s="204" t="s">
        <v>2013</v>
      </c>
      <c r="F814" s="205">
        <v>9.231186711358265E-4</v>
      </c>
    </row>
    <row r="815" spans="1:6">
      <c r="A815" s="210">
        <v>133100000</v>
      </c>
      <c r="B815" s="202" t="s">
        <v>5701</v>
      </c>
      <c r="C815" s="203" t="s">
        <v>2143</v>
      </c>
      <c r="D815" s="204">
        <v>1</v>
      </c>
      <c r="E815" s="204" t="s">
        <v>2013</v>
      </c>
      <c r="F815" s="205">
        <v>3.4700289223161644E-3</v>
      </c>
    </row>
    <row r="816" spans="1:6">
      <c r="A816" s="210">
        <v>133111000</v>
      </c>
      <c r="B816" s="202" t="s">
        <v>618</v>
      </c>
      <c r="C816" s="203" t="s">
        <v>2143</v>
      </c>
      <c r="D816" s="204">
        <v>1</v>
      </c>
      <c r="E816" s="204" t="s">
        <v>2013</v>
      </c>
      <c r="F816" s="205">
        <v>3.4700289223161644E-3</v>
      </c>
    </row>
    <row r="817" spans="1:6">
      <c r="A817" s="210">
        <v>133200000</v>
      </c>
      <c r="B817" s="202" t="s">
        <v>5702</v>
      </c>
      <c r="C817" s="203" t="s">
        <v>2143</v>
      </c>
      <c r="D817" s="204">
        <v>1</v>
      </c>
      <c r="E817" s="204" t="s">
        <v>2013</v>
      </c>
      <c r="F817" s="205">
        <v>6.2513457910570551E-3</v>
      </c>
    </row>
    <row r="818" spans="1:6">
      <c r="A818" s="210">
        <v>133211000</v>
      </c>
      <c r="B818" s="202" t="s">
        <v>619</v>
      </c>
      <c r="C818" s="203" t="s">
        <v>2143</v>
      </c>
      <c r="D818" s="204">
        <v>1</v>
      </c>
      <c r="E818" s="204" t="s">
        <v>2013</v>
      </c>
      <c r="F818" s="205">
        <v>6.2513457910570551E-3</v>
      </c>
    </row>
    <row r="819" spans="1:6">
      <c r="A819" s="210">
        <v>133300000</v>
      </c>
      <c r="B819" s="202" t="s">
        <v>5703</v>
      </c>
      <c r="C819" s="203" t="s">
        <v>2143</v>
      </c>
      <c r="D819" s="204">
        <v>1</v>
      </c>
      <c r="E819" s="204" t="s">
        <v>2013</v>
      </c>
      <c r="F819" s="205">
        <v>2.3995127866636087E-3</v>
      </c>
    </row>
    <row r="820" spans="1:6">
      <c r="A820" s="210">
        <v>133311000</v>
      </c>
      <c r="B820" s="202" t="s">
        <v>620</v>
      </c>
      <c r="C820" s="203" t="s">
        <v>2143</v>
      </c>
      <c r="D820" s="204">
        <v>1</v>
      </c>
      <c r="E820" s="204" t="s">
        <v>2013</v>
      </c>
      <c r="F820" s="205">
        <v>2.403835882938965E-3</v>
      </c>
    </row>
    <row r="821" spans="1:6">
      <c r="A821" s="210">
        <v>133312000</v>
      </c>
      <c r="B821" s="202" t="s">
        <v>5704</v>
      </c>
      <c r="C821" s="203" t="s">
        <v>2143</v>
      </c>
      <c r="D821" s="204">
        <v>1</v>
      </c>
      <c r="E821" s="204" t="s">
        <v>2013</v>
      </c>
      <c r="F821" s="205">
        <v>2.3611647676302083E-3</v>
      </c>
    </row>
    <row r="822" spans="1:6">
      <c r="A822" s="210">
        <v>133400000</v>
      </c>
      <c r="B822" s="202" t="s">
        <v>5705</v>
      </c>
      <c r="C822" s="203" t="s">
        <v>2143</v>
      </c>
      <c r="D822" s="204">
        <v>1</v>
      </c>
      <c r="E822" s="204" t="s">
        <v>2013</v>
      </c>
      <c r="F822" s="205">
        <v>1.7111616732326043E-3</v>
      </c>
    </row>
    <row r="823" spans="1:6">
      <c r="A823" s="210">
        <v>133411000</v>
      </c>
      <c r="B823" s="202" t="s">
        <v>621</v>
      </c>
      <c r="C823" s="203" t="s">
        <v>2143</v>
      </c>
      <c r="D823" s="204">
        <v>1</v>
      </c>
      <c r="E823" s="204" t="s">
        <v>2013</v>
      </c>
      <c r="F823" s="205">
        <v>1.7111616732326043E-3</v>
      </c>
    </row>
    <row r="824" spans="1:6">
      <c r="A824" s="210">
        <v>133500000</v>
      </c>
      <c r="B824" s="202" t="s">
        <v>5706</v>
      </c>
      <c r="C824" s="203" t="s">
        <v>2143</v>
      </c>
      <c r="D824" s="204">
        <v>1</v>
      </c>
      <c r="E824" s="204" t="s">
        <v>2013</v>
      </c>
      <c r="F824" s="205">
        <v>2.4765722274618686E-3</v>
      </c>
    </row>
    <row r="825" spans="1:6">
      <c r="A825" s="210">
        <v>133511000</v>
      </c>
      <c r="B825" s="202" t="s">
        <v>622</v>
      </c>
      <c r="C825" s="203" t="s">
        <v>2143</v>
      </c>
      <c r="D825" s="204">
        <v>1</v>
      </c>
      <c r="E825" s="204" t="s">
        <v>2013</v>
      </c>
      <c r="F825" s="205">
        <v>2.4765722274618686E-3</v>
      </c>
    </row>
    <row r="826" spans="1:6">
      <c r="A826" s="210">
        <v>139100000</v>
      </c>
      <c r="B826" s="202" t="s">
        <v>3232</v>
      </c>
      <c r="C826" s="203" t="s">
        <v>2143</v>
      </c>
      <c r="D826" s="204">
        <v>1</v>
      </c>
      <c r="E826" s="204" t="s">
        <v>278</v>
      </c>
      <c r="F826" s="205">
        <v>90.348404630464529</v>
      </c>
    </row>
    <row r="827" spans="1:6">
      <c r="A827" s="210">
        <v>139111000</v>
      </c>
      <c r="B827" s="202" t="s">
        <v>623</v>
      </c>
      <c r="C827" s="203" t="s">
        <v>2143</v>
      </c>
      <c r="D827" s="204">
        <v>1</v>
      </c>
      <c r="E827" s="204" t="s">
        <v>278</v>
      </c>
      <c r="F827" s="205">
        <v>90.348404630464529</v>
      </c>
    </row>
    <row r="828" spans="1:6">
      <c r="A828" s="210">
        <v>139111201</v>
      </c>
      <c r="B828" s="202" t="s">
        <v>624</v>
      </c>
      <c r="C828" s="203" t="s">
        <v>2143</v>
      </c>
      <c r="D828" s="204">
        <v>1</v>
      </c>
      <c r="E828" s="204" t="s">
        <v>2144</v>
      </c>
      <c r="F828" s="205">
        <v>29.403722556991813</v>
      </c>
    </row>
    <row r="829" spans="1:6">
      <c r="A829" s="210">
        <v>139200000</v>
      </c>
      <c r="B829" s="202" t="s">
        <v>5707</v>
      </c>
      <c r="C829" s="203" t="s">
        <v>2143</v>
      </c>
      <c r="D829" s="204">
        <v>1</v>
      </c>
      <c r="E829" s="204" t="s">
        <v>2013</v>
      </c>
      <c r="F829" s="205">
        <v>3.3283139993705922E-3</v>
      </c>
    </row>
    <row r="830" spans="1:6">
      <c r="A830" s="210">
        <v>139211000</v>
      </c>
      <c r="B830" s="202" t="s">
        <v>5708</v>
      </c>
      <c r="C830" s="203" t="s">
        <v>2143</v>
      </c>
      <c r="D830" s="204">
        <v>1</v>
      </c>
      <c r="E830" s="204" t="s">
        <v>2013</v>
      </c>
      <c r="F830" s="205">
        <v>3.3283139993705922E-3</v>
      </c>
    </row>
    <row r="831" spans="1:6">
      <c r="A831" s="210">
        <v>139300000</v>
      </c>
      <c r="B831" s="202" t="s">
        <v>3235</v>
      </c>
      <c r="C831" s="203" t="s">
        <v>2143</v>
      </c>
      <c r="D831" s="204">
        <v>1</v>
      </c>
      <c r="E831" s="204" t="s">
        <v>235</v>
      </c>
      <c r="F831" s="205">
        <v>3.4505506820448857</v>
      </c>
    </row>
    <row r="832" spans="1:6">
      <c r="A832" s="210">
        <v>139311000</v>
      </c>
      <c r="B832" s="202" t="s">
        <v>625</v>
      </c>
      <c r="C832" s="203" t="s">
        <v>2143</v>
      </c>
      <c r="D832" s="204">
        <v>1</v>
      </c>
      <c r="E832" s="204" t="s">
        <v>235</v>
      </c>
      <c r="F832" s="205">
        <v>3.4505506820448857</v>
      </c>
    </row>
    <row r="833" spans="1:6">
      <c r="A833" s="210">
        <v>139900000</v>
      </c>
      <c r="B833" s="202" t="s">
        <v>5709</v>
      </c>
      <c r="C833" s="203" t="s">
        <v>2143</v>
      </c>
      <c r="D833" s="204">
        <v>1</v>
      </c>
      <c r="E833" s="204" t="s">
        <v>2013</v>
      </c>
      <c r="F833" s="205">
        <v>2.5900850103235118E-3</v>
      </c>
    </row>
    <row r="834" spans="1:6">
      <c r="A834" s="210">
        <v>139911000</v>
      </c>
      <c r="B834" s="202" t="s">
        <v>5710</v>
      </c>
      <c r="C834" s="203" t="s">
        <v>2143</v>
      </c>
      <c r="D834" s="204">
        <v>1</v>
      </c>
      <c r="E834" s="204" t="s">
        <v>2013</v>
      </c>
      <c r="F834" s="205">
        <v>3.2850551295446617E-3</v>
      </c>
    </row>
    <row r="835" spans="1:6">
      <c r="A835" s="210">
        <v>139912000</v>
      </c>
      <c r="B835" s="202" t="s">
        <v>626</v>
      </c>
      <c r="C835" s="203" t="s">
        <v>2143</v>
      </c>
      <c r="D835" s="204">
        <v>1</v>
      </c>
      <c r="E835" s="204" t="s">
        <v>2013</v>
      </c>
      <c r="F835" s="205">
        <v>2.8710947365410862E-3</v>
      </c>
    </row>
    <row r="836" spans="1:6">
      <c r="A836" s="210">
        <v>139913000</v>
      </c>
      <c r="B836" s="202" t="s">
        <v>5711</v>
      </c>
      <c r="C836" s="203" t="s">
        <v>2143</v>
      </c>
      <c r="D836" s="204">
        <v>1</v>
      </c>
      <c r="E836" s="204" t="s">
        <v>2013</v>
      </c>
      <c r="F836" s="205">
        <v>2.5296705092408027E-3</v>
      </c>
    </row>
    <row r="837" spans="1:6">
      <c r="A837" s="210">
        <v>139914000</v>
      </c>
      <c r="B837" s="202" t="s">
        <v>627</v>
      </c>
      <c r="C837" s="203" t="s">
        <v>2143</v>
      </c>
      <c r="D837" s="204">
        <v>1</v>
      </c>
      <c r="E837" s="204" t="s">
        <v>2013</v>
      </c>
      <c r="F837" s="205">
        <v>2.6119276059569322E-3</v>
      </c>
    </row>
    <row r="838" spans="1:6">
      <c r="A838" s="210">
        <v>139915000</v>
      </c>
      <c r="B838" s="202" t="s">
        <v>5712</v>
      </c>
      <c r="C838" s="203" t="s">
        <v>2143</v>
      </c>
      <c r="D838" s="204">
        <v>1</v>
      </c>
      <c r="E838" s="204" t="s">
        <v>2013</v>
      </c>
      <c r="F838" s="205">
        <v>2.9059044923108839E-3</v>
      </c>
    </row>
    <row r="839" spans="1:6">
      <c r="A839" s="210">
        <v>139916000</v>
      </c>
      <c r="B839" s="202" t="s">
        <v>5713</v>
      </c>
      <c r="C839" s="203" t="s">
        <v>2143</v>
      </c>
      <c r="D839" s="204">
        <v>1</v>
      </c>
      <c r="E839" s="204" t="s">
        <v>2013</v>
      </c>
      <c r="F839" s="205">
        <v>2.8782027772636526E-3</v>
      </c>
    </row>
    <row r="840" spans="1:6">
      <c r="A840" s="210">
        <v>139919000</v>
      </c>
      <c r="B840" s="202" t="s">
        <v>5714</v>
      </c>
      <c r="C840" s="203" t="s">
        <v>2143</v>
      </c>
      <c r="D840" s="204">
        <v>1</v>
      </c>
      <c r="E840" s="204" t="s">
        <v>2013</v>
      </c>
      <c r="F840" s="205">
        <v>2.5328301168348125E-3</v>
      </c>
    </row>
    <row r="841" spans="1:6">
      <c r="A841" s="210">
        <v>141100000</v>
      </c>
      <c r="B841" s="202" t="s">
        <v>3238</v>
      </c>
      <c r="C841" s="203" t="s">
        <v>2143</v>
      </c>
      <c r="D841" s="204">
        <v>1</v>
      </c>
      <c r="E841" s="204" t="s">
        <v>2013</v>
      </c>
      <c r="F841" s="205">
        <v>7.3058802565497821E-3</v>
      </c>
    </row>
    <row r="842" spans="1:6">
      <c r="A842" s="210">
        <v>141111000</v>
      </c>
      <c r="B842" s="202" t="s">
        <v>628</v>
      </c>
      <c r="C842" s="203" t="s">
        <v>2143</v>
      </c>
      <c r="D842" s="204">
        <v>1</v>
      </c>
      <c r="E842" s="204" t="s">
        <v>2144</v>
      </c>
      <c r="F842" s="205">
        <v>64.645037972272121</v>
      </c>
    </row>
    <row r="843" spans="1:6">
      <c r="A843" s="210">
        <v>141112000</v>
      </c>
      <c r="B843" s="202" t="s">
        <v>5715</v>
      </c>
      <c r="C843" s="203" t="s">
        <v>2143</v>
      </c>
      <c r="D843" s="204">
        <v>1</v>
      </c>
      <c r="E843" s="204" t="s">
        <v>2013</v>
      </c>
      <c r="F843" s="205">
        <v>3.025594179396969E-3</v>
      </c>
    </row>
    <row r="844" spans="1:6">
      <c r="A844" s="210">
        <v>141112200</v>
      </c>
      <c r="B844" s="202" t="s">
        <v>5716</v>
      </c>
      <c r="C844" s="203" t="s">
        <v>2143</v>
      </c>
      <c r="D844" s="204">
        <v>1</v>
      </c>
      <c r="E844" s="204" t="s">
        <v>2144</v>
      </c>
      <c r="F844" s="205">
        <v>507.38957754913099</v>
      </c>
    </row>
    <row r="845" spans="1:6">
      <c r="A845" s="210">
        <v>141113000</v>
      </c>
      <c r="B845" s="202" t="s">
        <v>631</v>
      </c>
      <c r="C845" s="203" t="s">
        <v>2143</v>
      </c>
      <c r="D845" s="204">
        <v>1</v>
      </c>
      <c r="E845" s="204" t="s">
        <v>2144</v>
      </c>
      <c r="F845" s="205">
        <v>205.34661254833054</v>
      </c>
    </row>
    <row r="846" spans="1:6">
      <c r="A846" s="210">
        <v>141114000</v>
      </c>
      <c r="B846" s="202" t="s">
        <v>632</v>
      </c>
      <c r="C846" s="203" t="s">
        <v>2143</v>
      </c>
      <c r="D846" s="204">
        <v>1</v>
      </c>
      <c r="E846" s="204" t="s">
        <v>2144</v>
      </c>
      <c r="F846" s="205">
        <v>71.523453303182009</v>
      </c>
    </row>
    <row r="847" spans="1:6">
      <c r="A847" s="210">
        <v>141115000</v>
      </c>
      <c r="B847" s="202" t="s">
        <v>633</v>
      </c>
      <c r="C847" s="203" t="s">
        <v>2143</v>
      </c>
      <c r="D847" s="204">
        <v>1</v>
      </c>
      <c r="E847" s="204" t="s">
        <v>2013</v>
      </c>
      <c r="F847" s="205">
        <v>3.0648821846173575E-3</v>
      </c>
    </row>
    <row r="848" spans="1:6">
      <c r="A848" s="210">
        <v>141116000</v>
      </c>
      <c r="B848" s="202" t="s">
        <v>634</v>
      </c>
      <c r="C848" s="203" t="s">
        <v>2143</v>
      </c>
      <c r="D848" s="204">
        <v>1</v>
      </c>
      <c r="E848" s="204" t="s">
        <v>2144</v>
      </c>
      <c r="F848" s="205">
        <v>141.57462856528423</v>
      </c>
    </row>
    <row r="849" spans="1:6">
      <c r="A849" s="210">
        <v>141119000</v>
      </c>
      <c r="B849" s="202" t="s">
        <v>5717</v>
      </c>
      <c r="C849" s="203" t="s">
        <v>2143</v>
      </c>
      <c r="D849" s="204">
        <v>1</v>
      </c>
      <c r="E849" s="204" t="s">
        <v>2013</v>
      </c>
      <c r="F849" s="205">
        <v>3.0970367203459019E-3</v>
      </c>
    </row>
    <row r="850" spans="1:6">
      <c r="A850" s="210">
        <v>141200000</v>
      </c>
      <c r="B850" s="202" t="s">
        <v>3244</v>
      </c>
      <c r="C850" s="203" t="s">
        <v>2143</v>
      </c>
      <c r="D850" s="204">
        <v>1</v>
      </c>
      <c r="E850" s="204" t="s">
        <v>2013</v>
      </c>
      <c r="F850" s="205">
        <v>9.8372270341694767E-3</v>
      </c>
    </row>
    <row r="851" spans="1:6">
      <c r="A851" s="210">
        <v>141211000</v>
      </c>
      <c r="B851" s="202" t="s">
        <v>635</v>
      </c>
      <c r="C851" s="203" t="s">
        <v>2143</v>
      </c>
      <c r="D851" s="204">
        <v>1</v>
      </c>
      <c r="E851" s="204" t="s">
        <v>2144</v>
      </c>
      <c r="F851" s="205">
        <v>51.441651514879823</v>
      </c>
    </row>
    <row r="852" spans="1:6">
      <c r="A852" s="210">
        <v>141212000</v>
      </c>
      <c r="B852" s="202" t="s">
        <v>636</v>
      </c>
      <c r="C852" s="203" t="s">
        <v>2143</v>
      </c>
      <c r="D852" s="204">
        <v>1</v>
      </c>
      <c r="E852" s="204" t="s">
        <v>2144</v>
      </c>
      <c r="F852" s="205">
        <v>285.50955804226527</v>
      </c>
    </row>
    <row r="853" spans="1:6">
      <c r="A853" s="210">
        <v>141213000</v>
      </c>
      <c r="B853" s="202" t="s">
        <v>637</v>
      </c>
      <c r="C853" s="203" t="s">
        <v>2143</v>
      </c>
      <c r="D853" s="204">
        <v>1</v>
      </c>
      <c r="E853" s="204" t="s">
        <v>2144</v>
      </c>
      <c r="F853" s="205">
        <v>679.08934097004021</v>
      </c>
    </row>
    <row r="854" spans="1:6">
      <c r="A854" s="210">
        <v>141214000</v>
      </c>
      <c r="B854" s="202" t="s">
        <v>3249</v>
      </c>
      <c r="C854" s="203" t="s">
        <v>2143</v>
      </c>
      <c r="D854" s="204">
        <v>1</v>
      </c>
      <c r="E854" s="204" t="s">
        <v>2144</v>
      </c>
      <c r="F854" s="205">
        <v>335.60812909520882</v>
      </c>
    </row>
    <row r="855" spans="1:6">
      <c r="A855" s="210">
        <v>141215000</v>
      </c>
      <c r="B855" s="202" t="s">
        <v>638</v>
      </c>
      <c r="C855" s="203" t="s">
        <v>2143</v>
      </c>
      <c r="D855" s="204">
        <v>1</v>
      </c>
      <c r="E855" s="204" t="s">
        <v>2144</v>
      </c>
      <c r="F855" s="205">
        <v>62.642224258597025</v>
      </c>
    </row>
    <row r="856" spans="1:6">
      <c r="A856" s="210">
        <v>141219000</v>
      </c>
      <c r="B856" s="202" t="s">
        <v>639</v>
      </c>
      <c r="C856" s="203" t="s">
        <v>2143</v>
      </c>
      <c r="D856" s="204">
        <v>1</v>
      </c>
      <c r="E856" s="204" t="s">
        <v>2013</v>
      </c>
      <c r="F856" s="205">
        <v>5.6630285537984659E-3</v>
      </c>
    </row>
    <row r="857" spans="1:6">
      <c r="A857" s="210">
        <v>141300000</v>
      </c>
      <c r="B857" s="202" t="s">
        <v>5718</v>
      </c>
      <c r="C857" s="203" t="s">
        <v>2143</v>
      </c>
      <c r="D857" s="204">
        <v>1</v>
      </c>
      <c r="E857" s="204" t="s">
        <v>2013</v>
      </c>
      <c r="F857" s="205">
        <v>2.0212704052695839E-3</v>
      </c>
    </row>
    <row r="858" spans="1:6">
      <c r="A858" s="210">
        <v>141311000</v>
      </c>
      <c r="B858" s="202" t="s">
        <v>5719</v>
      </c>
      <c r="C858" s="203" t="s">
        <v>2143</v>
      </c>
      <c r="D858" s="204">
        <v>1</v>
      </c>
      <c r="E858" s="204" t="s">
        <v>2013</v>
      </c>
      <c r="F858" s="205">
        <v>2.0212704052695839E-3</v>
      </c>
    </row>
    <row r="859" spans="1:6">
      <c r="A859" s="210">
        <v>142100000</v>
      </c>
      <c r="B859" s="202" t="s">
        <v>5720</v>
      </c>
      <c r="C859" s="203" t="s">
        <v>2143</v>
      </c>
      <c r="D859" s="204">
        <v>1</v>
      </c>
      <c r="E859" s="204" t="s">
        <v>2013</v>
      </c>
      <c r="F859" s="205">
        <v>2.8927183018682273E-3</v>
      </c>
    </row>
    <row r="860" spans="1:6">
      <c r="A860" s="210">
        <v>142111000</v>
      </c>
      <c r="B860" s="202" t="s">
        <v>640</v>
      </c>
      <c r="C860" s="203" t="s">
        <v>2143</v>
      </c>
      <c r="D860" s="204">
        <v>1</v>
      </c>
      <c r="E860" s="204" t="s">
        <v>2013</v>
      </c>
      <c r="F860" s="205">
        <v>2.8927183018682273E-3</v>
      </c>
    </row>
    <row r="861" spans="1:6">
      <c r="A861" s="210">
        <v>143100000</v>
      </c>
      <c r="B861" s="202" t="s">
        <v>5721</v>
      </c>
      <c r="C861" s="203" t="s">
        <v>2143</v>
      </c>
      <c r="D861" s="204">
        <v>1</v>
      </c>
      <c r="E861" s="204" t="s">
        <v>2013</v>
      </c>
      <c r="F861" s="205">
        <v>3.1463819405514347E-3</v>
      </c>
    </row>
    <row r="862" spans="1:6">
      <c r="A862" s="210">
        <v>143111000</v>
      </c>
      <c r="B862" s="202" t="s">
        <v>5722</v>
      </c>
      <c r="C862" s="203" t="s">
        <v>2143</v>
      </c>
      <c r="D862" s="204">
        <v>1</v>
      </c>
      <c r="E862" s="204" t="s">
        <v>2013</v>
      </c>
      <c r="F862" s="205">
        <v>3.1463819405514347E-3</v>
      </c>
    </row>
    <row r="863" spans="1:6">
      <c r="A863" s="210">
        <v>143111200</v>
      </c>
      <c r="B863" s="202" t="s">
        <v>642</v>
      </c>
      <c r="C863" s="203" t="s">
        <v>2143</v>
      </c>
      <c r="D863" s="204">
        <v>1</v>
      </c>
      <c r="E863" s="204" t="s">
        <v>2144</v>
      </c>
      <c r="F863" s="205">
        <v>24.543003753217487</v>
      </c>
    </row>
    <row r="864" spans="1:6">
      <c r="A864" s="210">
        <v>149100000</v>
      </c>
      <c r="B864" s="202" t="s">
        <v>5723</v>
      </c>
      <c r="C864" s="203" t="s">
        <v>2143</v>
      </c>
      <c r="D864" s="204">
        <v>1</v>
      </c>
      <c r="E864" s="204" t="s">
        <v>2013</v>
      </c>
      <c r="F864" s="205">
        <v>4.7673893692804642E-3</v>
      </c>
    </row>
    <row r="865" spans="1:6">
      <c r="A865" s="210">
        <v>149111000</v>
      </c>
      <c r="B865" s="202" t="s">
        <v>643</v>
      </c>
      <c r="C865" s="203" t="s">
        <v>2143</v>
      </c>
      <c r="D865" s="204">
        <v>1</v>
      </c>
      <c r="E865" s="204" t="s">
        <v>2013</v>
      </c>
      <c r="F865" s="205">
        <v>4.7673893692804642E-3</v>
      </c>
    </row>
    <row r="866" spans="1:6">
      <c r="A866" s="210">
        <v>149200000</v>
      </c>
      <c r="B866" s="202" t="s">
        <v>5724</v>
      </c>
      <c r="C866" s="203" t="s">
        <v>2143</v>
      </c>
      <c r="D866" s="204">
        <v>1</v>
      </c>
      <c r="E866" s="204" t="s">
        <v>2013</v>
      </c>
      <c r="F866" s="205">
        <v>2.16389611877554E-3</v>
      </c>
    </row>
    <row r="867" spans="1:6">
      <c r="A867" s="210">
        <v>149211000</v>
      </c>
      <c r="B867" s="202" t="s">
        <v>644</v>
      </c>
      <c r="C867" s="203" t="s">
        <v>2143</v>
      </c>
      <c r="D867" s="204">
        <v>1</v>
      </c>
      <c r="E867" s="204" t="s">
        <v>2013</v>
      </c>
      <c r="F867" s="205">
        <v>2.16389611877554E-3</v>
      </c>
    </row>
    <row r="868" spans="1:6">
      <c r="A868" s="210">
        <v>149300000</v>
      </c>
      <c r="B868" s="202" t="s">
        <v>5725</v>
      </c>
      <c r="C868" s="203" t="s">
        <v>2143</v>
      </c>
      <c r="D868" s="204">
        <v>1</v>
      </c>
      <c r="E868" s="204" t="s">
        <v>2013</v>
      </c>
      <c r="F868" s="205">
        <v>2.7353560878209966E-3</v>
      </c>
    </row>
    <row r="869" spans="1:6">
      <c r="A869" s="210">
        <v>149311000</v>
      </c>
      <c r="B869" s="202" t="s">
        <v>5726</v>
      </c>
      <c r="C869" s="203" t="s">
        <v>2143</v>
      </c>
      <c r="D869" s="204">
        <v>1</v>
      </c>
      <c r="E869" s="204" t="s">
        <v>2013</v>
      </c>
      <c r="F869" s="205">
        <v>2.7353560878209966E-3</v>
      </c>
    </row>
    <row r="870" spans="1:6">
      <c r="A870" s="210">
        <v>149400000</v>
      </c>
      <c r="B870" s="202" t="s">
        <v>5727</v>
      </c>
      <c r="C870" s="203" t="s">
        <v>2143</v>
      </c>
      <c r="D870" s="204">
        <v>1</v>
      </c>
      <c r="E870" s="204" t="s">
        <v>2013</v>
      </c>
      <c r="F870" s="205">
        <v>2.289089644850582E-3</v>
      </c>
    </row>
    <row r="871" spans="1:6">
      <c r="A871" s="210">
        <v>149411000</v>
      </c>
      <c r="B871" s="202" t="s">
        <v>645</v>
      </c>
      <c r="C871" s="203" t="s">
        <v>2143</v>
      </c>
      <c r="D871" s="204">
        <v>1</v>
      </c>
      <c r="E871" s="204" t="s">
        <v>2013</v>
      </c>
      <c r="F871" s="205">
        <v>2.289089644850582E-3</v>
      </c>
    </row>
    <row r="872" spans="1:6">
      <c r="A872" s="210">
        <v>149900000</v>
      </c>
      <c r="B872" s="202" t="s">
        <v>5728</v>
      </c>
      <c r="C872" s="203" t="s">
        <v>2143</v>
      </c>
      <c r="D872" s="204">
        <v>1</v>
      </c>
      <c r="E872" s="204" t="s">
        <v>2013</v>
      </c>
      <c r="F872" s="205">
        <v>3.2690060340554508E-3</v>
      </c>
    </row>
    <row r="873" spans="1:6">
      <c r="A873" s="210">
        <v>149919000</v>
      </c>
      <c r="B873" s="202" t="s">
        <v>646</v>
      </c>
      <c r="C873" s="203" t="s">
        <v>2143</v>
      </c>
      <c r="D873" s="204">
        <v>1</v>
      </c>
      <c r="E873" s="204" t="s">
        <v>2013</v>
      </c>
      <c r="F873" s="205">
        <v>3.2690060340554508E-3</v>
      </c>
    </row>
    <row r="874" spans="1:6">
      <c r="A874" s="210">
        <v>150000801</v>
      </c>
      <c r="B874" s="202" t="s">
        <v>3252</v>
      </c>
      <c r="C874" s="203" t="s">
        <v>2143</v>
      </c>
      <c r="D874" s="204">
        <v>1</v>
      </c>
      <c r="E874" s="204" t="s">
        <v>279</v>
      </c>
      <c r="F874" s="205">
        <v>1.092000038624974E-4</v>
      </c>
    </row>
    <row r="875" spans="1:6">
      <c r="A875" s="210">
        <v>150000802</v>
      </c>
      <c r="B875" s="202" t="s">
        <v>3254</v>
      </c>
      <c r="C875" s="203" t="s">
        <v>2143</v>
      </c>
      <c r="D875" s="204">
        <v>1</v>
      </c>
      <c r="E875" s="204" t="s">
        <v>279</v>
      </c>
      <c r="F875" s="205">
        <v>1.5370000141956552E-4</v>
      </c>
    </row>
    <row r="876" spans="1:6">
      <c r="A876" s="210">
        <v>150000803</v>
      </c>
      <c r="B876" s="202" t="s">
        <v>3256</v>
      </c>
      <c r="C876" s="203" t="s">
        <v>2143</v>
      </c>
      <c r="D876" s="204">
        <v>1</v>
      </c>
      <c r="E876" s="204" t="s">
        <v>279</v>
      </c>
      <c r="F876" s="205">
        <v>1.5370000141956552E-4</v>
      </c>
    </row>
    <row r="877" spans="1:6">
      <c r="A877" s="210">
        <v>150000804</v>
      </c>
      <c r="B877" s="202" t="s">
        <v>3258</v>
      </c>
      <c r="C877" s="203" t="s">
        <v>2143</v>
      </c>
      <c r="D877" s="204">
        <v>1</v>
      </c>
      <c r="E877" s="204" t="s">
        <v>279</v>
      </c>
      <c r="F877" s="205">
        <v>1.5370000141956552E-4</v>
      </c>
    </row>
    <row r="878" spans="1:6">
      <c r="A878" s="210">
        <v>151100000</v>
      </c>
      <c r="B878" s="202" t="s">
        <v>3260</v>
      </c>
      <c r="C878" s="203" t="s">
        <v>2143</v>
      </c>
      <c r="D878" s="204">
        <v>1</v>
      </c>
      <c r="E878" s="204" t="s">
        <v>235</v>
      </c>
      <c r="F878" s="205">
        <v>0.88749604390227033</v>
      </c>
    </row>
    <row r="879" spans="1:6">
      <c r="A879" s="210">
        <v>151100640</v>
      </c>
      <c r="B879" s="202" t="s">
        <v>5729</v>
      </c>
      <c r="C879" s="203" t="s">
        <v>5553</v>
      </c>
      <c r="D879" s="204">
        <v>1</v>
      </c>
      <c r="E879" s="204" t="s">
        <v>235</v>
      </c>
      <c r="F879" s="205">
        <v>0</v>
      </c>
    </row>
    <row r="880" spans="1:6">
      <c r="A880" s="210">
        <v>151111000</v>
      </c>
      <c r="B880" s="202" t="s">
        <v>647</v>
      </c>
      <c r="C880" s="203" t="s">
        <v>2143</v>
      </c>
      <c r="D880" s="204">
        <v>1</v>
      </c>
      <c r="E880" s="204" t="s">
        <v>235</v>
      </c>
      <c r="F880" s="205">
        <v>0.94818398289583861</v>
      </c>
    </row>
    <row r="881" spans="1:6">
      <c r="A881" s="210">
        <v>151112000</v>
      </c>
      <c r="B881" s="202" t="s">
        <v>648</v>
      </c>
      <c r="C881" s="203" t="s">
        <v>2143</v>
      </c>
      <c r="D881" s="204">
        <v>1</v>
      </c>
      <c r="E881" s="204" t="s">
        <v>235</v>
      </c>
      <c r="F881" s="205">
        <v>0.87838357370321574</v>
      </c>
    </row>
    <row r="882" spans="1:6">
      <c r="A882" s="210">
        <v>151112200</v>
      </c>
      <c r="B882" s="202" t="s">
        <v>5730</v>
      </c>
      <c r="C882" s="203" t="s">
        <v>2143</v>
      </c>
      <c r="D882" s="204">
        <v>1</v>
      </c>
      <c r="E882" s="204" t="s">
        <v>235</v>
      </c>
      <c r="F882" s="205">
        <v>1.1220692339057616</v>
      </c>
    </row>
    <row r="883" spans="1:6">
      <c r="A883" s="210">
        <v>151112201</v>
      </c>
      <c r="B883" s="202" t="s">
        <v>5731</v>
      </c>
      <c r="C883" s="203" t="s">
        <v>2143</v>
      </c>
      <c r="D883" s="204">
        <v>1</v>
      </c>
      <c r="E883" s="204" t="s">
        <v>235</v>
      </c>
      <c r="F883" s="205">
        <v>0.92642900791346694</v>
      </c>
    </row>
    <row r="884" spans="1:6">
      <c r="A884" s="210">
        <v>151112202</v>
      </c>
      <c r="B884" s="202" t="s">
        <v>5732</v>
      </c>
      <c r="C884" s="203" t="s">
        <v>2143</v>
      </c>
      <c r="D884" s="204">
        <v>1</v>
      </c>
      <c r="E884" s="204" t="s">
        <v>235</v>
      </c>
      <c r="F884" s="205">
        <v>1.4016900065701041</v>
      </c>
    </row>
    <row r="885" spans="1:6">
      <c r="A885" s="210">
        <v>151112203</v>
      </c>
      <c r="B885" s="202" t="s">
        <v>5733</v>
      </c>
      <c r="C885" s="203" t="s">
        <v>2143</v>
      </c>
      <c r="D885" s="204">
        <v>1</v>
      </c>
      <c r="E885" s="204" t="s">
        <v>235</v>
      </c>
      <c r="F885" s="205">
        <v>1.1284527081440234</v>
      </c>
    </row>
    <row r="886" spans="1:6">
      <c r="A886" s="210">
        <v>151119000</v>
      </c>
      <c r="B886" s="202" t="s">
        <v>649</v>
      </c>
      <c r="C886" s="203" t="s">
        <v>2143</v>
      </c>
      <c r="D886" s="204">
        <v>1</v>
      </c>
      <c r="E886" s="204" t="s">
        <v>235</v>
      </c>
      <c r="F886" s="205">
        <v>0.98180790520559069</v>
      </c>
    </row>
    <row r="887" spans="1:6">
      <c r="A887" s="210">
        <v>151119100</v>
      </c>
      <c r="B887" s="202" t="s">
        <v>650</v>
      </c>
      <c r="C887" s="203" t="s">
        <v>2143</v>
      </c>
      <c r="D887" s="204">
        <v>1</v>
      </c>
      <c r="E887" s="204" t="s">
        <v>235</v>
      </c>
      <c r="F887" s="205">
        <v>0.3455158273603775</v>
      </c>
    </row>
    <row r="888" spans="1:6">
      <c r="A888" s="210">
        <v>151119101</v>
      </c>
      <c r="B888" s="202" t="s">
        <v>5734</v>
      </c>
      <c r="C888" s="203" t="s">
        <v>2143</v>
      </c>
      <c r="D888" s="204">
        <v>1</v>
      </c>
      <c r="E888" s="204" t="s">
        <v>235</v>
      </c>
      <c r="F888" s="205">
        <v>0.33668128042669526</v>
      </c>
    </row>
    <row r="889" spans="1:6">
      <c r="A889" s="210">
        <v>151119200</v>
      </c>
      <c r="B889" s="202" t="s">
        <v>5735</v>
      </c>
      <c r="C889" s="203" t="s">
        <v>2143</v>
      </c>
      <c r="D889" s="204">
        <v>1</v>
      </c>
      <c r="E889" s="204" t="s">
        <v>235</v>
      </c>
      <c r="F889" s="205">
        <v>0.59367323987063103</v>
      </c>
    </row>
    <row r="890" spans="1:6">
      <c r="A890" s="210">
        <v>151119201</v>
      </c>
      <c r="B890" s="202" t="s">
        <v>5736</v>
      </c>
      <c r="C890" s="203" t="s">
        <v>2143</v>
      </c>
      <c r="D890" s="204">
        <v>1</v>
      </c>
      <c r="E890" s="204" t="s">
        <v>235</v>
      </c>
      <c r="F890" s="205">
        <v>0.19728778201072011</v>
      </c>
    </row>
    <row r="891" spans="1:6">
      <c r="A891" s="210">
        <v>152100000</v>
      </c>
      <c r="B891" s="202" t="s">
        <v>3265</v>
      </c>
      <c r="C891" s="203" t="s">
        <v>2143</v>
      </c>
      <c r="D891" s="204">
        <v>1</v>
      </c>
      <c r="E891" s="204" t="s">
        <v>235</v>
      </c>
      <c r="F891" s="205">
        <v>2.1692058311282518</v>
      </c>
    </row>
    <row r="892" spans="1:6">
      <c r="A892" s="210">
        <v>152111000</v>
      </c>
      <c r="B892" s="202" t="s">
        <v>651</v>
      </c>
      <c r="C892" s="203" t="s">
        <v>2143</v>
      </c>
      <c r="D892" s="204">
        <v>1</v>
      </c>
      <c r="E892" s="204" t="s">
        <v>235</v>
      </c>
      <c r="F892" s="205">
        <v>2.1226496764537139</v>
      </c>
    </row>
    <row r="893" spans="1:6">
      <c r="A893" s="210">
        <v>152112000</v>
      </c>
      <c r="B893" s="202" t="s">
        <v>652</v>
      </c>
      <c r="C893" s="203" t="s">
        <v>2143</v>
      </c>
      <c r="D893" s="204">
        <v>1</v>
      </c>
      <c r="E893" s="204" t="s">
        <v>235</v>
      </c>
      <c r="F893" s="205">
        <v>1.9222771684876532</v>
      </c>
    </row>
    <row r="894" spans="1:6">
      <c r="A894" s="210">
        <v>152113000</v>
      </c>
      <c r="B894" s="202" t="s">
        <v>653</v>
      </c>
      <c r="C894" s="203" t="s">
        <v>2143</v>
      </c>
      <c r="D894" s="204">
        <v>1</v>
      </c>
      <c r="E894" s="204" t="s">
        <v>235</v>
      </c>
      <c r="F894" s="205">
        <v>1.8964458028889473</v>
      </c>
    </row>
    <row r="895" spans="1:6">
      <c r="A895" s="210">
        <v>152114000</v>
      </c>
      <c r="B895" s="202" t="s">
        <v>654</v>
      </c>
      <c r="C895" s="203" t="s">
        <v>2143</v>
      </c>
      <c r="D895" s="204">
        <v>1</v>
      </c>
      <c r="E895" s="204" t="s">
        <v>235</v>
      </c>
      <c r="F895" s="205">
        <v>3.1169372667836108</v>
      </c>
    </row>
    <row r="896" spans="1:6">
      <c r="A896" s="210">
        <v>152115000</v>
      </c>
      <c r="B896" s="202" t="s">
        <v>655</v>
      </c>
      <c r="C896" s="203" t="s">
        <v>2143</v>
      </c>
      <c r="D896" s="204">
        <v>1</v>
      </c>
      <c r="E896" s="204" t="s">
        <v>235</v>
      </c>
      <c r="F896" s="205">
        <v>2.0992989121756107</v>
      </c>
    </row>
    <row r="897" spans="1:6">
      <c r="A897" s="210">
        <v>152116000</v>
      </c>
      <c r="B897" s="202" t="s">
        <v>656</v>
      </c>
      <c r="C897" s="203" t="s">
        <v>2143</v>
      </c>
      <c r="D897" s="204">
        <v>1</v>
      </c>
      <c r="E897" s="204" t="s">
        <v>235</v>
      </c>
      <c r="F897" s="205">
        <v>4.3147489319706933</v>
      </c>
    </row>
    <row r="898" spans="1:6">
      <c r="A898" s="210">
        <v>152117000</v>
      </c>
      <c r="B898" s="202" t="s">
        <v>657</v>
      </c>
      <c r="C898" s="203" t="s">
        <v>2143</v>
      </c>
      <c r="D898" s="204">
        <v>1</v>
      </c>
      <c r="E898" s="204" t="s">
        <v>235</v>
      </c>
      <c r="F898" s="205">
        <v>1.833231942505319</v>
      </c>
    </row>
    <row r="899" spans="1:6">
      <c r="A899" s="210">
        <v>152118000</v>
      </c>
      <c r="B899" s="202" t="s">
        <v>658</v>
      </c>
      <c r="C899" s="203" t="s">
        <v>2143</v>
      </c>
      <c r="D899" s="204">
        <v>1</v>
      </c>
      <c r="E899" s="204" t="s">
        <v>235</v>
      </c>
      <c r="F899" s="205">
        <v>2.1702385969873315</v>
      </c>
    </row>
    <row r="900" spans="1:6">
      <c r="A900" s="210">
        <v>152121000</v>
      </c>
      <c r="B900" s="202" t="s">
        <v>659</v>
      </c>
      <c r="C900" s="203" t="s">
        <v>2143</v>
      </c>
      <c r="D900" s="204">
        <v>1</v>
      </c>
      <c r="E900" s="204" t="s">
        <v>235</v>
      </c>
      <c r="F900" s="205">
        <v>2.7553181608880619</v>
      </c>
    </row>
    <row r="901" spans="1:6">
      <c r="A901" s="210">
        <v>152122000</v>
      </c>
      <c r="B901" s="202" t="s">
        <v>660</v>
      </c>
      <c r="C901" s="203" t="s">
        <v>2143</v>
      </c>
      <c r="D901" s="204">
        <v>1</v>
      </c>
      <c r="E901" s="204" t="s">
        <v>235</v>
      </c>
      <c r="F901" s="205">
        <v>4.9233396427953258</v>
      </c>
    </row>
    <row r="902" spans="1:6">
      <c r="A902" s="210">
        <v>152123000</v>
      </c>
      <c r="B902" s="202" t="s">
        <v>661</v>
      </c>
      <c r="C902" s="203" t="s">
        <v>2143</v>
      </c>
      <c r="D902" s="204">
        <v>1</v>
      </c>
      <c r="E902" s="204" t="s">
        <v>235</v>
      </c>
      <c r="F902" s="205">
        <v>3.1282706724049563</v>
      </c>
    </row>
    <row r="903" spans="1:6">
      <c r="A903" s="210">
        <v>152200000</v>
      </c>
      <c r="B903" s="202" t="s">
        <v>3278</v>
      </c>
      <c r="C903" s="203" t="s">
        <v>2143</v>
      </c>
      <c r="D903" s="204">
        <v>1</v>
      </c>
      <c r="E903" s="204" t="s">
        <v>235</v>
      </c>
      <c r="F903" s="205">
        <v>0.91016323181544723</v>
      </c>
    </row>
    <row r="904" spans="1:6">
      <c r="A904" s="210">
        <v>152211000</v>
      </c>
      <c r="B904" s="202" t="s">
        <v>3280</v>
      </c>
      <c r="C904" s="203" t="s">
        <v>2143</v>
      </c>
      <c r="D904" s="204">
        <v>1</v>
      </c>
      <c r="E904" s="204" t="s">
        <v>235</v>
      </c>
      <c r="F904" s="205">
        <v>0.83351362624009639</v>
      </c>
    </row>
    <row r="905" spans="1:6">
      <c r="A905" s="210">
        <v>152212000</v>
      </c>
      <c r="B905" s="202" t="s">
        <v>3282</v>
      </c>
      <c r="C905" s="203" t="s">
        <v>2143</v>
      </c>
      <c r="D905" s="204">
        <v>1</v>
      </c>
      <c r="E905" s="204" t="s">
        <v>235</v>
      </c>
      <c r="F905" s="205">
        <v>0.89294006541486448</v>
      </c>
    </row>
    <row r="906" spans="1:6">
      <c r="A906" s="210">
        <v>152213000</v>
      </c>
      <c r="B906" s="202" t="s">
        <v>3284</v>
      </c>
      <c r="C906" s="203" t="s">
        <v>2143</v>
      </c>
      <c r="D906" s="204">
        <v>1</v>
      </c>
      <c r="E906" s="204" t="s">
        <v>235</v>
      </c>
      <c r="F906" s="205">
        <v>0.65115555381632129</v>
      </c>
    </row>
    <row r="907" spans="1:6">
      <c r="A907" s="210">
        <v>152214000</v>
      </c>
      <c r="B907" s="202" t="s">
        <v>662</v>
      </c>
      <c r="C907" s="203" t="s">
        <v>2143</v>
      </c>
      <c r="D907" s="204">
        <v>1</v>
      </c>
      <c r="E907" s="204" t="s">
        <v>235</v>
      </c>
      <c r="F907" s="205">
        <v>1.9133508049000403</v>
      </c>
    </row>
    <row r="908" spans="1:6">
      <c r="A908" s="210">
        <v>152215000</v>
      </c>
      <c r="B908" s="202" t="s">
        <v>663</v>
      </c>
      <c r="C908" s="203" t="s">
        <v>2143</v>
      </c>
      <c r="D908" s="204">
        <v>1</v>
      </c>
      <c r="E908" s="204" t="s">
        <v>235</v>
      </c>
      <c r="F908" s="205">
        <v>1.3108172912165552</v>
      </c>
    </row>
    <row r="909" spans="1:6">
      <c r="A909" s="210">
        <v>152216000</v>
      </c>
      <c r="B909" s="202" t="s">
        <v>3288</v>
      </c>
      <c r="C909" s="203" t="s">
        <v>2143</v>
      </c>
      <c r="D909" s="204">
        <v>1</v>
      </c>
      <c r="E909" s="204" t="s">
        <v>235</v>
      </c>
      <c r="F909" s="205">
        <v>1.2805792163366674</v>
      </c>
    </row>
    <row r="910" spans="1:6">
      <c r="A910" s="210">
        <v>152217000</v>
      </c>
      <c r="B910" s="202" t="s">
        <v>664</v>
      </c>
      <c r="C910" s="203" t="s">
        <v>2143</v>
      </c>
      <c r="D910" s="204">
        <v>1</v>
      </c>
      <c r="E910" s="204" t="s">
        <v>235</v>
      </c>
      <c r="F910" s="205">
        <v>1.4793530531335344</v>
      </c>
    </row>
    <row r="911" spans="1:6">
      <c r="A911" s="210">
        <v>152218000</v>
      </c>
      <c r="B911" s="202" t="s">
        <v>665</v>
      </c>
      <c r="C911" s="203" t="s">
        <v>2143</v>
      </c>
      <c r="D911" s="204">
        <v>1</v>
      </c>
      <c r="E911" s="204" t="s">
        <v>235</v>
      </c>
      <c r="F911" s="205">
        <v>1.0725489146519758</v>
      </c>
    </row>
    <row r="912" spans="1:6">
      <c r="A912" s="210">
        <v>152219000</v>
      </c>
      <c r="B912" s="202" t="s">
        <v>666</v>
      </c>
      <c r="C912" s="203" t="s">
        <v>2143</v>
      </c>
      <c r="D912" s="204">
        <v>1</v>
      </c>
      <c r="E912" s="204" t="s">
        <v>235</v>
      </c>
      <c r="F912" s="205">
        <v>1.3986344613131156</v>
      </c>
    </row>
    <row r="913" spans="1:6">
      <c r="A913" s="210">
        <v>152400000</v>
      </c>
      <c r="B913" s="202" t="s">
        <v>5737</v>
      </c>
      <c r="C913" s="203" t="s">
        <v>2143</v>
      </c>
      <c r="D913" s="204">
        <v>1</v>
      </c>
      <c r="E913" s="204" t="s">
        <v>2013</v>
      </c>
      <c r="F913" s="205">
        <v>7.33791542727076E-3</v>
      </c>
    </row>
    <row r="914" spans="1:6">
      <c r="A914" s="210">
        <v>152411000</v>
      </c>
      <c r="B914" s="202" t="s">
        <v>667</v>
      </c>
      <c r="C914" s="203" t="s">
        <v>2143</v>
      </c>
      <c r="D914" s="204">
        <v>1</v>
      </c>
      <c r="E914" s="204" t="s">
        <v>2013</v>
      </c>
      <c r="F914" s="205">
        <v>7.33791542727076E-3</v>
      </c>
    </row>
    <row r="915" spans="1:6">
      <c r="A915" s="210">
        <v>153100000</v>
      </c>
      <c r="B915" s="202" t="s">
        <v>5738</v>
      </c>
      <c r="C915" s="203" t="s">
        <v>2143</v>
      </c>
      <c r="D915" s="204">
        <v>1</v>
      </c>
      <c r="E915" s="204" t="s">
        <v>2013</v>
      </c>
      <c r="F915" s="205">
        <v>1.0244587302980664E-2</v>
      </c>
    </row>
    <row r="916" spans="1:6">
      <c r="A916" s="210">
        <v>153111000</v>
      </c>
      <c r="B916" s="202" t="s">
        <v>5739</v>
      </c>
      <c r="C916" s="203" t="s">
        <v>2143</v>
      </c>
      <c r="D916" s="204">
        <v>1</v>
      </c>
      <c r="E916" s="204" t="s">
        <v>2013</v>
      </c>
      <c r="F916" s="205">
        <v>1.0337904269079804E-2</v>
      </c>
    </row>
    <row r="917" spans="1:6">
      <c r="A917" s="210">
        <v>153112000</v>
      </c>
      <c r="B917" s="202" t="s">
        <v>668</v>
      </c>
      <c r="C917" s="203" t="s">
        <v>2143</v>
      </c>
      <c r="D917" s="204">
        <v>1</v>
      </c>
      <c r="E917" s="204" t="s">
        <v>2013</v>
      </c>
      <c r="F917" s="205">
        <v>8.5883673710562113E-3</v>
      </c>
    </row>
    <row r="918" spans="1:6">
      <c r="A918" s="210">
        <v>153113000</v>
      </c>
      <c r="B918" s="202" t="s">
        <v>669</v>
      </c>
      <c r="C918" s="203" t="s">
        <v>2143</v>
      </c>
      <c r="D918" s="204">
        <v>1</v>
      </c>
      <c r="E918" s="204" t="s">
        <v>2013</v>
      </c>
      <c r="F918" s="205">
        <v>1.1873839319113009E-2</v>
      </c>
    </row>
    <row r="919" spans="1:6">
      <c r="A919" s="210">
        <v>153114000</v>
      </c>
      <c r="B919" s="202" t="s">
        <v>670</v>
      </c>
      <c r="C919" s="203" t="s">
        <v>2143</v>
      </c>
      <c r="D919" s="204">
        <v>1</v>
      </c>
      <c r="E919" s="204" t="s">
        <v>2013</v>
      </c>
      <c r="F919" s="205">
        <v>9.9406787692620322E-3</v>
      </c>
    </row>
    <row r="920" spans="1:6">
      <c r="A920" s="210">
        <v>153115000</v>
      </c>
      <c r="B920" s="202" t="s">
        <v>5740</v>
      </c>
      <c r="C920" s="203" t="s">
        <v>2143</v>
      </c>
      <c r="D920" s="204">
        <v>1</v>
      </c>
      <c r="E920" s="204" t="s">
        <v>2013</v>
      </c>
      <c r="F920" s="205">
        <v>1.119443325954708E-2</v>
      </c>
    </row>
    <row r="921" spans="1:6">
      <c r="A921" s="210">
        <v>153119000</v>
      </c>
      <c r="B921" s="202" t="s">
        <v>671</v>
      </c>
      <c r="C921" s="203" t="s">
        <v>2143</v>
      </c>
      <c r="D921" s="204">
        <v>1</v>
      </c>
      <c r="E921" s="204" t="s">
        <v>2013</v>
      </c>
      <c r="F921" s="205">
        <v>1.0543725642417855E-2</v>
      </c>
    </row>
    <row r="922" spans="1:6">
      <c r="A922" s="210">
        <v>153200000</v>
      </c>
      <c r="B922" s="202" t="s">
        <v>3293</v>
      </c>
      <c r="C922" s="203" t="s">
        <v>2143</v>
      </c>
      <c r="D922" s="204">
        <v>1</v>
      </c>
      <c r="E922" s="204" t="s">
        <v>425</v>
      </c>
      <c r="F922" s="205">
        <v>0.72891378751404423</v>
      </c>
    </row>
    <row r="923" spans="1:6">
      <c r="A923" s="210">
        <v>153211000</v>
      </c>
      <c r="B923" s="202" t="s">
        <v>672</v>
      </c>
      <c r="C923" s="203" t="s">
        <v>2143</v>
      </c>
      <c r="D923" s="204">
        <v>1</v>
      </c>
      <c r="E923" s="204" t="s">
        <v>425</v>
      </c>
      <c r="F923" s="205">
        <v>0.72891378751404423</v>
      </c>
    </row>
    <row r="924" spans="1:6">
      <c r="A924" s="210">
        <v>153300000</v>
      </c>
      <c r="B924" s="202" t="s">
        <v>5741</v>
      </c>
      <c r="C924" s="203" t="s">
        <v>2143</v>
      </c>
      <c r="D924" s="204">
        <v>1</v>
      </c>
      <c r="E924" s="204" t="s">
        <v>2013</v>
      </c>
      <c r="F924" s="205">
        <v>8.6869558623439026E-3</v>
      </c>
    </row>
    <row r="925" spans="1:6">
      <c r="A925" s="210">
        <v>153311000</v>
      </c>
      <c r="B925" s="202" t="s">
        <v>5742</v>
      </c>
      <c r="C925" s="203" t="s">
        <v>2143</v>
      </c>
      <c r="D925" s="204">
        <v>1</v>
      </c>
      <c r="E925" s="204" t="s">
        <v>2013</v>
      </c>
      <c r="F925" s="205">
        <v>8.6869558623439026E-3</v>
      </c>
    </row>
    <row r="926" spans="1:6">
      <c r="A926" s="210">
        <v>154100000</v>
      </c>
      <c r="B926" s="202" t="s">
        <v>5743</v>
      </c>
      <c r="C926" s="203" t="s">
        <v>2143</v>
      </c>
      <c r="D926" s="204">
        <v>1</v>
      </c>
      <c r="E926" s="204" t="s">
        <v>2013</v>
      </c>
      <c r="F926" s="205">
        <v>5.7725667994981758E-3</v>
      </c>
    </row>
    <row r="927" spans="1:6">
      <c r="A927" s="210">
        <v>154111000</v>
      </c>
      <c r="B927" s="202" t="s">
        <v>673</v>
      </c>
      <c r="C927" s="203" t="s">
        <v>2143</v>
      </c>
      <c r="D927" s="204">
        <v>1</v>
      </c>
      <c r="E927" s="204" t="s">
        <v>2013</v>
      </c>
      <c r="F927" s="205">
        <v>7.439970104370433E-3</v>
      </c>
    </row>
    <row r="928" spans="1:6">
      <c r="A928" s="210">
        <v>154112000</v>
      </c>
      <c r="B928" s="202" t="s">
        <v>674</v>
      </c>
      <c r="C928" s="203" t="s">
        <v>2143</v>
      </c>
      <c r="D928" s="204">
        <v>1</v>
      </c>
      <c r="E928" s="204" t="s">
        <v>2013</v>
      </c>
      <c r="F928" s="205">
        <v>6.2476381871451429E-3</v>
      </c>
    </row>
    <row r="929" spans="1:6">
      <c r="A929" s="210">
        <v>154113000</v>
      </c>
      <c r="B929" s="202" t="s">
        <v>675</v>
      </c>
      <c r="C929" s="203" t="s">
        <v>2143</v>
      </c>
      <c r="D929" s="204">
        <v>1</v>
      </c>
      <c r="E929" s="204" t="s">
        <v>2013</v>
      </c>
      <c r="F929" s="205">
        <v>5.8803701980741814E-3</v>
      </c>
    </row>
    <row r="930" spans="1:6">
      <c r="A930" s="210">
        <v>154119000</v>
      </c>
      <c r="B930" s="202" t="s">
        <v>676</v>
      </c>
      <c r="C930" s="203" t="s">
        <v>2143</v>
      </c>
      <c r="D930" s="204">
        <v>1</v>
      </c>
      <c r="E930" s="204" t="s">
        <v>2013</v>
      </c>
      <c r="F930" s="205">
        <v>5.6479712677128891E-3</v>
      </c>
    </row>
    <row r="931" spans="1:6">
      <c r="A931" s="210">
        <v>154200000</v>
      </c>
      <c r="B931" s="202" t="s">
        <v>5744</v>
      </c>
      <c r="C931" s="203" t="s">
        <v>2143</v>
      </c>
      <c r="D931" s="204">
        <v>1</v>
      </c>
      <c r="E931" s="204" t="s">
        <v>2013</v>
      </c>
      <c r="F931" s="205">
        <v>4.7416537040652906E-3</v>
      </c>
    </row>
    <row r="932" spans="1:6">
      <c r="A932" s="210">
        <v>154211000</v>
      </c>
      <c r="B932" s="202" t="s">
        <v>677</v>
      </c>
      <c r="C932" s="203" t="s">
        <v>2143</v>
      </c>
      <c r="D932" s="204">
        <v>1</v>
      </c>
      <c r="E932" s="204" t="s">
        <v>2013</v>
      </c>
      <c r="F932" s="205">
        <v>4.7034971965137663E-3</v>
      </c>
    </row>
    <row r="933" spans="1:6">
      <c r="A933" s="210">
        <v>154219000</v>
      </c>
      <c r="B933" s="202" t="s">
        <v>678</v>
      </c>
      <c r="C933" s="203" t="s">
        <v>2143</v>
      </c>
      <c r="D933" s="204">
        <v>1</v>
      </c>
      <c r="E933" s="204" t="s">
        <v>2013</v>
      </c>
      <c r="F933" s="205">
        <v>4.8537418985162856E-3</v>
      </c>
    </row>
    <row r="934" spans="1:6">
      <c r="A934" s="210">
        <v>154300000</v>
      </c>
      <c r="B934" s="202" t="s">
        <v>5745</v>
      </c>
      <c r="C934" s="203" t="s">
        <v>2143</v>
      </c>
      <c r="D934" s="204">
        <v>1</v>
      </c>
      <c r="E934" s="204" t="s">
        <v>2013</v>
      </c>
      <c r="F934" s="205">
        <v>5.8329164168114877E-3</v>
      </c>
    </row>
    <row r="935" spans="1:6">
      <c r="A935" s="210">
        <v>154311000</v>
      </c>
      <c r="B935" s="202" t="s">
        <v>679</v>
      </c>
      <c r="C935" s="203" t="s">
        <v>2143</v>
      </c>
      <c r="D935" s="204">
        <v>1</v>
      </c>
      <c r="E935" s="204" t="s">
        <v>2013</v>
      </c>
      <c r="F935" s="205">
        <v>5.7143049260333385E-3</v>
      </c>
    </row>
    <row r="936" spans="1:6">
      <c r="A936" s="210">
        <v>154312000</v>
      </c>
      <c r="B936" s="202" t="s">
        <v>680</v>
      </c>
      <c r="C936" s="203" t="s">
        <v>2143</v>
      </c>
      <c r="D936" s="204">
        <v>1</v>
      </c>
      <c r="E936" s="204" t="s">
        <v>2013</v>
      </c>
      <c r="F936" s="205">
        <v>6.3443440840929444E-3</v>
      </c>
    </row>
    <row r="937" spans="1:6">
      <c r="A937" s="210">
        <v>154319000</v>
      </c>
      <c r="B937" s="202" t="s">
        <v>681</v>
      </c>
      <c r="C937" s="203" t="s">
        <v>2143</v>
      </c>
      <c r="D937" s="204">
        <v>1</v>
      </c>
      <c r="E937" s="204" t="s">
        <v>2013</v>
      </c>
      <c r="F937" s="205">
        <v>5.4424013733226804E-3</v>
      </c>
    </row>
    <row r="938" spans="1:6">
      <c r="A938" s="210">
        <v>154900000</v>
      </c>
      <c r="B938" s="202" t="s">
        <v>5746</v>
      </c>
      <c r="C938" s="203" t="s">
        <v>2143</v>
      </c>
      <c r="D938" s="204">
        <v>1</v>
      </c>
      <c r="E938" s="204" t="s">
        <v>2013</v>
      </c>
      <c r="F938" s="205">
        <v>7.6443981373827902E-3</v>
      </c>
    </row>
    <row r="939" spans="1:6">
      <c r="A939" s="210">
        <v>154919000</v>
      </c>
      <c r="B939" s="202" t="s">
        <v>682</v>
      </c>
      <c r="C939" s="203" t="s">
        <v>2143</v>
      </c>
      <c r="D939" s="204">
        <v>1</v>
      </c>
      <c r="E939" s="204" t="s">
        <v>2013</v>
      </c>
      <c r="F939" s="205">
        <v>7.6443981373827902E-3</v>
      </c>
    </row>
    <row r="940" spans="1:6">
      <c r="A940" s="210">
        <v>155100000</v>
      </c>
      <c r="B940" s="202" t="s">
        <v>5747</v>
      </c>
      <c r="C940" s="203" t="s">
        <v>2143</v>
      </c>
      <c r="D940" s="204">
        <v>1</v>
      </c>
      <c r="E940" s="204" t="s">
        <v>2144</v>
      </c>
      <c r="F940" s="205">
        <v>0.46457656803937247</v>
      </c>
    </row>
    <row r="941" spans="1:6">
      <c r="A941" s="210">
        <v>155111000</v>
      </c>
      <c r="B941" s="202" t="s">
        <v>5748</v>
      </c>
      <c r="C941" s="203" t="s">
        <v>2143</v>
      </c>
      <c r="D941" s="204">
        <v>1</v>
      </c>
      <c r="E941" s="204" t="s">
        <v>2144</v>
      </c>
      <c r="F941" s="205">
        <v>0.46457656803937247</v>
      </c>
    </row>
    <row r="942" spans="1:6">
      <c r="A942" s="210">
        <v>155200000</v>
      </c>
      <c r="B942" s="202" t="s">
        <v>5749</v>
      </c>
      <c r="C942" s="203" t="s">
        <v>2143</v>
      </c>
      <c r="D942" s="204">
        <v>1</v>
      </c>
      <c r="E942" s="204" t="s">
        <v>2013</v>
      </c>
      <c r="F942" s="205">
        <v>7.1935810883081456E-3</v>
      </c>
    </row>
    <row r="943" spans="1:6">
      <c r="A943" s="210">
        <v>155211000</v>
      </c>
      <c r="B943" s="202" t="s">
        <v>685</v>
      </c>
      <c r="C943" s="203" t="s">
        <v>2143</v>
      </c>
      <c r="D943" s="204">
        <v>1</v>
      </c>
      <c r="E943" s="204" t="s">
        <v>2013</v>
      </c>
      <c r="F943" s="205">
        <v>7.1935810883081456E-3</v>
      </c>
    </row>
    <row r="944" spans="1:6">
      <c r="A944" s="210">
        <v>155300000</v>
      </c>
      <c r="B944" s="202" t="s">
        <v>3300</v>
      </c>
      <c r="C944" s="203" t="s">
        <v>2143</v>
      </c>
      <c r="D944" s="204">
        <v>1</v>
      </c>
      <c r="E944" s="204" t="s">
        <v>2013</v>
      </c>
      <c r="F944" s="205">
        <v>1.2133376093129299E-2</v>
      </c>
    </row>
    <row r="945" spans="1:6">
      <c r="A945" s="210">
        <v>155311000</v>
      </c>
      <c r="B945" s="202" t="s">
        <v>686</v>
      </c>
      <c r="C945" s="203" t="s">
        <v>2143</v>
      </c>
      <c r="D945" s="204">
        <v>1</v>
      </c>
      <c r="E945" s="204" t="s">
        <v>2013</v>
      </c>
      <c r="F945" s="205">
        <v>1.2133376093129299E-2</v>
      </c>
    </row>
    <row r="946" spans="1:6">
      <c r="A946" s="210">
        <v>155400000</v>
      </c>
      <c r="B946" s="202" t="s">
        <v>3303</v>
      </c>
      <c r="C946" s="203" t="s">
        <v>2143</v>
      </c>
      <c r="D946" s="204">
        <v>1</v>
      </c>
      <c r="E946" s="204" t="s">
        <v>2013</v>
      </c>
      <c r="F946" s="205">
        <v>6.8399797851545355E-3</v>
      </c>
    </row>
    <row r="947" spans="1:6">
      <c r="A947" s="210">
        <v>155411000</v>
      </c>
      <c r="B947" s="202" t="s">
        <v>687</v>
      </c>
      <c r="C947" s="203" t="s">
        <v>2143</v>
      </c>
      <c r="D947" s="204">
        <v>1</v>
      </c>
      <c r="E947" s="204" t="s">
        <v>2013</v>
      </c>
      <c r="F947" s="205">
        <v>6.6783065732271517E-3</v>
      </c>
    </row>
    <row r="948" spans="1:6">
      <c r="A948" s="210">
        <v>155412000</v>
      </c>
      <c r="B948" s="202" t="s">
        <v>688</v>
      </c>
      <c r="C948" s="203" t="s">
        <v>2143</v>
      </c>
      <c r="D948" s="204">
        <v>1</v>
      </c>
      <c r="E948" s="204" t="s">
        <v>2013</v>
      </c>
      <c r="F948" s="205">
        <v>7.0861307774770883E-3</v>
      </c>
    </row>
    <row r="949" spans="1:6">
      <c r="A949" s="210">
        <v>155413000</v>
      </c>
      <c r="B949" s="202" t="s">
        <v>689</v>
      </c>
      <c r="C949" s="203" t="s">
        <v>2143</v>
      </c>
      <c r="D949" s="204">
        <v>1</v>
      </c>
      <c r="E949" s="204" t="s">
        <v>2013</v>
      </c>
      <c r="F949" s="205">
        <v>6.7004059294017695E-3</v>
      </c>
    </row>
    <row r="950" spans="1:6">
      <c r="A950" s="210">
        <v>155419000</v>
      </c>
      <c r="B950" s="202" t="s">
        <v>690</v>
      </c>
      <c r="C950" s="203" t="s">
        <v>2143</v>
      </c>
      <c r="D950" s="204">
        <v>1</v>
      </c>
      <c r="E950" s="204" t="s">
        <v>2013</v>
      </c>
      <c r="F950" s="205">
        <v>7.2017272343193198E-3</v>
      </c>
    </row>
    <row r="951" spans="1:6">
      <c r="A951" s="210">
        <v>159100000</v>
      </c>
      <c r="B951" s="202" t="s">
        <v>3305</v>
      </c>
      <c r="C951" s="203" t="s">
        <v>2143</v>
      </c>
      <c r="D951" s="204">
        <v>1</v>
      </c>
      <c r="E951" s="204" t="s">
        <v>425</v>
      </c>
      <c r="F951" s="205">
        <v>0.21782041734838675</v>
      </c>
    </row>
    <row r="952" spans="1:6">
      <c r="A952" s="210">
        <v>159111000</v>
      </c>
      <c r="B952" s="202" t="s">
        <v>691</v>
      </c>
      <c r="C952" s="203" t="s">
        <v>2143</v>
      </c>
      <c r="D952" s="204">
        <v>1</v>
      </c>
      <c r="E952" s="204" t="s">
        <v>425</v>
      </c>
      <c r="F952" s="205">
        <v>0.21782041734838675</v>
      </c>
    </row>
    <row r="953" spans="1:6">
      <c r="A953" s="210">
        <v>159200000</v>
      </c>
      <c r="B953" s="202" t="s">
        <v>3308</v>
      </c>
      <c r="C953" s="203" t="s">
        <v>2143</v>
      </c>
      <c r="D953" s="204">
        <v>1</v>
      </c>
      <c r="E953" s="204" t="s">
        <v>425</v>
      </c>
      <c r="F953" s="205">
        <v>3.2878022419309256</v>
      </c>
    </row>
    <row r="954" spans="1:6">
      <c r="A954" s="210">
        <v>159211000</v>
      </c>
      <c r="B954" s="202" t="s">
        <v>692</v>
      </c>
      <c r="C954" s="203" t="s">
        <v>2143</v>
      </c>
      <c r="D954" s="204">
        <v>1</v>
      </c>
      <c r="E954" s="204" t="s">
        <v>425</v>
      </c>
      <c r="F954" s="205">
        <v>4.1898097218156511</v>
      </c>
    </row>
    <row r="955" spans="1:6">
      <c r="A955" s="210">
        <v>159219000</v>
      </c>
      <c r="B955" s="202" t="s">
        <v>693</v>
      </c>
      <c r="C955" s="203" t="s">
        <v>2143</v>
      </c>
      <c r="D955" s="204">
        <v>1</v>
      </c>
      <c r="E955" s="204" t="s">
        <v>425</v>
      </c>
      <c r="F955" s="205">
        <v>3.1456344079055385</v>
      </c>
    </row>
    <row r="956" spans="1:6">
      <c r="A956" s="210">
        <v>159219200</v>
      </c>
      <c r="B956" s="202" t="s">
        <v>694</v>
      </c>
      <c r="C956" s="203" t="s">
        <v>2143</v>
      </c>
      <c r="D956" s="204">
        <v>1</v>
      </c>
      <c r="E956" s="204" t="s">
        <v>235</v>
      </c>
      <c r="F956" s="205">
        <v>1.3002167517420486</v>
      </c>
    </row>
    <row r="957" spans="1:6">
      <c r="A957" s="210">
        <v>159219201</v>
      </c>
      <c r="B957" s="202" t="s">
        <v>695</v>
      </c>
      <c r="C957" s="203" t="s">
        <v>2143</v>
      </c>
      <c r="D957" s="204">
        <v>1</v>
      </c>
      <c r="E957" s="204" t="s">
        <v>235</v>
      </c>
      <c r="F957" s="205">
        <v>0.98832052544231586</v>
      </c>
    </row>
    <row r="958" spans="1:6">
      <c r="A958" s="210">
        <v>159300000</v>
      </c>
      <c r="B958" s="202" t="s">
        <v>5750</v>
      </c>
      <c r="C958" s="203" t="s">
        <v>2143</v>
      </c>
      <c r="D958" s="204">
        <v>1</v>
      </c>
      <c r="E958" s="204" t="s">
        <v>2013</v>
      </c>
      <c r="F958" s="205">
        <v>1.0639981645286824E-2</v>
      </c>
    </row>
    <row r="959" spans="1:6">
      <c r="A959" s="210">
        <v>159311000</v>
      </c>
      <c r="B959" s="202" t="s">
        <v>696</v>
      </c>
      <c r="C959" s="203" t="s">
        <v>2143</v>
      </c>
      <c r="D959" s="204">
        <v>1</v>
      </c>
      <c r="E959" s="204" t="s">
        <v>2013</v>
      </c>
      <c r="F959" s="205">
        <v>1.0639981645286824E-2</v>
      </c>
    </row>
    <row r="960" spans="1:6">
      <c r="A960" s="210">
        <v>159900000</v>
      </c>
      <c r="B960" s="202" t="s">
        <v>3314</v>
      </c>
      <c r="C960" s="203" t="s">
        <v>2143</v>
      </c>
      <c r="D960" s="204">
        <v>1</v>
      </c>
      <c r="E960" s="204" t="s">
        <v>2013</v>
      </c>
      <c r="F960" s="205">
        <v>7.2040142315176279E-3</v>
      </c>
    </row>
    <row r="961" spans="1:6">
      <c r="A961" s="210">
        <v>159911000</v>
      </c>
      <c r="B961" s="202" t="s">
        <v>697</v>
      </c>
      <c r="C961" s="203" t="s">
        <v>2143</v>
      </c>
      <c r="D961" s="204">
        <v>1</v>
      </c>
      <c r="E961" s="204" t="s">
        <v>2013</v>
      </c>
      <c r="F961" s="205">
        <v>8.1655811595128368E-3</v>
      </c>
    </row>
    <row r="962" spans="1:6">
      <c r="A962" s="210">
        <v>159912000</v>
      </c>
      <c r="B962" s="202" t="s">
        <v>698</v>
      </c>
      <c r="C962" s="203" t="s">
        <v>2143</v>
      </c>
      <c r="D962" s="204">
        <v>1</v>
      </c>
      <c r="E962" s="204" t="s">
        <v>2013</v>
      </c>
      <c r="F962" s="205">
        <v>8.6762777302746685E-3</v>
      </c>
    </row>
    <row r="963" spans="1:6">
      <c r="A963" s="210">
        <v>159919000</v>
      </c>
      <c r="B963" s="202" t="s">
        <v>699</v>
      </c>
      <c r="C963" s="203" t="s">
        <v>2143</v>
      </c>
      <c r="D963" s="204">
        <v>1</v>
      </c>
      <c r="E963" s="204" t="s">
        <v>235</v>
      </c>
      <c r="F963" s="205">
        <v>1.5400532784386982</v>
      </c>
    </row>
    <row r="964" spans="1:6">
      <c r="A964" s="210">
        <v>159921000</v>
      </c>
      <c r="B964" s="202" t="s">
        <v>700</v>
      </c>
      <c r="C964" s="203" t="s">
        <v>2143</v>
      </c>
      <c r="D964" s="204">
        <v>1</v>
      </c>
      <c r="E964" s="204" t="s">
        <v>2013</v>
      </c>
      <c r="F964" s="205">
        <v>7.4649763431826072E-3</v>
      </c>
    </row>
    <row r="965" spans="1:6">
      <c r="A965" s="210">
        <v>159922000</v>
      </c>
      <c r="B965" s="202" t="s">
        <v>701</v>
      </c>
      <c r="C965" s="203" t="s">
        <v>2143</v>
      </c>
      <c r="D965" s="204">
        <v>1</v>
      </c>
      <c r="E965" s="204" t="s">
        <v>2013</v>
      </c>
      <c r="F965" s="205">
        <v>4.8147480176141833E-3</v>
      </c>
    </row>
    <row r="966" spans="1:6">
      <c r="A966" s="210">
        <v>159939000</v>
      </c>
      <c r="B966" s="202" t="s">
        <v>702</v>
      </c>
      <c r="C966" s="203" t="s">
        <v>2143</v>
      </c>
      <c r="D966" s="204">
        <v>1</v>
      </c>
      <c r="E966" s="204" t="s">
        <v>2013</v>
      </c>
      <c r="F966" s="205">
        <v>7.3560723936969431E-3</v>
      </c>
    </row>
    <row r="967" spans="1:6">
      <c r="A967" s="210">
        <v>161100000</v>
      </c>
      <c r="B967" s="202" t="s">
        <v>5751</v>
      </c>
      <c r="C967" s="203" t="s">
        <v>2143</v>
      </c>
      <c r="D967" s="204">
        <v>1</v>
      </c>
      <c r="E967" s="204" t="s">
        <v>2013</v>
      </c>
      <c r="F967" s="205">
        <v>4.3392654237481981E-3</v>
      </c>
    </row>
    <row r="968" spans="1:6">
      <c r="A968" s="210">
        <v>161111000</v>
      </c>
      <c r="B968" s="202" t="s">
        <v>5752</v>
      </c>
      <c r="C968" s="203" t="s">
        <v>2143</v>
      </c>
      <c r="D968" s="204">
        <v>1</v>
      </c>
      <c r="E968" s="204" t="s">
        <v>2013</v>
      </c>
      <c r="F968" s="205">
        <v>4.804332849892453E-3</v>
      </c>
    </row>
    <row r="969" spans="1:6">
      <c r="A969" s="210">
        <v>161112000</v>
      </c>
      <c r="B969" s="202" t="s">
        <v>5753</v>
      </c>
      <c r="C969" s="203" t="s">
        <v>2143</v>
      </c>
      <c r="D969" s="204">
        <v>1</v>
      </c>
      <c r="E969" s="204" t="s">
        <v>2013</v>
      </c>
      <c r="F969" s="205">
        <v>4.7853256415460958E-3</v>
      </c>
    </row>
    <row r="970" spans="1:6">
      <c r="A970" s="210">
        <v>161113000</v>
      </c>
      <c r="B970" s="202" t="s">
        <v>5754</v>
      </c>
      <c r="C970" s="203" t="s">
        <v>2143</v>
      </c>
      <c r="D970" s="204">
        <v>1</v>
      </c>
      <c r="E970" s="204" t="s">
        <v>2013</v>
      </c>
      <c r="F970" s="205">
        <v>4.8410947311642305E-3</v>
      </c>
    </row>
    <row r="971" spans="1:6">
      <c r="A971" s="210">
        <v>161114000</v>
      </c>
      <c r="B971" s="202" t="s">
        <v>703</v>
      </c>
      <c r="C971" s="203" t="s">
        <v>2143</v>
      </c>
      <c r="D971" s="204">
        <v>1</v>
      </c>
      <c r="E971" s="204" t="s">
        <v>2013</v>
      </c>
      <c r="F971" s="205">
        <v>2.1606591284718322E-3</v>
      </c>
    </row>
    <row r="972" spans="1:6">
      <c r="A972" s="210">
        <v>162100000</v>
      </c>
      <c r="B972" s="202" t="s">
        <v>5755</v>
      </c>
      <c r="C972" s="203" t="s">
        <v>2143</v>
      </c>
      <c r="D972" s="204">
        <v>1</v>
      </c>
      <c r="E972" s="204" t="s">
        <v>2013</v>
      </c>
      <c r="F972" s="205">
        <v>2.9896690209846987E-3</v>
      </c>
    </row>
    <row r="973" spans="1:6">
      <c r="A973" s="210">
        <v>162111000</v>
      </c>
      <c r="B973" s="202" t="s">
        <v>5756</v>
      </c>
      <c r="C973" s="203" t="s">
        <v>2143</v>
      </c>
      <c r="D973" s="204">
        <v>1</v>
      </c>
      <c r="E973" s="204" t="s">
        <v>2013</v>
      </c>
      <c r="F973" s="205">
        <v>3.368254043122753E-3</v>
      </c>
    </row>
    <row r="974" spans="1:6">
      <c r="A974" s="210">
        <v>162112000</v>
      </c>
      <c r="B974" s="202" t="s">
        <v>704</v>
      </c>
      <c r="C974" s="203" t="s">
        <v>2143</v>
      </c>
      <c r="D974" s="204">
        <v>1</v>
      </c>
      <c r="E974" s="204" t="s">
        <v>2013</v>
      </c>
      <c r="F974" s="205">
        <v>2.5463397740742933E-3</v>
      </c>
    </row>
    <row r="975" spans="1:6">
      <c r="A975" s="210">
        <v>162113000</v>
      </c>
      <c r="B975" s="202" t="s">
        <v>705</v>
      </c>
      <c r="C975" s="203" t="s">
        <v>2143</v>
      </c>
      <c r="D975" s="204">
        <v>1</v>
      </c>
      <c r="E975" s="204" t="s">
        <v>2013</v>
      </c>
      <c r="F975" s="205">
        <v>2.1568289321594633E-3</v>
      </c>
    </row>
    <row r="976" spans="1:6">
      <c r="A976" s="210">
        <v>162114000</v>
      </c>
      <c r="B976" s="202" t="s">
        <v>706</v>
      </c>
      <c r="C976" s="203" t="s">
        <v>2143</v>
      </c>
      <c r="D976" s="204">
        <v>1</v>
      </c>
      <c r="E976" s="204" t="s">
        <v>2013</v>
      </c>
      <c r="F976" s="205">
        <v>3.0282550824980983E-3</v>
      </c>
    </row>
    <row r="977" spans="1:6">
      <c r="A977" s="210">
        <v>162115000</v>
      </c>
      <c r="B977" s="202" t="s">
        <v>5757</v>
      </c>
      <c r="C977" s="203" t="s">
        <v>2143</v>
      </c>
      <c r="D977" s="204">
        <v>1</v>
      </c>
      <c r="E977" s="204" t="s">
        <v>2013</v>
      </c>
      <c r="F977" s="205">
        <v>1.2791999718905899E-3</v>
      </c>
    </row>
    <row r="978" spans="1:6">
      <c r="A978" s="210">
        <v>171100000</v>
      </c>
      <c r="B978" s="202" t="s">
        <v>3318</v>
      </c>
      <c r="C978" s="203" t="s">
        <v>2143</v>
      </c>
      <c r="D978" s="204">
        <v>1</v>
      </c>
      <c r="E978" s="204" t="s">
        <v>235</v>
      </c>
      <c r="F978" s="205">
        <v>1.6440347299715696</v>
      </c>
    </row>
    <row r="979" spans="1:6">
      <c r="A979" s="210">
        <v>171100200</v>
      </c>
      <c r="B979" s="202" t="s">
        <v>5758</v>
      </c>
      <c r="C979" s="203" t="s">
        <v>2143</v>
      </c>
      <c r="D979" s="204">
        <v>1</v>
      </c>
      <c r="E979" s="204" t="s">
        <v>235</v>
      </c>
      <c r="F979" s="205">
        <v>5.3580067513198459</v>
      </c>
    </row>
    <row r="980" spans="1:6">
      <c r="A980" s="210">
        <v>171100201</v>
      </c>
      <c r="B980" s="202" t="s">
        <v>5759</v>
      </c>
      <c r="C980" s="203" t="s">
        <v>2143</v>
      </c>
      <c r="D980" s="204">
        <v>1</v>
      </c>
      <c r="E980" s="204" t="s">
        <v>235</v>
      </c>
      <c r="F980" s="205">
        <v>3.4897063661670846</v>
      </c>
    </row>
    <row r="981" spans="1:6">
      <c r="A981" s="210">
        <v>171111000</v>
      </c>
      <c r="B981" s="202" t="s">
        <v>3324</v>
      </c>
      <c r="C981" s="203" t="s">
        <v>2143</v>
      </c>
      <c r="D981" s="204">
        <v>1</v>
      </c>
      <c r="E981" s="204" t="s">
        <v>235</v>
      </c>
      <c r="F981" s="205">
        <v>2.3041365006989443</v>
      </c>
    </row>
    <row r="982" spans="1:6">
      <c r="A982" s="210">
        <v>171111100</v>
      </c>
      <c r="B982" s="202" t="s">
        <v>3326</v>
      </c>
      <c r="C982" s="203" t="s">
        <v>2143</v>
      </c>
      <c r="D982" s="204">
        <v>1</v>
      </c>
      <c r="E982" s="204" t="s">
        <v>235</v>
      </c>
      <c r="F982" s="205">
        <v>2.7052879078085037</v>
      </c>
    </row>
    <row r="983" spans="1:6">
      <c r="A983" s="210">
        <v>171111101</v>
      </c>
      <c r="B983" s="202" t="s">
        <v>5760</v>
      </c>
      <c r="C983" s="203" t="s">
        <v>2143</v>
      </c>
      <c r="D983" s="204">
        <v>1</v>
      </c>
      <c r="E983" s="204" t="s">
        <v>235</v>
      </c>
      <c r="F983" s="205">
        <v>3.1385758561952866</v>
      </c>
    </row>
    <row r="984" spans="1:6">
      <c r="A984" s="210">
        <v>171112000</v>
      </c>
      <c r="B984" s="202" t="s">
        <v>3330</v>
      </c>
      <c r="C984" s="203" t="s">
        <v>2143</v>
      </c>
      <c r="D984" s="204">
        <v>1</v>
      </c>
      <c r="E984" s="204" t="s">
        <v>235</v>
      </c>
      <c r="F984" s="205">
        <v>1.0384554424819301</v>
      </c>
    </row>
    <row r="985" spans="1:6">
      <c r="A985" s="210">
        <v>171113000</v>
      </c>
      <c r="B985" s="202" t="s">
        <v>3332</v>
      </c>
      <c r="C985" s="203" t="s">
        <v>2143</v>
      </c>
      <c r="D985" s="204">
        <v>1</v>
      </c>
      <c r="E985" s="204" t="s">
        <v>235</v>
      </c>
      <c r="F985" s="205">
        <v>1.5040179527986244</v>
      </c>
    </row>
    <row r="986" spans="1:6">
      <c r="A986" s="210">
        <v>171113102</v>
      </c>
      <c r="B986" s="202" t="s">
        <v>5761</v>
      </c>
      <c r="C986" s="203" t="s">
        <v>2143</v>
      </c>
      <c r="D986" s="204">
        <v>1</v>
      </c>
      <c r="E986" s="204" t="s">
        <v>235</v>
      </c>
      <c r="F986" s="205">
        <v>3.1385758561952866</v>
      </c>
    </row>
    <row r="987" spans="1:6">
      <c r="A987" s="210">
        <v>171114000</v>
      </c>
      <c r="B987" s="202" t="s">
        <v>709</v>
      </c>
      <c r="C987" s="203" t="s">
        <v>2143</v>
      </c>
      <c r="D987" s="204">
        <v>1</v>
      </c>
      <c r="E987" s="204" t="s">
        <v>235</v>
      </c>
      <c r="F987" s="205">
        <v>1.4209781809244726</v>
      </c>
    </row>
    <row r="988" spans="1:6">
      <c r="A988" s="210">
        <v>171115000</v>
      </c>
      <c r="B988" s="202" t="s">
        <v>710</v>
      </c>
      <c r="C988" s="203" t="s">
        <v>2143</v>
      </c>
      <c r="D988" s="204">
        <v>1</v>
      </c>
      <c r="E988" s="204" t="s">
        <v>235</v>
      </c>
      <c r="F988" s="205">
        <v>1.6454181829467489</v>
      </c>
    </row>
    <row r="989" spans="1:6">
      <c r="A989" s="210">
        <v>171119000</v>
      </c>
      <c r="B989" s="202" t="s">
        <v>711</v>
      </c>
      <c r="C989" s="203" t="s">
        <v>2143</v>
      </c>
      <c r="D989" s="204">
        <v>1</v>
      </c>
      <c r="E989" s="204" t="s">
        <v>235</v>
      </c>
      <c r="F989" s="205">
        <v>1.240480173017509</v>
      </c>
    </row>
    <row r="990" spans="1:6">
      <c r="A990" s="210">
        <v>171119200</v>
      </c>
      <c r="B990" s="202" t="s">
        <v>712</v>
      </c>
      <c r="C990" s="203" t="s">
        <v>2143</v>
      </c>
      <c r="D990" s="204">
        <v>1</v>
      </c>
      <c r="E990" s="204" t="s">
        <v>235</v>
      </c>
      <c r="F990" s="205">
        <v>2.9175731143499823</v>
      </c>
    </row>
    <row r="991" spans="1:6">
      <c r="A991" s="210">
        <v>171121000</v>
      </c>
      <c r="B991" s="202" t="s">
        <v>713</v>
      </c>
      <c r="C991" s="203" t="s">
        <v>2143</v>
      </c>
      <c r="D991" s="204">
        <v>1</v>
      </c>
      <c r="E991" s="204" t="s">
        <v>235</v>
      </c>
      <c r="F991" s="205">
        <v>3.0969925159901366</v>
      </c>
    </row>
    <row r="992" spans="1:6">
      <c r="A992" s="210">
        <v>171122000</v>
      </c>
      <c r="B992" s="202" t="s">
        <v>714</v>
      </c>
      <c r="C992" s="203" t="s">
        <v>2143</v>
      </c>
      <c r="D992" s="204">
        <v>1</v>
      </c>
      <c r="E992" s="204" t="s">
        <v>235</v>
      </c>
      <c r="F992" s="205">
        <v>0.17850592896639023</v>
      </c>
    </row>
    <row r="993" spans="1:6">
      <c r="A993" s="210">
        <v>171123000</v>
      </c>
      <c r="B993" s="202" t="s">
        <v>715</v>
      </c>
      <c r="C993" s="203" t="s">
        <v>2143</v>
      </c>
      <c r="D993" s="204">
        <v>1</v>
      </c>
      <c r="E993" s="204" t="s">
        <v>235</v>
      </c>
      <c r="F993" s="205">
        <v>0.71582687692168279</v>
      </c>
    </row>
    <row r="994" spans="1:6">
      <c r="A994" s="210">
        <v>171129000</v>
      </c>
      <c r="B994" s="202" t="s">
        <v>716</v>
      </c>
      <c r="C994" s="203" t="s">
        <v>2143</v>
      </c>
      <c r="D994" s="204">
        <v>1</v>
      </c>
      <c r="E994" s="204" t="s">
        <v>235</v>
      </c>
      <c r="F994" s="205">
        <v>2.3869537717004032</v>
      </c>
    </row>
    <row r="995" spans="1:6">
      <c r="A995" s="210">
        <v>171129200</v>
      </c>
      <c r="B995" s="202" t="s">
        <v>717</v>
      </c>
      <c r="C995" s="203" t="s">
        <v>2143</v>
      </c>
      <c r="D995" s="204">
        <v>1</v>
      </c>
      <c r="E995" s="204" t="s">
        <v>235</v>
      </c>
      <c r="F995" s="205">
        <v>0.84313527273515432</v>
      </c>
    </row>
    <row r="996" spans="1:6">
      <c r="A996" s="210">
        <v>171200000</v>
      </c>
      <c r="B996" s="202" t="s">
        <v>3342</v>
      </c>
      <c r="C996" s="203" t="s">
        <v>2143</v>
      </c>
      <c r="D996" s="204">
        <v>1</v>
      </c>
      <c r="E996" s="204" t="s">
        <v>235</v>
      </c>
      <c r="F996" s="205">
        <v>1.1725540714357419</v>
      </c>
    </row>
    <row r="997" spans="1:6">
      <c r="A997" s="210">
        <v>171211000</v>
      </c>
      <c r="B997" s="202" t="s">
        <v>718</v>
      </c>
      <c r="C997" s="203" t="s">
        <v>2143</v>
      </c>
      <c r="D997" s="204">
        <v>1</v>
      </c>
      <c r="E997" s="204" t="s">
        <v>235</v>
      </c>
      <c r="F997" s="205">
        <v>1.0543620767133102</v>
      </c>
    </row>
    <row r="998" spans="1:6">
      <c r="A998" s="210">
        <v>171211200</v>
      </c>
      <c r="B998" s="202" t="s">
        <v>5762</v>
      </c>
      <c r="C998" s="203" t="s">
        <v>2143</v>
      </c>
      <c r="D998" s="204">
        <v>1</v>
      </c>
      <c r="E998" s="204" t="s">
        <v>235</v>
      </c>
      <c r="F998" s="205">
        <v>1.1381083588224457</v>
      </c>
    </row>
    <row r="999" spans="1:6">
      <c r="A999" s="210">
        <v>171211201</v>
      </c>
      <c r="B999" s="202" t="s">
        <v>5763</v>
      </c>
      <c r="C999" s="203" t="s">
        <v>2143</v>
      </c>
      <c r="D999" s="204">
        <v>1</v>
      </c>
      <c r="E999" s="204" t="s">
        <v>235</v>
      </c>
      <c r="F999" s="205">
        <v>1.4971563498915228</v>
      </c>
    </row>
    <row r="1000" spans="1:6">
      <c r="A1000" s="210">
        <v>171212000</v>
      </c>
      <c r="B1000" s="202" t="s">
        <v>719</v>
      </c>
      <c r="C1000" s="203" t="s">
        <v>2143</v>
      </c>
      <c r="D1000" s="204">
        <v>1</v>
      </c>
      <c r="E1000" s="204" t="s">
        <v>235</v>
      </c>
      <c r="F1000" s="205">
        <v>1.3286446570151491</v>
      </c>
    </row>
    <row r="1001" spans="1:6">
      <c r="A1001" s="210">
        <v>171900000</v>
      </c>
      <c r="B1001" s="202" t="s">
        <v>3346</v>
      </c>
      <c r="C1001" s="203" t="s">
        <v>2143</v>
      </c>
      <c r="D1001" s="204">
        <v>1</v>
      </c>
      <c r="E1001" s="204" t="s">
        <v>235</v>
      </c>
      <c r="F1001" s="205">
        <v>1.0242918580719385</v>
      </c>
    </row>
    <row r="1002" spans="1:6">
      <c r="A1002" s="210">
        <v>171919000</v>
      </c>
      <c r="B1002" s="202" t="s">
        <v>720</v>
      </c>
      <c r="C1002" s="203" t="s">
        <v>2143</v>
      </c>
      <c r="D1002" s="204">
        <v>1</v>
      </c>
      <c r="E1002" s="204" t="s">
        <v>235</v>
      </c>
      <c r="F1002" s="205">
        <v>1.0242918580719385</v>
      </c>
    </row>
    <row r="1003" spans="1:6">
      <c r="A1003" s="210">
        <v>171919200</v>
      </c>
      <c r="B1003" s="202" t="s">
        <v>5764</v>
      </c>
      <c r="C1003" s="203" t="s">
        <v>2143</v>
      </c>
      <c r="D1003" s="204">
        <v>1</v>
      </c>
      <c r="E1003" s="204" t="s">
        <v>235</v>
      </c>
      <c r="F1003" s="205">
        <v>0.61424831384086154</v>
      </c>
    </row>
    <row r="1004" spans="1:6">
      <c r="A1004" s="210">
        <v>172100000</v>
      </c>
      <c r="B1004" s="202" t="s">
        <v>3351</v>
      </c>
      <c r="C1004" s="203" t="s">
        <v>2143</v>
      </c>
      <c r="D1004" s="204">
        <v>1</v>
      </c>
      <c r="E1004" s="204" t="s">
        <v>235</v>
      </c>
      <c r="F1004" s="205">
        <v>1.6453821490602547</v>
      </c>
    </row>
    <row r="1005" spans="1:6">
      <c r="A1005" s="210">
        <v>172100900</v>
      </c>
      <c r="B1005" s="202" t="s">
        <v>5765</v>
      </c>
      <c r="C1005" s="203" t="s">
        <v>5553</v>
      </c>
      <c r="D1005" s="204">
        <v>1</v>
      </c>
      <c r="E1005" s="204" t="s">
        <v>235</v>
      </c>
      <c r="F1005" s="205">
        <v>0</v>
      </c>
    </row>
    <row r="1006" spans="1:6">
      <c r="A1006" s="210">
        <v>172111000</v>
      </c>
      <c r="B1006" s="202" t="s">
        <v>3353</v>
      </c>
      <c r="C1006" s="203" t="s">
        <v>2143</v>
      </c>
      <c r="D1006" s="204">
        <v>1</v>
      </c>
      <c r="E1006" s="204" t="s">
        <v>235</v>
      </c>
      <c r="F1006" s="205">
        <v>1.3450398702957729</v>
      </c>
    </row>
    <row r="1007" spans="1:6">
      <c r="A1007" s="210">
        <v>172112000</v>
      </c>
      <c r="B1007" s="202" t="s">
        <v>722</v>
      </c>
      <c r="C1007" s="203" t="s">
        <v>2143</v>
      </c>
      <c r="D1007" s="204">
        <v>1</v>
      </c>
      <c r="E1007" s="204" t="s">
        <v>235</v>
      </c>
      <c r="F1007" s="205">
        <v>1.0070542063487697</v>
      </c>
    </row>
    <row r="1008" spans="1:6">
      <c r="A1008" s="210">
        <v>172112202</v>
      </c>
      <c r="B1008" s="202" t="s">
        <v>5766</v>
      </c>
      <c r="C1008" s="203" t="s">
        <v>2143</v>
      </c>
      <c r="D1008" s="204">
        <v>1</v>
      </c>
      <c r="E1008" s="204" t="s">
        <v>235</v>
      </c>
      <c r="F1008" s="205">
        <v>0.834580592273651</v>
      </c>
    </row>
    <row r="1009" spans="1:6">
      <c r="A1009" s="210">
        <v>172113000</v>
      </c>
      <c r="B1009" s="202" t="s">
        <v>723</v>
      </c>
      <c r="C1009" s="203" t="s">
        <v>2143</v>
      </c>
      <c r="D1009" s="204">
        <v>1</v>
      </c>
      <c r="E1009" s="204" t="s">
        <v>235</v>
      </c>
      <c r="F1009" s="205">
        <v>0.7738883624578754</v>
      </c>
    </row>
    <row r="1010" spans="1:6">
      <c r="A1010" s="210">
        <v>172114000</v>
      </c>
      <c r="B1010" s="202" t="s">
        <v>724</v>
      </c>
      <c r="C1010" s="203" t="s">
        <v>2143</v>
      </c>
      <c r="D1010" s="204">
        <v>1</v>
      </c>
      <c r="E1010" s="204" t="s">
        <v>235</v>
      </c>
      <c r="F1010" s="205">
        <v>0.834580592273651</v>
      </c>
    </row>
    <row r="1011" spans="1:6">
      <c r="A1011" s="210">
        <v>172115000</v>
      </c>
      <c r="B1011" s="202" t="s">
        <v>3358</v>
      </c>
      <c r="C1011" s="203" t="s">
        <v>2143</v>
      </c>
      <c r="D1011" s="204">
        <v>1</v>
      </c>
      <c r="E1011" s="204" t="s">
        <v>235</v>
      </c>
      <c r="F1011" s="205">
        <v>3.2158435997201056</v>
      </c>
    </row>
    <row r="1012" spans="1:6">
      <c r="A1012" s="210">
        <v>172115100</v>
      </c>
      <c r="B1012" s="202" t="s">
        <v>3360</v>
      </c>
      <c r="C1012" s="203" t="s">
        <v>2143</v>
      </c>
      <c r="D1012" s="204">
        <v>1</v>
      </c>
      <c r="E1012" s="204" t="s">
        <v>235</v>
      </c>
      <c r="F1012" s="205">
        <v>0.38409237335865826</v>
      </c>
    </row>
    <row r="1013" spans="1:6">
      <c r="A1013" s="210">
        <v>172115112</v>
      </c>
      <c r="B1013" s="202" t="s">
        <v>5767</v>
      </c>
      <c r="C1013" s="203" t="s">
        <v>2143</v>
      </c>
      <c r="D1013" s="204">
        <v>1</v>
      </c>
      <c r="E1013" s="204" t="s">
        <v>235</v>
      </c>
      <c r="F1013" s="205">
        <v>2.905618091237915</v>
      </c>
    </row>
    <row r="1014" spans="1:6">
      <c r="A1014" s="210">
        <v>172115113</v>
      </c>
      <c r="B1014" s="202" t="s">
        <v>5768</v>
      </c>
      <c r="C1014" s="203" t="s">
        <v>2143</v>
      </c>
      <c r="D1014" s="204">
        <v>1</v>
      </c>
      <c r="E1014" s="204" t="s">
        <v>235</v>
      </c>
      <c r="F1014" s="205">
        <v>1.9266860556958099</v>
      </c>
    </row>
    <row r="1015" spans="1:6">
      <c r="A1015" s="210">
        <v>172115115</v>
      </c>
      <c r="B1015" s="202" t="s">
        <v>5769</v>
      </c>
      <c r="C1015" s="203" t="s">
        <v>2143</v>
      </c>
      <c r="D1015" s="204">
        <v>1</v>
      </c>
      <c r="E1015" s="204" t="s">
        <v>235</v>
      </c>
      <c r="F1015" s="205">
        <v>20.393234478563638</v>
      </c>
    </row>
    <row r="1016" spans="1:6">
      <c r="A1016" s="210">
        <v>172115116</v>
      </c>
      <c r="B1016" s="202" t="s">
        <v>5770</v>
      </c>
      <c r="C1016" s="203" t="s">
        <v>2143</v>
      </c>
      <c r="D1016" s="204">
        <v>1</v>
      </c>
      <c r="E1016" s="204" t="s">
        <v>235</v>
      </c>
      <c r="F1016" s="205">
        <v>6.7754631943523753</v>
      </c>
    </row>
    <row r="1017" spans="1:6">
      <c r="A1017" s="210">
        <v>172115117</v>
      </c>
      <c r="B1017" s="202" t="s">
        <v>5771</v>
      </c>
      <c r="C1017" s="203" t="s">
        <v>2143</v>
      </c>
      <c r="D1017" s="204">
        <v>1</v>
      </c>
      <c r="E1017" s="204" t="s">
        <v>235</v>
      </c>
      <c r="F1017" s="205">
        <v>3.3695799623036535</v>
      </c>
    </row>
    <row r="1018" spans="1:6">
      <c r="A1018" s="210">
        <v>172115118</v>
      </c>
      <c r="B1018" s="202" t="s">
        <v>5772</v>
      </c>
      <c r="C1018" s="203" t="s">
        <v>2143</v>
      </c>
      <c r="D1018" s="204">
        <v>1</v>
      </c>
      <c r="E1018" s="204" t="s">
        <v>235</v>
      </c>
      <c r="F1018" s="205">
        <v>9.3849334115305503</v>
      </c>
    </row>
    <row r="1019" spans="1:6">
      <c r="A1019" s="210">
        <v>172115119</v>
      </c>
      <c r="B1019" s="202" t="s">
        <v>3362</v>
      </c>
      <c r="C1019" s="203" t="s">
        <v>2143</v>
      </c>
      <c r="D1019" s="204">
        <v>1</v>
      </c>
      <c r="E1019" s="204" t="s">
        <v>235</v>
      </c>
      <c r="F1019" s="205">
        <v>2.9326085922997827</v>
      </c>
    </row>
    <row r="1020" spans="1:6">
      <c r="A1020" s="210">
        <v>172115120</v>
      </c>
      <c r="B1020" s="202" t="s">
        <v>3364</v>
      </c>
      <c r="C1020" s="203" t="s">
        <v>2143</v>
      </c>
      <c r="D1020" s="204">
        <v>1</v>
      </c>
      <c r="E1020" s="204" t="s">
        <v>235</v>
      </c>
      <c r="F1020" s="205">
        <v>3.3771892138416999</v>
      </c>
    </row>
    <row r="1021" spans="1:6">
      <c r="A1021" s="210">
        <v>172115122</v>
      </c>
      <c r="B1021" s="202" t="s">
        <v>5773</v>
      </c>
      <c r="C1021" s="203" t="s">
        <v>2143</v>
      </c>
      <c r="D1021" s="204">
        <v>1</v>
      </c>
      <c r="E1021" s="204" t="s">
        <v>235</v>
      </c>
      <c r="F1021" s="205">
        <v>37.900567329959586</v>
      </c>
    </row>
    <row r="1022" spans="1:6">
      <c r="A1022" s="210">
        <v>172115123</v>
      </c>
      <c r="B1022" s="202" t="s">
        <v>3366</v>
      </c>
      <c r="C1022" s="203" t="s">
        <v>2143</v>
      </c>
      <c r="D1022" s="204">
        <v>1</v>
      </c>
      <c r="E1022" s="204" t="s">
        <v>235</v>
      </c>
      <c r="F1022" s="205">
        <v>13.917721045860924</v>
      </c>
    </row>
    <row r="1023" spans="1:6">
      <c r="A1023" s="210">
        <v>172115124</v>
      </c>
      <c r="B1023" s="202" t="s">
        <v>3368</v>
      </c>
      <c r="C1023" s="203" t="s">
        <v>2143</v>
      </c>
      <c r="D1023" s="204">
        <v>1</v>
      </c>
      <c r="E1023" s="204" t="s">
        <v>235</v>
      </c>
      <c r="F1023" s="205">
        <v>2.3143862363927399</v>
      </c>
    </row>
    <row r="1024" spans="1:6">
      <c r="A1024" s="210">
        <v>172115125</v>
      </c>
      <c r="B1024" s="202" t="s">
        <v>5774</v>
      </c>
      <c r="C1024" s="203" t="s">
        <v>2143</v>
      </c>
      <c r="D1024" s="204">
        <v>1</v>
      </c>
      <c r="E1024" s="204" t="s">
        <v>235</v>
      </c>
      <c r="F1024" s="205">
        <v>213.93421293004246</v>
      </c>
    </row>
    <row r="1025" spans="1:6">
      <c r="A1025" s="210">
        <v>172115126</v>
      </c>
      <c r="B1025" s="202" t="s">
        <v>3370</v>
      </c>
      <c r="C1025" s="203" t="s">
        <v>2143</v>
      </c>
      <c r="D1025" s="204">
        <v>1</v>
      </c>
      <c r="E1025" s="204" t="s">
        <v>235</v>
      </c>
      <c r="F1025" s="205">
        <v>2.9569722578742281</v>
      </c>
    </row>
    <row r="1026" spans="1:6">
      <c r="A1026" s="210">
        <v>172115200</v>
      </c>
      <c r="B1026" s="202" t="s">
        <v>5775</v>
      </c>
      <c r="C1026" s="203" t="s">
        <v>2143</v>
      </c>
      <c r="D1026" s="204">
        <v>1</v>
      </c>
      <c r="E1026" s="204" t="s">
        <v>235</v>
      </c>
      <c r="F1026" s="205">
        <v>0.3983680327774175</v>
      </c>
    </row>
    <row r="1027" spans="1:6">
      <c r="A1027" s="210">
        <v>172115201</v>
      </c>
      <c r="B1027" s="202" t="s">
        <v>3372</v>
      </c>
      <c r="C1027" s="203" t="s">
        <v>2143</v>
      </c>
      <c r="D1027" s="204">
        <v>1</v>
      </c>
      <c r="E1027" s="204" t="s">
        <v>235</v>
      </c>
      <c r="F1027" s="205">
        <v>2.1935790586642807</v>
      </c>
    </row>
    <row r="1028" spans="1:6">
      <c r="A1028" s="210">
        <v>172116000</v>
      </c>
      <c r="B1028" s="202" t="s">
        <v>725</v>
      </c>
      <c r="C1028" s="203" t="s">
        <v>2143</v>
      </c>
      <c r="D1028" s="204">
        <v>1</v>
      </c>
      <c r="E1028" s="204" t="s">
        <v>235</v>
      </c>
      <c r="F1028" s="205">
        <v>3.3648883546926363</v>
      </c>
    </row>
    <row r="1029" spans="1:6">
      <c r="A1029" s="210">
        <v>172117000</v>
      </c>
      <c r="B1029" s="202" t="s">
        <v>3375</v>
      </c>
      <c r="C1029" s="203" t="s">
        <v>2143</v>
      </c>
      <c r="D1029" s="204">
        <v>1</v>
      </c>
      <c r="E1029" s="204" t="s">
        <v>235</v>
      </c>
      <c r="F1029" s="205">
        <v>0.42066701983174709</v>
      </c>
    </row>
    <row r="1030" spans="1:6">
      <c r="A1030" s="210">
        <v>172119000</v>
      </c>
      <c r="B1030" s="202" t="s">
        <v>726</v>
      </c>
      <c r="C1030" s="203" t="s">
        <v>2143</v>
      </c>
      <c r="D1030" s="204">
        <v>1</v>
      </c>
      <c r="E1030" s="204" t="s">
        <v>235</v>
      </c>
      <c r="F1030" s="205">
        <v>1.3059126656494844</v>
      </c>
    </row>
    <row r="1031" spans="1:6">
      <c r="A1031" s="210">
        <v>172119100</v>
      </c>
      <c r="B1031" s="202" t="s">
        <v>729</v>
      </c>
      <c r="C1031" s="203" t="s">
        <v>2143</v>
      </c>
      <c r="D1031" s="204">
        <v>1</v>
      </c>
      <c r="E1031" s="204" t="s">
        <v>235</v>
      </c>
      <c r="F1031" s="205">
        <v>1.3450398702957729</v>
      </c>
    </row>
    <row r="1032" spans="1:6">
      <c r="A1032" s="210">
        <v>172119102</v>
      </c>
      <c r="B1032" s="202" t="s">
        <v>5776</v>
      </c>
      <c r="C1032" s="203" t="s">
        <v>2143</v>
      </c>
      <c r="D1032" s="204">
        <v>1</v>
      </c>
      <c r="E1032" s="204" t="s">
        <v>235</v>
      </c>
      <c r="F1032" s="205">
        <v>4.350480424036407</v>
      </c>
    </row>
    <row r="1033" spans="1:6">
      <c r="A1033" s="210">
        <v>172119200</v>
      </c>
      <c r="B1033" s="202" t="s">
        <v>727</v>
      </c>
      <c r="C1033" s="203" t="s">
        <v>2143</v>
      </c>
      <c r="D1033" s="204">
        <v>1</v>
      </c>
      <c r="E1033" s="204" t="s">
        <v>235</v>
      </c>
      <c r="F1033" s="205">
        <v>11.438741373958367</v>
      </c>
    </row>
    <row r="1034" spans="1:6">
      <c r="A1034" s="210">
        <v>172119201</v>
      </c>
      <c r="B1034" s="202" t="s">
        <v>5777</v>
      </c>
      <c r="C1034" s="203" t="s">
        <v>2143</v>
      </c>
      <c r="D1034" s="204">
        <v>1</v>
      </c>
      <c r="E1034" s="204" t="s">
        <v>235</v>
      </c>
      <c r="F1034" s="205">
        <v>0.78662183564183541</v>
      </c>
    </row>
    <row r="1035" spans="1:6">
      <c r="A1035" s="210">
        <v>172119202</v>
      </c>
      <c r="B1035" s="202" t="s">
        <v>728</v>
      </c>
      <c r="C1035" s="203" t="s">
        <v>2143</v>
      </c>
      <c r="D1035" s="204">
        <v>1</v>
      </c>
      <c r="E1035" s="204" t="s">
        <v>235</v>
      </c>
      <c r="F1035" s="205">
        <v>0.99568884350727394</v>
      </c>
    </row>
    <row r="1036" spans="1:6">
      <c r="A1036" s="210">
        <v>172119203</v>
      </c>
      <c r="B1036" s="202" t="s">
        <v>5778</v>
      </c>
      <c r="C1036" s="203" t="s">
        <v>2143</v>
      </c>
      <c r="D1036" s="204">
        <v>1</v>
      </c>
      <c r="E1036" s="204" t="s">
        <v>235</v>
      </c>
      <c r="F1036" s="205">
        <v>2.7205691838731254</v>
      </c>
    </row>
    <row r="1037" spans="1:6">
      <c r="A1037" s="210">
        <v>172200000</v>
      </c>
      <c r="B1037" s="202" t="s">
        <v>3379</v>
      </c>
      <c r="C1037" s="203" t="s">
        <v>2143</v>
      </c>
      <c r="D1037" s="204">
        <v>1</v>
      </c>
      <c r="E1037" s="204" t="s">
        <v>235</v>
      </c>
      <c r="F1037" s="205">
        <v>4.9970736298742153</v>
      </c>
    </row>
    <row r="1038" spans="1:6">
      <c r="A1038" s="210">
        <v>172211000</v>
      </c>
      <c r="B1038" s="202" t="s">
        <v>730</v>
      </c>
      <c r="C1038" s="203" t="s">
        <v>2143</v>
      </c>
      <c r="D1038" s="204">
        <v>1</v>
      </c>
      <c r="E1038" s="204" t="s">
        <v>235</v>
      </c>
      <c r="F1038" s="205">
        <v>2.2679115866508499</v>
      </c>
    </row>
    <row r="1039" spans="1:6">
      <c r="A1039" s="210">
        <v>172212000</v>
      </c>
      <c r="B1039" s="202" t="s">
        <v>731</v>
      </c>
      <c r="C1039" s="203" t="s">
        <v>2143</v>
      </c>
      <c r="D1039" s="204">
        <v>1</v>
      </c>
      <c r="E1039" s="204" t="s">
        <v>235</v>
      </c>
      <c r="F1039" s="205">
        <v>7.2199600738663579</v>
      </c>
    </row>
    <row r="1040" spans="1:6">
      <c r="A1040" s="210">
        <v>172213000</v>
      </c>
      <c r="B1040" s="202" t="s">
        <v>3383</v>
      </c>
      <c r="C1040" s="203" t="s">
        <v>2143</v>
      </c>
      <c r="D1040" s="204">
        <v>1</v>
      </c>
      <c r="E1040" s="204" t="s">
        <v>235</v>
      </c>
      <c r="F1040" s="205">
        <v>1.1305911165471498</v>
      </c>
    </row>
    <row r="1041" spans="1:6">
      <c r="A1041" s="210">
        <v>172213200</v>
      </c>
      <c r="B1041" s="202" t="s">
        <v>3385</v>
      </c>
      <c r="C1041" s="203" t="s">
        <v>2143</v>
      </c>
      <c r="D1041" s="204">
        <v>1</v>
      </c>
      <c r="E1041" s="204" t="s">
        <v>235</v>
      </c>
      <c r="F1041" s="205">
        <v>0.3983680327774175</v>
      </c>
    </row>
    <row r="1042" spans="1:6">
      <c r="A1042" s="210">
        <v>172213201</v>
      </c>
      <c r="B1042" s="202" t="s">
        <v>3387</v>
      </c>
      <c r="C1042" s="203" t="s">
        <v>2143</v>
      </c>
      <c r="D1042" s="204">
        <v>1</v>
      </c>
      <c r="E1042" s="204" t="s">
        <v>235</v>
      </c>
      <c r="F1042" s="205">
        <v>2.2289268379752123</v>
      </c>
    </row>
    <row r="1043" spans="1:6">
      <c r="A1043" s="210">
        <v>172214000</v>
      </c>
      <c r="B1043" s="202" t="s">
        <v>732</v>
      </c>
      <c r="C1043" s="203" t="s">
        <v>2143</v>
      </c>
      <c r="D1043" s="204">
        <v>1</v>
      </c>
      <c r="E1043" s="204" t="s">
        <v>235</v>
      </c>
      <c r="F1043" s="205">
        <v>7.1555655625679657</v>
      </c>
    </row>
    <row r="1044" spans="1:6">
      <c r="A1044" s="210">
        <v>172215000</v>
      </c>
      <c r="B1044" s="202" t="s">
        <v>733</v>
      </c>
      <c r="C1044" s="203" t="s">
        <v>2143</v>
      </c>
      <c r="D1044" s="204">
        <v>1</v>
      </c>
      <c r="E1044" s="204" t="s">
        <v>235</v>
      </c>
      <c r="F1044" s="205">
        <v>5.8879676413645319</v>
      </c>
    </row>
    <row r="1045" spans="1:6">
      <c r="A1045" s="210">
        <v>172215100</v>
      </c>
      <c r="B1045" s="202" t="s">
        <v>5779</v>
      </c>
      <c r="C1045" s="203" t="s">
        <v>2143</v>
      </c>
      <c r="D1045" s="204">
        <v>1</v>
      </c>
      <c r="E1045" s="204" t="s">
        <v>235</v>
      </c>
      <c r="F1045" s="205">
        <v>2.7454900880722546</v>
      </c>
    </row>
    <row r="1046" spans="1:6">
      <c r="A1046" s="210">
        <v>172219000</v>
      </c>
      <c r="B1046" s="202" t="s">
        <v>734</v>
      </c>
      <c r="C1046" s="203" t="s">
        <v>2143</v>
      </c>
      <c r="D1046" s="204">
        <v>1</v>
      </c>
      <c r="E1046" s="204" t="s">
        <v>235</v>
      </c>
      <c r="F1046" s="205">
        <v>1.5794886986613714</v>
      </c>
    </row>
    <row r="1047" spans="1:6">
      <c r="A1047" s="210">
        <v>172219200</v>
      </c>
      <c r="B1047" s="202" t="s">
        <v>735</v>
      </c>
      <c r="C1047" s="203" t="s">
        <v>2143</v>
      </c>
      <c r="D1047" s="204">
        <v>1</v>
      </c>
      <c r="E1047" s="204" t="s">
        <v>235</v>
      </c>
      <c r="F1047" s="205">
        <v>2.2171856939001162</v>
      </c>
    </row>
    <row r="1048" spans="1:6">
      <c r="A1048" s="210">
        <v>172300000</v>
      </c>
      <c r="B1048" s="202" t="s">
        <v>3392</v>
      </c>
      <c r="C1048" s="203" t="s">
        <v>2143</v>
      </c>
      <c r="D1048" s="204">
        <v>1</v>
      </c>
      <c r="E1048" s="204" t="s">
        <v>2013</v>
      </c>
      <c r="F1048" s="205">
        <v>1.0876501052635826E-2</v>
      </c>
    </row>
    <row r="1049" spans="1:6">
      <c r="A1049" s="210">
        <v>172311000</v>
      </c>
      <c r="B1049" s="202" t="s">
        <v>3394</v>
      </c>
      <c r="C1049" s="203" t="s">
        <v>2143</v>
      </c>
      <c r="D1049" s="204">
        <v>1</v>
      </c>
      <c r="E1049" s="204" t="s">
        <v>278</v>
      </c>
      <c r="F1049" s="205">
        <v>0.24417026018180779</v>
      </c>
    </row>
    <row r="1050" spans="1:6">
      <c r="A1050" s="210">
        <v>172312000</v>
      </c>
      <c r="B1050" s="202" t="s">
        <v>128</v>
      </c>
      <c r="C1050" s="203" t="s">
        <v>2143</v>
      </c>
      <c r="D1050" s="204">
        <v>1</v>
      </c>
      <c r="E1050" s="204" t="s">
        <v>278</v>
      </c>
      <c r="F1050" s="205">
        <v>0.15105179107802794</v>
      </c>
    </row>
    <row r="1051" spans="1:6">
      <c r="A1051" s="210">
        <v>172312102</v>
      </c>
      <c r="B1051" s="202" t="s">
        <v>3397</v>
      </c>
      <c r="C1051" s="203" t="s">
        <v>2143</v>
      </c>
      <c r="D1051" s="204">
        <v>1</v>
      </c>
      <c r="E1051" s="204" t="s">
        <v>235</v>
      </c>
      <c r="F1051" s="205">
        <v>1.5062790597543048</v>
      </c>
    </row>
    <row r="1052" spans="1:6">
      <c r="A1052" s="210">
        <v>172312103</v>
      </c>
      <c r="B1052" s="202" t="s">
        <v>3399</v>
      </c>
      <c r="C1052" s="203" t="s">
        <v>2143</v>
      </c>
      <c r="D1052" s="204">
        <v>1</v>
      </c>
      <c r="E1052" s="204" t="s">
        <v>235</v>
      </c>
      <c r="F1052" s="205">
        <v>1.3450398653481217</v>
      </c>
    </row>
    <row r="1053" spans="1:6">
      <c r="A1053" s="210">
        <v>172312105</v>
      </c>
      <c r="B1053" s="202" t="s">
        <v>5780</v>
      </c>
      <c r="C1053" s="203" t="s">
        <v>2143</v>
      </c>
      <c r="D1053" s="204">
        <v>1</v>
      </c>
      <c r="E1053" s="204" t="s">
        <v>235</v>
      </c>
      <c r="F1053" s="205">
        <v>4.1949153663103314</v>
      </c>
    </row>
    <row r="1054" spans="1:6">
      <c r="A1054" s="210">
        <v>172312106</v>
      </c>
      <c r="B1054" s="202" t="s">
        <v>3401</v>
      </c>
      <c r="C1054" s="203" t="s">
        <v>2143</v>
      </c>
      <c r="D1054" s="204">
        <v>1</v>
      </c>
      <c r="E1054" s="204" t="s">
        <v>235</v>
      </c>
      <c r="F1054" s="205">
        <v>1.2087023261106937</v>
      </c>
    </row>
    <row r="1055" spans="1:6">
      <c r="A1055" s="210">
        <v>172312200</v>
      </c>
      <c r="B1055" s="202" t="s">
        <v>3403</v>
      </c>
      <c r="C1055" s="203" t="s">
        <v>2143</v>
      </c>
      <c r="D1055" s="204">
        <v>1</v>
      </c>
      <c r="E1055" s="204" t="s">
        <v>278</v>
      </c>
      <c r="F1055" s="205">
        <v>1.0809740920723201</v>
      </c>
    </row>
    <row r="1056" spans="1:6">
      <c r="A1056" s="210">
        <v>172312640</v>
      </c>
      <c r="B1056" s="202" t="s">
        <v>5781</v>
      </c>
      <c r="C1056" s="203" t="s">
        <v>5553</v>
      </c>
      <c r="D1056" s="204">
        <v>1</v>
      </c>
      <c r="E1056" s="204" t="s">
        <v>278</v>
      </c>
      <c r="F1056" s="205">
        <v>0</v>
      </c>
    </row>
    <row r="1057" spans="1:6">
      <c r="A1057" s="210">
        <v>172313000</v>
      </c>
      <c r="B1057" s="202" t="s">
        <v>736</v>
      </c>
      <c r="C1057" s="203" t="s">
        <v>2143</v>
      </c>
      <c r="D1057" s="204">
        <v>1</v>
      </c>
      <c r="E1057" s="204" t="s">
        <v>235</v>
      </c>
      <c r="F1057" s="205">
        <v>26.160758735088304</v>
      </c>
    </row>
    <row r="1058" spans="1:6">
      <c r="A1058" s="210">
        <v>172314000</v>
      </c>
      <c r="B1058" s="202" t="s">
        <v>3406</v>
      </c>
      <c r="C1058" s="203" t="s">
        <v>2143</v>
      </c>
      <c r="D1058" s="204">
        <v>1</v>
      </c>
      <c r="E1058" s="204" t="s">
        <v>235</v>
      </c>
      <c r="F1058" s="205">
        <v>1.0384554424819301</v>
      </c>
    </row>
    <row r="1059" spans="1:6">
      <c r="A1059" s="210">
        <v>172314101</v>
      </c>
      <c r="B1059" s="202" t="s">
        <v>5782</v>
      </c>
      <c r="C1059" s="203" t="s">
        <v>2143</v>
      </c>
      <c r="D1059" s="204">
        <v>1</v>
      </c>
      <c r="E1059" s="204" t="s">
        <v>235</v>
      </c>
      <c r="F1059" s="205">
        <v>1.2087023261106937</v>
      </c>
    </row>
    <row r="1060" spans="1:6">
      <c r="A1060" s="210">
        <v>172314200</v>
      </c>
      <c r="B1060" s="202" t="s">
        <v>737</v>
      </c>
      <c r="C1060" s="203" t="s">
        <v>2143</v>
      </c>
      <c r="D1060" s="204">
        <v>1</v>
      </c>
      <c r="E1060" s="204" t="s">
        <v>235</v>
      </c>
      <c r="F1060" s="205">
        <v>2.015975093253227</v>
      </c>
    </row>
    <row r="1061" spans="1:6">
      <c r="A1061" s="210">
        <v>172315000</v>
      </c>
      <c r="B1061" s="202" t="s">
        <v>738</v>
      </c>
      <c r="C1061" s="203" t="s">
        <v>2143</v>
      </c>
      <c r="D1061" s="204">
        <v>1</v>
      </c>
      <c r="E1061" s="204" t="s">
        <v>278</v>
      </c>
      <c r="F1061" s="205">
        <v>0.23078472043774431</v>
      </c>
    </row>
    <row r="1062" spans="1:6">
      <c r="A1062" s="210">
        <v>172319000</v>
      </c>
      <c r="B1062" s="202" t="s">
        <v>739</v>
      </c>
      <c r="C1062" s="203" t="s">
        <v>2143</v>
      </c>
      <c r="D1062" s="204">
        <v>1</v>
      </c>
      <c r="E1062" s="204" t="s">
        <v>278</v>
      </c>
      <c r="F1062" s="205">
        <v>2.7055722832840901</v>
      </c>
    </row>
    <row r="1063" spans="1:6">
      <c r="A1063" s="210">
        <v>172319100</v>
      </c>
      <c r="B1063" s="202" t="s">
        <v>740</v>
      </c>
      <c r="C1063" s="203" t="s">
        <v>2143</v>
      </c>
      <c r="D1063" s="204">
        <v>1</v>
      </c>
      <c r="E1063" s="204" t="s">
        <v>278</v>
      </c>
      <c r="F1063" s="205">
        <v>0.13501257254523874</v>
      </c>
    </row>
    <row r="1064" spans="1:6">
      <c r="A1064" s="210">
        <v>172319101</v>
      </c>
      <c r="B1064" s="202" t="s">
        <v>741</v>
      </c>
      <c r="C1064" s="203" t="s">
        <v>2143</v>
      </c>
      <c r="D1064" s="204">
        <v>1</v>
      </c>
      <c r="E1064" s="204" t="s">
        <v>278</v>
      </c>
      <c r="F1064" s="205">
        <v>0.58468669978433441</v>
      </c>
    </row>
    <row r="1065" spans="1:6">
      <c r="A1065" s="210">
        <v>172319201</v>
      </c>
      <c r="B1065" s="202" t="s">
        <v>3411</v>
      </c>
      <c r="C1065" s="203" t="s">
        <v>2143</v>
      </c>
      <c r="D1065" s="204">
        <v>1</v>
      </c>
      <c r="E1065" s="204" t="s">
        <v>400</v>
      </c>
      <c r="F1065" s="205">
        <v>3.7704197181180348</v>
      </c>
    </row>
    <row r="1066" spans="1:6">
      <c r="A1066" s="210">
        <v>172319202</v>
      </c>
      <c r="B1066" s="202" t="s">
        <v>3413</v>
      </c>
      <c r="C1066" s="203" t="s">
        <v>2143</v>
      </c>
      <c r="D1066" s="204">
        <v>1</v>
      </c>
      <c r="E1066" s="204" t="s">
        <v>278</v>
      </c>
      <c r="F1066" s="205">
        <v>6.3297610544832739E-2</v>
      </c>
    </row>
    <row r="1067" spans="1:6">
      <c r="A1067" s="210">
        <v>172319203</v>
      </c>
      <c r="B1067" s="202" t="s">
        <v>5783</v>
      </c>
      <c r="C1067" s="203" t="s">
        <v>2143</v>
      </c>
      <c r="D1067" s="204">
        <v>1</v>
      </c>
      <c r="E1067" s="204" t="s">
        <v>278</v>
      </c>
      <c r="F1067" s="205">
        <v>5.5235213521227358E-2</v>
      </c>
    </row>
    <row r="1068" spans="1:6">
      <c r="A1068" s="210">
        <v>172319204</v>
      </c>
      <c r="B1068" s="202" t="s">
        <v>3415</v>
      </c>
      <c r="C1068" s="203" t="s">
        <v>2143</v>
      </c>
      <c r="D1068" s="204">
        <v>1</v>
      </c>
      <c r="E1068" s="204" t="s">
        <v>278</v>
      </c>
      <c r="F1068" s="205">
        <v>2.1938470164435731</v>
      </c>
    </row>
    <row r="1069" spans="1:6">
      <c r="A1069" s="210">
        <v>172319640</v>
      </c>
      <c r="B1069" s="202" t="s">
        <v>5784</v>
      </c>
      <c r="C1069" s="203" t="s">
        <v>5553</v>
      </c>
      <c r="D1069" s="204">
        <v>1</v>
      </c>
      <c r="E1069" s="204" t="s">
        <v>278</v>
      </c>
      <c r="F1069" s="205">
        <v>0</v>
      </c>
    </row>
    <row r="1070" spans="1:6">
      <c r="A1070" s="210">
        <v>172400000</v>
      </c>
      <c r="B1070" s="202" t="s">
        <v>3417</v>
      </c>
      <c r="C1070" s="203" t="s">
        <v>2143</v>
      </c>
      <c r="D1070" s="204">
        <v>1</v>
      </c>
      <c r="E1070" s="204" t="s">
        <v>2013</v>
      </c>
      <c r="F1070" s="205">
        <v>4.0841849043683851E-3</v>
      </c>
    </row>
    <row r="1071" spans="1:6">
      <c r="A1071" s="210">
        <v>172400640</v>
      </c>
      <c r="B1071" s="202" t="s">
        <v>5785</v>
      </c>
      <c r="C1071" s="203" t="s">
        <v>5553</v>
      </c>
      <c r="D1071" s="204">
        <v>1</v>
      </c>
      <c r="E1071" s="204" t="s">
        <v>235</v>
      </c>
      <c r="F1071" s="205">
        <v>0</v>
      </c>
    </row>
    <row r="1072" spans="1:6">
      <c r="A1072" s="210">
        <v>172411000</v>
      </c>
      <c r="B1072" s="202" t="s">
        <v>742</v>
      </c>
      <c r="C1072" s="203" t="s">
        <v>2143</v>
      </c>
      <c r="D1072" s="204">
        <v>1</v>
      </c>
      <c r="E1072" s="204" t="s">
        <v>235</v>
      </c>
      <c r="F1072" s="205">
        <v>1.2378879008784885E-2</v>
      </c>
    </row>
    <row r="1073" spans="1:6">
      <c r="A1073" s="210">
        <v>172411201</v>
      </c>
      <c r="B1073" s="202" t="s">
        <v>5786</v>
      </c>
      <c r="C1073" s="203" t="s">
        <v>2143</v>
      </c>
      <c r="D1073" s="204">
        <v>1</v>
      </c>
      <c r="E1073" s="204" t="s">
        <v>235</v>
      </c>
      <c r="F1073" s="205">
        <v>1.4413467288673359E-2</v>
      </c>
    </row>
    <row r="1074" spans="1:6">
      <c r="A1074" s="210">
        <v>172412000</v>
      </c>
      <c r="B1074" s="202" t="s">
        <v>743</v>
      </c>
      <c r="C1074" s="203" t="s">
        <v>2143</v>
      </c>
      <c r="D1074" s="204">
        <v>1</v>
      </c>
      <c r="E1074" s="204" t="s">
        <v>235</v>
      </c>
      <c r="F1074" s="205">
        <v>0.86615567701457574</v>
      </c>
    </row>
    <row r="1075" spans="1:6">
      <c r="A1075" s="210">
        <v>172412201</v>
      </c>
      <c r="B1075" s="202" t="s">
        <v>5787</v>
      </c>
      <c r="C1075" s="203" t="s">
        <v>2143</v>
      </c>
      <c r="D1075" s="204">
        <v>1</v>
      </c>
      <c r="E1075" s="204" t="s">
        <v>235</v>
      </c>
      <c r="F1075" s="205">
        <v>0.47708698557449647</v>
      </c>
    </row>
    <row r="1076" spans="1:6">
      <c r="A1076" s="210">
        <v>172412202</v>
      </c>
      <c r="B1076" s="202" t="s">
        <v>5788</v>
      </c>
      <c r="C1076" s="203" t="s">
        <v>2143</v>
      </c>
      <c r="D1076" s="204">
        <v>1</v>
      </c>
      <c r="E1076" s="204" t="s">
        <v>235</v>
      </c>
      <c r="F1076" s="205">
        <v>3.6410640573233435</v>
      </c>
    </row>
    <row r="1077" spans="1:6">
      <c r="A1077" s="210">
        <v>172413000</v>
      </c>
      <c r="B1077" s="202" t="s">
        <v>744</v>
      </c>
      <c r="C1077" s="203" t="s">
        <v>2143</v>
      </c>
      <c r="D1077" s="204">
        <v>1</v>
      </c>
      <c r="E1077" s="204" t="s">
        <v>2013</v>
      </c>
      <c r="F1077" s="205">
        <v>2.2902363955810721E-2</v>
      </c>
    </row>
    <row r="1078" spans="1:6">
      <c r="A1078" s="210">
        <v>172413640</v>
      </c>
      <c r="B1078" s="202" t="s">
        <v>5789</v>
      </c>
      <c r="C1078" s="203" t="s">
        <v>5553</v>
      </c>
      <c r="D1078" s="204">
        <v>1</v>
      </c>
      <c r="E1078" s="204" t="s">
        <v>400</v>
      </c>
      <c r="F1078" s="205">
        <v>0</v>
      </c>
    </row>
    <row r="1079" spans="1:6">
      <c r="A1079" s="210">
        <v>172900000</v>
      </c>
      <c r="B1079" s="202" t="s">
        <v>3422</v>
      </c>
      <c r="C1079" s="203" t="s">
        <v>2143</v>
      </c>
      <c r="D1079" s="204">
        <v>1</v>
      </c>
      <c r="E1079" s="204" t="s">
        <v>235</v>
      </c>
      <c r="F1079" s="205">
        <v>0.76337650720465933</v>
      </c>
    </row>
    <row r="1080" spans="1:6">
      <c r="A1080" s="210">
        <v>172900641</v>
      </c>
      <c r="B1080" s="202" t="s">
        <v>5790</v>
      </c>
      <c r="C1080" s="203" t="s">
        <v>5553</v>
      </c>
      <c r="D1080" s="204">
        <v>1</v>
      </c>
      <c r="E1080" s="204" t="s">
        <v>235</v>
      </c>
      <c r="F1080" s="205">
        <v>0</v>
      </c>
    </row>
    <row r="1081" spans="1:6">
      <c r="A1081" s="210">
        <v>172900940</v>
      </c>
      <c r="B1081" s="202" t="s">
        <v>5791</v>
      </c>
      <c r="C1081" s="203" t="s">
        <v>5553</v>
      </c>
      <c r="D1081" s="204">
        <v>1</v>
      </c>
      <c r="E1081" s="204" t="s">
        <v>235</v>
      </c>
      <c r="F1081" s="205">
        <v>0</v>
      </c>
    </row>
    <row r="1082" spans="1:6">
      <c r="A1082" s="210">
        <v>172900941</v>
      </c>
      <c r="B1082" s="202" t="s">
        <v>5792</v>
      </c>
      <c r="C1082" s="203" t="s">
        <v>5553</v>
      </c>
      <c r="D1082" s="204">
        <v>1</v>
      </c>
      <c r="E1082" s="204" t="s">
        <v>235</v>
      </c>
      <c r="F1082" s="205">
        <v>0</v>
      </c>
    </row>
    <row r="1083" spans="1:6">
      <c r="A1083" s="210">
        <v>172911000</v>
      </c>
      <c r="B1083" s="202" t="s">
        <v>745</v>
      </c>
      <c r="C1083" s="203" t="s">
        <v>2143</v>
      </c>
      <c r="D1083" s="204">
        <v>1</v>
      </c>
      <c r="E1083" s="204" t="s">
        <v>235</v>
      </c>
      <c r="F1083" s="205">
        <v>5.083644942418184</v>
      </c>
    </row>
    <row r="1084" spans="1:6">
      <c r="A1084" s="210">
        <v>172912000</v>
      </c>
      <c r="B1084" s="202" t="s">
        <v>3425</v>
      </c>
      <c r="C1084" s="203" t="s">
        <v>2143</v>
      </c>
      <c r="D1084" s="204">
        <v>1</v>
      </c>
      <c r="E1084" s="204" t="s">
        <v>235</v>
      </c>
      <c r="F1084" s="205">
        <v>1.3847799870947473</v>
      </c>
    </row>
    <row r="1085" spans="1:6">
      <c r="A1085" s="210">
        <v>172912101</v>
      </c>
      <c r="B1085" s="202" t="s">
        <v>3427</v>
      </c>
      <c r="C1085" s="203" t="s">
        <v>2143</v>
      </c>
      <c r="D1085" s="204">
        <v>1</v>
      </c>
      <c r="E1085" s="204" t="s">
        <v>235</v>
      </c>
      <c r="F1085" s="205">
        <v>1.5011091125329157</v>
      </c>
    </row>
    <row r="1086" spans="1:6">
      <c r="A1086" s="210">
        <v>172912200</v>
      </c>
      <c r="B1086" s="202" t="s">
        <v>3429</v>
      </c>
      <c r="C1086" s="203" t="s">
        <v>2143</v>
      </c>
      <c r="D1086" s="204">
        <v>1</v>
      </c>
      <c r="E1086" s="204" t="s">
        <v>235</v>
      </c>
      <c r="F1086" s="205">
        <v>1.1517724338986146</v>
      </c>
    </row>
    <row r="1087" spans="1:6">
      <c r="A1087" s="210">
        <v>172921000</v>
      </c>
      <c r="B1087" s="202" t="s">
        <v>3431</v>
      </c>
      <c r="C1087" s="203" t="s">
        <v>2143</v>
      </c>
      <c r="D1087" s="204">
        <v>1</v>
      </c>
      <c r="E1087" s="204" t="s">
        <v>235</v>
      </c>
      <c r="F1087" s="205">
        <v>2.2601083354791086E-2</v>
      </c>
    </row>
    <row r="1088" spans="1:6">
      <c r="A1088" s="210">
        <v>172921101</v>
      </c>
      <c r="B1088" s="202" t="s">
        <v>3433</v>
      </c>
      <c r="C1088" s="203" t="s">
        <v>2143</v>
      </c>
      <c r="D1088" s="204">
        <v>1</v>
      </c>
      <c r="E1088" s="204" t="s">
        <v>235</v>
      </c>
      <c r="F1088" s="205">
        <v>-0.21358095252974091</v>
      </c>
    </row>
    <row r="1089" spans="1:6">
      <c r="A1089" s="210">
        <v>172921200</v>
      </c>
      <c r="B1089" s="202" t="s">
        <v>3435</v>
      </c>
      <c r="C1089" s="203" t="s">
        <v>2143</v>
      </c>
      <c r="D1089" s="204">
        <v>1</v>
      </c>
      <c r="E1089" s="204" t="s">
        <v>235</v>
      </c>
      <c r="F1089" s="205">
        <v>8.4854760189383177E-2</v>
      </c>
    </row>
    <row r="1090" spans="1:6">
      <c r="A1090" s="210">
        <v>172922000</v>
      </c>
      <c r="B1090" s="202" t="s">
        <v>3437</v>
      </c>
      <c r="C1090" s="203" t="s">
        <v>2143</v>
      </c>
      <c r="D1090" s="204">
        <v>1</v>
      </c>
      <c r="E1090" s="204" t="s">
        <v>235</v>
      </c>
      <c r="F1090" s="205">
        <v>9.1800547385940512E-2</v>
      </c>
    </row>
    <row r="1091" spans="1:6">
      <c r="A1091" s="210">
        <v>172923000</v>
      </c>
      <c r="B1091" s="202" t="s">
        <v>746</v>
      </c>
      <c r="C1091" s="203" t="s">
        <v>2143</v>
      </c>
      <c r="D1091" s="204">
        <v>1</v>
      </c>
      <c r="E1091" s="204" t="s">
        <v>235</v>
      </c>
      <c r="F1091" s="205">
        <v>6.4808317497721744</v>
      </c>
    </row>
    <row r="1092" spans="1:6">
      <c r="A1092" s="210">
        <v>172923100</v>
      </c>
      <c r="B1092" s="202" t="s">
        <v>175</v>
      </c>
      <c r="C1092" s="203" t="s">
        <v>2143</v>
      </c>
      <c r="D1092" s="204">
        <v>1</v>
      </c>
      <c r="E1092" s="204" t="s">
        <v>235</v>
      </c>
      <c r="F1092" s="205">
        <v>6.4674570284784529</v>
      </c>
    </row>
    <row r="1093" spans="1:6">
      <c r="A1093" s="210">
        <v>172923200</v>
      </c>
      <c r="B1093" s="202" t="s">
        <v>747</v>
      </c>
      <c r="C1093" s="203" t="s">
        <v>2152</v>
      </c>
      <c r="D1093" s="204">
        <v>1</v>
      </c>
      <c r="E1093" s="204" t="s">
        <v>235</v>
      </c>
      <c r="F1093" s="205">
        <v>0.1344030597783259</v>
      </c>
    </row>
    <row r="1094" spans="1:6">
      <c r="A1094" s="210">
        <v>172923201</v>
      </c>
      <c r="B1094" s="202" t="s">
        <v>748</v>
      </c>
      <c r="C1094" s="203" t="s">
        <v>2153</v>
      </c>
      <c r="D1094" s="204">
        <v>1</v>
      </c>
      <c r="E1094" s="204" t="s">
        <v>235</v>
      </c>
      <c r="F1094" s="205">
        <v>0.17736053026002582</v>
      </c>
    </row>
    <row r="1095" spans="1:6">
      <c r="A1095" s="210">
        <v>172923202</v>
      </c>
      <c r="B1095" s="202" t="s">
        <v>749</v>
      </c>
      <c r="C1095" s="203" t="s">
        <v>2143</v>
      </c>
      <c r="D1095" s="204">
        <v>1</v>
      </c>
      <c r="E1095" s="204" t="s">
        <v>235</v>
      </c>
      <c r="F1095" s="205">
        <v>18.100087627828295</v>
      </c>
    </row>
    <row r="1096" spans="1:6">
      <c r="A1096" s="210">
        <v>172923203</v>
      </c>
      <c r="B1096" s="202" t="s">
        <v>750</v>
      </c>
      <c r="C1096" s="203" t="s">
        <v>2143</v>
      </c>
      <c r="D1096" s="204">
        <v>1</v>
      </c>
      <c r="E1096" s="204" t="s">
        <v>235</v>
      </c>
      <c r="F1096" s="205">
        <v>6.4021872383892307</v>
      </c>
    </row>
    <row r="1097" spans="1:6">
      <c r="A1097" s="210">
        <v>172924000</v>
      </c>
      <c r="B1097" s="202" t="s">
        <v>751</v>
      </c>
      <c r="C1097" s="203" t="s">
        <v>2143</v>
      </c>
      <c r="D1097" s="204">
        <v>1</v>
      </c>
      <c r="E1097" s="204" t="s">
        <v>235</v>
      </c>
      <c r="F1097" s="205">
        <v>53.976791444254026</v>
      </c>
    </row>
    <row r="1098" spans="1:6">
      <c r="A1098" s="210">
        <v>172925000</v>
      </c>
      <c r="B1098" s="202" t="s">
        <v>752</v>
      </c>
      <c r="C1098" s="203" t="s">
        <v>2143</v>
      </c>
      <c r="D1098" s="204">
        <v>1</v>
      </c>
      <c r="E1098" s="204" t="s">
        <v>235</v>
      </c>
      <c r="F1098" s="205">
        <v>5.4907134268221505</v>
      </c>
    </row>
    <row r="1099" spans="1:6">
      <c r="A1099" s="210">
        <v>172926000</v>
      </c>
      <c r="B1099" s="202" t="s">
        <v>753</v>
      </c>
      <c r="C1099" s="203" t="s">
        <v>2143</v>
      </c>
      <c r="D1099" s="204">
        <v>1</v>
      </c>
      <c r="E1099" s="204" t="s">
        <v>235</v>
      </c>
      <c r="F1099" s="205">
        <v>0.72831710935661598</v>
      </c>
    </row>
    <row r="1100" spans="1:6">
      <c r="A1100" s="210">
        <v>172926200</v>
      </c>
      <c r="B1100" s="202" t="s">
        <v>3447</v>
      </c>
      <c r="C1100" s="203" t="s">
        <v>2143</v>
      </c>
      <c r="D1100" s="204">
        <v>1</v>
      </c>
      <c r="E1100" s="204" t="s">
        <v>235</v>
      </c>
      <c r="F1100" s="205">
        <v>0.47313653075191975</v>
      </c>
    </row>
    <row r="1101" spans="1:6">
      <c r="A1101" s="210">
        <v>172926201</v>
      </c>
      <c r="B1101" s="202" t="s">
        <v>3449</v>
      </c>
      <c r="C1101" s="203" t="s">
        <v>2143</v>
      </c>
      <c r="D1101" s="204">
        <v>1</v>
      </c>
      <c r="E1101" s="204" t="s">
        <v>235</v>
      </c>
      <c r="F1101" s="205">
        <v>0.98349760687115784</v>
      </c>
    </row>
    <row r="1102" spans="1:6">
      <c r="A1102" s="210">
        <v>172927000</v>
      </c>
      <c r="B1102" s="202" t="s">
        <v>754</v>
      </c>
      <c r="C1102" s="203" t="s">
        <v>2143</v>
      </c>
      <c r="D1102" s="204">
        <v>1</v>
      </c>
      <c r="E1102" s="204" t="s">
        <v>235</v>
      </c>
      <c r="F1102" s="205">
        <v>3.7194839702244296</v>
      </c>
    </row>
    <row r="1103" spans="1:6">
      <c r="A1103" s="210">
        <v>172928000</v>
      </c>
      <c r="B1103" s="202" t="s">
        <v>755</v>
      </c>
      <c r="C1103" s="203" t="s">
        <v>2143</v>
      </c>
      <c r="D1103" s="204">
        <v>1</v>
      </c>
      <c r="E1103" s="204" t="s">
        <v>235</v>
      </c>
      <c r="F1103" s="205">
        <v>7.5384952044702453</v>
      </c>
    </row>
    <row r="1104" spans="1:6">
      <c r="A1104" s="210">
        <v>172931000</v>
      </c>
      <c r="B1104" s="202" t="s">
        <v>756</v>
      </c>
      <c r="C1104" s="203" t="s">
        <v>2143</v>
      </c>
      <c r="D1104" s="204">
        <v>1</v>
      </c>
      <c r="E1104" s="204" t="s">
        <v>235</v>
      </c>
      <c r="F1104" s="205">
        <v>2.3215561219054619</v>
      </c>
    </row>
    <row r="1105" spans="1:6">
      <c r="A1105" s="210">
        <v>172931200</v>
      </c>
      <c r="B1105" s="202" t="s">
        <v>757</v>
      </c>
      <c r="C1105" s="203" t="s">
        <v>2143</v>
      </c>
      <c r="D1105" s="204">
        <v>1</v>
      </c>
      <c r="E1105" s="204" t="s">
        <v>235</v>
      </c>
      <c r="F1105" s="205">
        <v>1.1180383221619883</v>
      </c>
    </row>
    <row r="1106" spans="1:6">
      <c r="A1106" s="210">
        <v>172931201</v>
      </c>
      <c r="B1106" s="202" t="s">
        <v>3455</v>
      </c>
      <c r="C1106" s="203" t="s">
        <v>2143</v>
      </c>
      <c r="D1106" s="204">
        <v>1</v>
      </c>
      <c r="E1106" s="204" t="s">
        <v>235</v>
      </c>
      <c r="F1106" s="205">
        <v>2.5921780827930472</v>
      </c>
    </row>
    <row r="1107" spans="1:6">
      <c r="A1107" s="210">
        <v>172931202</v>
      </c>
      <c r="B1107" s="202" t="s">
        <v>3457</v>
      </c>
      <c r="C1107" s="203" t="s">
        <v>2143</v>
      </c>
      <c r="D1107" s="204">
        <v>1</v>
      </c>
      <c r="E1107" s="204" t="s">
        <v>235</v>
      </c>
      <c r="F1107" s="205">
        <v>5.4342510068076066</v>
      </c>
    </row>
    <row r="1108" spans="1:6">
      <c r="A1108" s="210">
        <v>172931203</v>
      </c>
      <c r="B1108" s="202" t="s">
        <v>5793</v>
      </c>
      <c r="C1108" s="203" t="s">
        <v>2143</v>
      </c>
      <c r="D1108" s="204">
        <v>1</v>
      </c>
      <c r="E1108" s="204" t="s">
        <v>235</v>
      </c>
      <c r="F1108" s="205">
        <v>6.3810783234264736</v>
      </c>
    </row>
    <row r="1109" spans="1:6">
      <c r="A1109" s="210">
        <v>172932000</v>
      </c>
      <c r="B1109" s="202" t="s">
        <v>758</v>
      </c>
      <c r="C1109" s="203" t="s">
        <v>2143</v>
      </c>
      <c r="D1109" s="204">
        <v>1</v>
      </c>
      <c r="E1109" s="204" t="s">
        <v>235</v>
      </c>
      <c r="F1109" s="205">
        <v>25.470224894420131</v>
      </c>
    </row>
    <row r="1110" spans="1:6">
      <c r="A1110" s="210">
        <v>172932200</v>
      </c>
      <c r="B1110" s="202" t="s">
        <v>5794</v>
      </c>
      <c r="C1110" s="203" t="s">
        <v>2143</v>
      </c>
      <c r="D1110" s="204">
        <v>1</v>
      </c>
      <c r="E1110" s="204" t="s">
        <v>235</v>
      </c>
      <c r="F1110" s="205">
        <v>11.022927607562815</v>
      </c>
    </row>
    <row r="1111" spans="1:6">
      <c r="A1111" s="210">
        <v>172932201</v>
      </c>
      <c r="B1111" s="202" t="s">
        <v>5795</v>
      </c>
      <c r="C1111" s="203" t="s">
        <v>2143</v>
      </c>
      <c r="D1111" s="204">
        <v>1</v>
      </c>
      <c r="E1111" s="204" t="s">
        <v>235</v>
      </c>
      <c r="F1111" s="205">
        <v>6.1084044253797352</v>
      </c>
    </row>
    <row r="1112" spans="1:6">
      <c r="A1112" s="210">
        <v>172932202</v>
      </c>
      <c r="B1112" s="202" t="s">
        <v>5796</v>
      </c>
      <c r="C1112" s="203" t="s">
        <v>2143</v>
      </c>
      <c r="D1112" s="204">
        <v>1</v>
      </c>
      <c r="E1112" s="204" t="s">
        <v>235</v>
      </c>
      <c r="F1112" s="205">
        <v>2.4370146253780414</v>
      </c>
    </row>
    <row r="1113" spans="1:6">
      <c r="A1113" s="210">
        <v>172933000</v>
      </c>
      <c r="B1113" s="202" t="s">
        <v>3460</v>
      </c>
      <c r="C1113" s="203" t="s">
        <v>2143</v>
      </c>
      <c r="D1113" s="204">
        <v>1</v>
      </c>
      <c r="E1113" s="204" t="s">
        <v>235</v>
      </c>
      <c r="F1113" s="205">
        <v>1.8908627660969959</v>
      </c>
    </row>
    <row r="1114" spans="1:6">
      <c r="A1114" s="210">
        <v>172934000</v>
      </c>
      <c r="B1114" s="202" t="s">
        <v>3462</v>
      </c>
      <c r="C1114" s="203" t="s">
        <v>2143</v>
      </c>
      <c r="D1114" s="204">
        <v>1</v>
      </c>
      <c r="E1114" s="204" t="s">
        <v>235</v>
      </c>
      <c r="F1114" s="205">
        <v>0.84567574514553212</v>
      </c>
    </row>
    <row r="1115" spans="1:6">
      <c r="A1115" s="210">
        <v>172949000</v>
      </c>
      <c r="B1115" s="202" t="s">
        <v>759</v>
      </c>
      <c r="C1115" s="203" t="s">
        <v>2143</v>
      </c>
      <c r="D1115" s="204">
        <v>1</v>
      </c>
      <c r="E1115" s="204" t="s">
        <v>235</v>
      </c>
      <c r="F1115" s="205">
        <v>0.51816114288819759</v>
      </c>
    </row>
    <row r="1116" spans="1:6">
      <c r="A1116" s="210">
        <v>172949100</v>
      </c>
      <c r="B1116" s="202" t="s">
        <v>5797</v>
      </c>
      <c r="C1116" s="203" t="s">
        <v>2143</v>
      </c>
      <c r="D1116" s="204">
        <v>1</v>
      </c>
      <c r="E1116" s="204" t="s">
        <v>235</v>
      </c>
      <c r="F1116" s="205">
        <v>1.5011089933236261</v>
      </c>
    </row>
    <row r="1117" spans="1:6">
      <c r="A1117" s="210">
        <v>172949104</v>
      </c>
      <c r="B1117" s="202" t="s">
        <v>5798</v>
      </c>
      <c r="C1117" s="203" t="s">
        <v>2143</v>
      </c>
      <c r="D1117" s="204">
        <v>1</v>
      </c>
      <c r="E1117" s="204" t="s">
        <v>235</v>
      </c>
      <c r="F1117" s="205">
        <v>1.3916366803195515</v>
      </c>
    </row>
    <row r="1118" spans="1:6">
      <c r="A1118" s="210">
        <v>172949105</v>
      </c>
      <c r="B1118" s="202" t="s">
        <v>3465</v>
      </c>
      <c r="C1118" s="203" t="s">
        <v>2143</v>
      </c>
      <c r="D1118" s="204">
        <v>1</v>
      </c>
      <c r="E1118" s="204" t="s">
        <v>235</v>
      </c>
      <c r="F1118" s="205">
        <v>0.63161227801009057</v>
      </c>
    </row>
    <row r="1119" spans="1:6">
      <c r="A1119" s="210">
        <v>172949106</v>
      </c>
      <c r="B1119" s="202" t="s">
        <v>5799</v>
      </c>
      <c r="C1119" s="203" t="s">
        <v>2143</v>
      </c>
      <c r="D1119" s="204">
        <v>1</v>
      </c>
      <c r="E1119" s="204" t="s">
        <v>235</v>
      </c>
      <c r="F1119" s="205">
        <v>3.9204654948753692</v>
      </c>
    </row>
    <row r="1120" spans="1:6">
      <c r="A1120" s="210">
        <v>172949107</v>
      </c>
      <c r="B1120" s="202" t="s">
        <v>760</v>
      </c>
      <c r="C1120" s="203" t="s">
        <v>2143</v>
      </c>
      <c r="D1120" s="204">
        <v>1</v>
      </c>
      <c r="E1120" s="204" t="s">
        <v>235</v>
      </c>
      <c r="F1120" s="205">
        <v>1.2005418126217144</v>
      </c>
    </row>
    <row r="1121" spans="1:6">
      <c r="A1121" s="210">
        <v>172949108</v>
      </c>
      <c r="B1121" s="202" t="s">
        <v>5800</v>
      </c>
      <c r="C1121" s="203" t="s">
        <v>2143</v>
      </c>
      <c r="D1121" s="204">
        <v>1</v>
      </c>
      <c r="E1121" s="204" t="s">
        <v>235</v>
      </c>
      <c r="F1121" s="205">
        <v>8.4733009859003694</v>
      </c>
    </row>
    <row r="1122" spans="1:6">
      <c r="A1122" s="210">
        <v>172949109</v>
      </c>
      <c r="B1122" s="202" t="s">
        <v>5801</v>
      </c>
      <c r="C1122" s="203" t="s">
        <v>2143</v>
      </c>
      <c r="D1122" s="204">
        <v>1</v>
      </c>
      <c r="E1122" s="204" t="s">
        <v>235</v>
      </c>
      <c r="F1122" s="205">
        <v>6.8006156158085878</v>
      </c>
    </row>
    <row r="1123" spans="1:6">
      <c r="A1123" s="210">
        <v>172949204</v>
      </c>
      <c r="B1123" s="202" t="s">
        <v>285</v>
      </c>
      <c r="C1123" s="203" t="s">
        <v>2143</v>
      </c>
      <c r="D1123" s="204">
        <v>1</v>
      </c>
      <c r="E1123" s="204" t="s">
        <v>235</v>
      </c>
      <c r="F1123" s="205">
        <v>7.5834369213613027</v>
      </c>
    </row>
    <row r="1124" spans="1:6">
      <c r="A1124" s="210">
        <v>172949205</v>
      </c>
      <c r="B1124" s="202" t="s">
        <v>286</v>
      </c>
      <c r="C1124" s="203" t="s">
        <v>2143</v>
      </c>
      <c r="D1124" s="204">
        <v>1</v>
      </c>
      <c r="E1124" s="204" t="s">
        <v>235</v>
      </c>
      <c r="F1124" s="205">
        <v>17.189013800840598</v>
      </c>
    </row>
    <row r="1125" spans="1:6">
      <c r="A1125" s="210">
        <v>172949206</v>
      </c>
      <c r="B1125" s="202" t="s">
        <v>287</v>
      </c>
      <c r="C1125" s="203" t="s">
        <v>2143</v>
      </c>
      <c r="D1125" s="204">
        <v>1</v>
      </c>
      <c r="E1125" s="204" t="s">
        <v>235</v>
      </c>
      <c r="F1125" s="205">
        <v>5.3217434893070532</v>
      </c>
    </row>
    <row r="1126" spans="1:6">
      <c r="A1126" s="210">
        <v>172949207</v>
      </c>
      <c r="B1126" s="202" t="s">
        <v>5802</v>
      </c>
      <c r="C1126" s="203" t="s">
        <v>2143</v>
      </c>
      <c r="D1126" s="204">
        <v>1</v>
      </c>
      <c r="E1126" s="204" t="s">
        <v>235</v>
      </c>
      <c r="F1126" s="205">
        <v>11.27815447383303</v>
      </c>
    </row>
    <row r="1127" spans="1:6">
      <c r="A1127" s="210">
        <v>172949208</v>
      </c>
      <c r="B1127" s="202" t="s">
        <v>5803</v>
      </c>
      <c r="C1127" s="203" t="s">
        <v>2143</v>
      </c>
      <c r="D1127" s="204">
        <v>1</v>
      </c>
      <c r="E1127" s="204" t="s">
        <v>235</v>
      </c>
      <c r="F1127" s="205">
        <v>3.1236764597217435</v>
      </c>
    </row>
    <row r="1128" spans="1:6">
      <c r="A1128" s="210">
        <v>172949209</v>
      </c>
      <c r="B1128" s="202" t="s">
        <v>5804</v>
      </c>
      <c r="C1128" s="203" t="s">
        <v>2143</v>
      </c>
      <c r="D1128" s="204">
        <v>1</v>
      </c>
      <c r="E1128" s="204" t="s">
        <v>235</v>
      </c>
      <c r="F1128" s="205">
        <v>5.4546759215231733</v>
      </c>
    </row>
    <row r="1129" spans="1:6">
      <c r="A1129" s="210">
        <v>172949210</v>
      </c>
      <c r="B1129" s="202" t="s">
        <v>761</v>
      </c>
      <c r="C1129" s="203" t="s">
        <v>2143</v>
      </c>
      <c r="D1129" s="204">
        <v>1</v>
      </c>
      <c r="E1129" s="204" t="s">
        <v>235</v>
      </c>
      <c r="F1129" s="205">
        <v>6.1396701061989241</v>
      </c>
    </row>
    <row r="1130" spans="1:6">
      <c r="A1130" s="210">
        <v>172949211</v>
      </c>
      <c r="B1130" s="202" t="s">
        <v>762</v>
      </c>
      <c r="C1130" s="203" t="s">
        <v>2143</v>
      </c>
      <c r="D1130" s="204">
        <v>1</v>
      </c>
      <c r="E1130" s="204" t="s">
        <v>235</v>
      </c>
      <c r="F1130" s="205">
        <v>10.502992727795005</v>
      </c>
    </row>
    <row r="1131" spans="1:6">
      <c r="A1131" s="210">
        <v>172949213</v>
      </c>
      <c r="B1131" s="202" t="s">
        <v>763</v>
      </c>
      <c r="C1131" s="203" t="s">
        <v>2143</v>
      </c>
      <c r="D1131" s="204">
        <v>1</v>
      </c>
      <c r="E1131" s="204" t="s">
        <v>235</v>
      </c>
      <c r="F1131" s="205">
        <v>3.0853119888048841</v>
      </c>
    </row>
    <row r="1132" spans="1:6">
      <c r="A1132" s="210">
        <v>172949214</v>
      </c>
      <c r="B1132" s="202" t="s">
        <v>764</v>
      </c>
      <c r="C1132" s="203" t="s">
        <v>2143</v>
      </c>
      <c r="D1132" s="204">
        <v>1</v>
      </c>
      <c r="E1132" s="204" t="s">
        <v>235</v>
      </c>
      <c r="F1132" s="205">
        <v>2.7106532563440213</v>
      </c>
    </row>
    <row r="1133" spans="1:6">
      <c r="A1133" s="210">
        <v>172949215</v>
      </c>
      <c r="B1133" s="202" t="s">
        <v>5805</v>
      </c>
      <c r="C1133" s="203" t="s">
        <v>2143</v>
      </c>
      <c r="D1133" s="204">
        <v>1</v>
      </c>
      <c r="E1133" s="204" t="s">
        <v>235</v>
      </c>
      <c r="F1133" s="205">
        <v>0.48636170157935826</v>
      </c>
    </row>
    <row r="1134" spans="1:6">
      <c r="A1134" s="210">
        <v>172949216</v>
      </c>
      <c r="B1134" s="202" t="s">
        <v>765</v>
      </c>
      <c r="C1134" s="203" t="s">
        <v>2143</v>
      </c>
      <c r="D1134" s="204">
        <v>1</v>
      </c>
      <c r="E1134" s="204" t="s">
        <v>235</v>
      </c>
      <c r="F1134" s="205">
        <v>0.57617576101081225</v>
      </c>
    </row>
    <row r="1135" spans="1:6">
      <c r="A1135" s="210">
        <v>172949217</v>
      </c>
      <c r="B1135" s="202" t="s">
        <v>766</v>
      </c>
      <c r="C1135" s="203" t="s">
        <v>2143</v>
      </c>
      <c r="D1135" s="204">
        <v>1</v>
      </c>
      <c r="E1135" s="204" t="s">
        <v>235</v>
      </c>
      <c r="F1135" s="205">
        <v>0.17064848739482721</v>
      </c>
    </row>
    <row r="1136" spans="1:6">
      <c r="A1136" s="210">
        <v>172949219</v>
      </c>
      <c r="B1136" s="202" t="s">
        <v>767</v>
      </c>
      <c r="C1136" s="203" t="s">
        <v>2143</v>
      </c>
      <c r="D1136" s="204">
        <v>1</v>
      </c>
      <c r="E1136" s="204" t="s">
        <v>235</v>
      </c>
      <c r="F1136" s="205">
        <v>9.19990437924967</v>
      </c>
    </row>
    <row r="1137" spans="1:6">
      <c r="A1137" s="210">
        <v>172949220</v>
      </c>
      <c r="B1137" s="202" t="s">
        <v>768</v>
      </c>
      <c r="C1137" s="203" t="s">
        <v>2143</v>
      </c>
      <c r="D1137" s="204">
        <v>1</v>
      </c>
      <c r="E1137" s="204" t="s">
        <v>235</v>
      </c>
      <c r="F1137" s="205">
        <v>1.9204872017088073</v>
      </c>
    </row>
    <row r="1138" spans="1:6">
      <c r="A1138" s="210">
        <v>172949221</v>
      </c>
      <c r="B1138" s="202" t="s">
        <v>769</v>
      </c>
      <c r="C1138" s="203" t="s">
        <v>2143</v>
      </c>
      <c r="D1138" s="204">
        <v>1</v>
      </c>
      <c r="E1138" s="204" t="s">
        <v>235</v>
      </c>
      <c r="F1138" s="205">
        <v>2.5377168993746277</v>
      </c>
    </row>
    <row r="1139" spans="1:6">
      <c r="A1139" s="210">
        <v>172949222</v>
      </c>
      <c r="B1139" s="202" t="s">
        <v>770</v>
      </c>
      <c r="C1139" s="203" t="s">
        <v>2143</v>
      </c>
      <c r="D1139" s="204">
        <v>1</v>
      </c>
      <c r="E1139" s="204" t="s">
        <v>235</v>
      </c>
      <c r="F1139" s="205">
        <v>0.88263910686204183</v>
      </c>
    </row>
    <row r="1140" spans="1:6">
      <c r="A1140" s="210">
        <v>172949223</v>
      </c>
      <c r="B1140" s="202" t="s">
        <v>771</v>
      </c>
      <c r="C1140" s="203" t="s">
        <v>2143</v>
      </c>
      <c r="D1140" s="204">
        <v>1</v>
      </c>
      <c r="E1140" s="204" t="s">
        <v>235</v>
      </c>
      <c r="F1140" s="205">
        <v>0.95205528492445335</v>
      </c>
    </row>
    <row r="1141" spans="1:6">
      <c r="A1141" s="210">
        <v>172949224</v>
      </c>
      <c r="B1141" s="202" t="s">
        <v>772</v>
      </c>
      <c r="C1141" s="203" t="s">
        <v>2143</v>
      </c>
      <c r="D1141" s="204">
        <v>1</v>
      </c>
      <c r="E1141" s="204" t="s">
        <v>235</v>
      </c>
      <c r="F1141" s="205">
        <v>2.5346848536124091</v>
      </c>
    </row>
    <row r="1142" spans="1:6">
      <c r="A1142" s="210">
        <v>172949225</v>
      </c>
      <c r="B1142" s="202" t="s">
        <v>5806</v>
      </c>
      <c r="C1142" s="203" t="s">
        <v>2143</v>
      </c>
      <c r="D1142" s="204">
        <v>1</v>
      </c>
      <c r="E1142" s="204" t="s">
        <v>235</v>
      </c>
      <c r="F1142" s="205">
        <v>0.16423883795432703</v>
      </c>
    </row>
    <row r="1143" spans="1:6">
      <c r="A1143" s="210">
        <v>172949226</v>
      </c>
      <c r="B1143" s="202" t="s">
        <v>773</v>
      </c>
      <c r="C1143" s="203" t="s">
        <v>2143</v>
      </c>
      <c r="D1143" s="204">
        <v>1</v>
      </c>
      <c r="E1143" s="204" t="s">
        <v>235</v>
      </c>
      <c r="F1143" s="205">
        <v>1.6726846846729653</v>
      </c>
    </row>
    <row r="1144" spans="1:6">
      <c r="A1144" s="210">
        <v>172949227</v>
      </c>
      <c r="B1144" s="202" t="s">
        <v>5807</v>
      </c>
      <c r="C1144" s="203" t="s">
        <v>2143</v>
      </c>
      <c r="D1144" s="204">
        <v>1</v>
      </c>
      <c r="E1144" s="204" t="s">
        <v>235</v>
      </c>
      <c r="F1144" s="205">
        <v>2.5934532300444029</v>
      </c>
    </row>
    <row r="1145" spans="1:6">
      <c r="A1145" s="210">
        <v>172949228</v>
      </c>
      <c r="B1145" s="202" t="s">
        <v>774</v>
      </c>
      <c r="C1145" s="203" t="s">
        <v>2143</v>
      </c>
      <c r="D1145" s="204">
        <v>1</v>
      </c>
      <c r="E1145" s="204" t="s">
        <v>235</v>
      </c>
      <c r="F1145" s="205">
        <v>9.9289676154199729</v>
      </c>
    </row>
    <row r="1146" spans="1:6">
      <c r="A1146" s="210">
        <v>172949229</v>
      </c>
      <c r="B1146" s="202" t="s">
        <v>775</v>
      </c>
      <c r="C1146" s="203" t="s">
        <v>2143</v>
      </c>
      <c r="D1146" s="204">
        <v>1</v>
      </c>
      <c r="E1146" s="204" t="s">
        <v>235</v>
      </c>
      <c r="F1146" s="205">
        <v>2.7872082199619381</v>
      </c>
    </row>
    <row r="1147" spans="1:6">
      <c r="A1147" s="210">
        <v>172949230</v>
      </c>
      <c r="B1147" s="202" t="s">
        <v>776</v>
      </c>
      <c r="C1147" s="203" t="s">
        <v>2143</v>
      </c>
      <c r="D1147" s="204">
        <v>1</v>
      </c>
      <c r="E1147" s="204" t="s">
        <v>235</v>
      </c>
      <c r="F1147" s="205">
        <v>2.4764675925174312E-2</v>
      </c>
    </row>
    <row r="1148" spans="1:6">
      <c r="A1148" s="210">
        <v>172949231</v>
      </c>
      <c r="B1148" s="202" t="s">
        <v>5808</v>
      </c>
      <c r="C1148" s="203" t="s">
        <v>2143</v>
      </c>
      <c r="D1148" s="204">
        <v>1</v>
      </c>
      <c r="E1148" s="204" t="s">
        <v>235</v>
      </c>
      <c r="F1148" s="205">
        <v>1.1242266303055637</v>
      </c>
    </row>
    <row r="1149" spans="1:6">
      <c r="A1149" s="210">
        <v>172949232</v>
      </c>
      <c r="B1149" s="202" t="s">
        <v>5809</v>
      </c>
      <c r="C1149" s="203" t="s">
        <v>2143</v>
      </c>
      <c r="D1149" s="204">
        <v>1</v>
      </c>
      <c r="E1149" s="204" t="s">
        <v>235</v>
      </c>
      <c r="F1149" s="205">
        <v>2.7178938373477597</v>
      </c>
    </row>
    <row r="1150" spans="1:6">
      <c r="A1150" s="210">
        <v>172949233</v>
      </c>
      <c r="B1150" s="202" t="s">
        <v>5810</v>
      </c>
      <c r="C1150" s="203" t="s">
        <v>2143</v>
      </c>
      <c r="D1150" s="204">
        <v>1</v>
      </c>
      <c r="E1150" s="204" t="s">
        <v>235</v>
      </c>
      <c r="F1150" s="205">
        <v>6.3304867625295733</v>
      </c>
    </row>
    <row r="1151" spans="1:6">
      <c r="A1151" s="210">
        <v>172949234</v>
      </c>
      <c r="B1151" s="202" t="s">
        <v>5811</v>
      </c>
      <c r="C1151" s="203" t="s">
        <v>2143</v>
      </c>
      <c r="D1151" s="204">
        <v>1</v>
      </c>
      <c r="E1151" s="204" t="s">
        <v>235</v>
      </c>
      <c r="F1151" s="205">
        <v>4.7117617903966558</v>
      </c>
    </row>
    <row r="1152" spans="1:6">
      <c r="A1152" s="210">
        <v>172949235</v>
      </c>
      <c r="B1152" s="202" t="s">
        <v>5812</v>
      </c>
      <c r="C1152" s="203" t="s">
        <v>2143</v>
      </c>
      <c r="D1152" s="204">
        <v>1</v>
      </c>
      <c r="E1152" s="204" t="s">
        <v>235</v>
      </c>
      <c r="F1152" s="205">
        <v>6.1183732185124056</v>
      </c>
    </row>
    <row r="1153" spans="1:6">
      <c r="A1153" s="210">
        <v>172949236</v>
      </c>
      <c r="B1153" s="202" t="s">
        <v>777</v>
      </c>
      <c r="C1153" s="203" t="s">
        <v>2143</v>
      </c>
      <c r="D1153" s="204">
        <v>1</v>
      </c>
      <c r="E1153" s="204" t="s">
        <v>235</v>
      </c>
      <c r="F1153" s="205">
        <v>1.4332073026444301</v>
      </c>
    </row>
    <row r="1154" spans="1:6">
      <c r="A1154" s="210">
        <v>172949237</v>
      </c>
      <c r="B1154" s="202" t="s">
        <v>3467</v>
      </c>
      <c r="C1154" s="203" t="s">
        <v>2143</v>
      </c>
      <c r="D1154" s="204">
        <v>1</v>
      </c>
      <c r="E1154" s="204" t="s">
        <v>235</v>
      </c>
      <c r="F1154" s="205">
        <v>0.18823861371309483</v>
      </c>
    </row>
    <row r="1155" spans="1:6">
      <c r="A1155" s="210">
        <v>172949240</v>
      </c>
      <c r="B1155" s="202" t="s">
        <v>778</v>
      </c>
      <c r="C1155" s="203" t="s">
        <v>2143</v>
      </c>
      <c r="D1155" s="204">
        <v>1</v>
      </c>
      <c r="E1155" s="204" t="s">
        <v>235</v>
      </c>
      <c r="F1155" s="205">
        <v>8.1454978551309445</v>
      </c>
    </row>
    <row r="1156" spans="1:6">
      <c r="A1156" s="210">
        <v>172949241</v>
      </c>
      <c r="B1156" s="202" t="s">
        <v>779</v>
      </c>
      <c r="C1156" s="203" t="s">
        <v>2143</v>
      </c>
      <c r="D1156" s="204">
        <v>1</v>
      </c>
      <c r="E1156" s="204" t="s">
        <v>235</v>
      </c>
      <c r="F1156" s="205">
        <v>17.134593006799399</v>
      </c>
    </row>
    <row r="1157" spans="1:6">
      <c r="A1157" s="210">
        <v>172949242</v>
      </c>
      <c r="B1157" s="202" t="s">
        <v>780</v>
      </c>
      <c r="C1157" s="203" t="s">
        <v>2143</v>
      </c>
      <c r="D1157" s="204">
        <v>1</v>
      </c>
      <c r="E1157" s="204" t="s">
        <v>235</v>
      </c>
      <c r="F1157" s="205">
        <v>7.4912952690851204</v>
      </c>
    </row>
    <row r="1158" spans="1:6">
      <c r="A1158" s="210">
        <v>172949243</v>
      </c>
      <c r="B1158" s="202" t="s">
        <v>781</v>
      </c>
      <c r="C1158" s="203" t="s">
        <v>2143</v>
      </c>
      <c r="D1158" s="204">
        <v>1</v>
      </c>
      <c r="E1158" s="204" t="s">
        <v>235</v>
      </c>
      <c r="F1158" s="205">
        <v>58.071602167692099</v>
      </c>
    </row>
    <row r="1159" spans="1:6">
      <c r="A1159" s="210">
        <v>172949244</v>
      </c>
      <c r="B1159" s="202" t="s">
        <v>782</v>
      </c>
      <c r="C1159" s="203" t="s">
        <v>2143</v>
      </c>
      <c r="D1159" s="204">
        <v>1</v>
      </c>
      <c r="E1159" s="204" t="s">
        <v>235</v>
      </c>
      <c r="F1159" s="205">
        <v>28.52479166351489</v>
      </c>
    </row>
    <row r="1160" spans="1:6">
      <c r="A1160" s="210">
        <v>172949245</v>
      </c>
      <c r="B1160" s="202" t="s">
        <v>783</v>
      </c>
      <c r="C1160" s="203" t="s">
        <v>2143</v>
      </c>
      <c r="D1160" s="204">
        <v>1</v>
      </c>
      <c r="E1160" s="204" t="s">
        <v>235</v>
      </c>
      <c r="F1160" s="205">
        <v>18.800475646014561</v>
      </c>
    </row>
    <row r="1161" spans="1:6">
      <c r="A1161" s="210">
        <v>172949246</v>
      </c>
      <c r="B1161" s="202" t="s">
        <v>784</v>
      </c>
      <c r="C1161" s="203" t="s">
        <v>2143</v>
      </c>
      <c r="D1161" s="204">
        <v>1</v>
      </c>
      <c r="E1161" s="204" t="s">
        <v>235</v>
      </c>
      <c r="F1161" s="205">
        <v>1.4062962076220538</v>
      </c>
    </row>
    <row r="1162" spans="1:6">
      <c r="A1162" s="210">
        <v>172949247</v>
      </c>
      <c r="B1162" s="202" t="s">
        <v>785</v>
      </c>
      <c r="C1162" s="203" t="s">
        <v>2143</v>
      </c>
      <c r="D1162" s="204">
        <v>1</v>
      </c>
      <c r="E1162" s="204" t="s">
        <v>235</v>
      </c>
      <c r="F1162" s="205">
        <v>2.8406065036173569</v>
      </c>
    </row>
    <row r="1163" spans="1:6">
      <c r="A1163" s="210">
        <v>172949258</v>
      </c>
      <c r="B1163" s="202" t="s">
        <v>5813</v>
      </c>
      <c r="C1163" s="203" t="s">
        <v>2143</v>
      </c>
      <c r="D1163" s="204">
        <v>1</v>
      </c>
      <c r="E1163" s="204" t="s">
        <v>235</v>
      </c>
      <c r="F1163" s="205">
        <v>1.4222673160535542</v>
      </c>
    </row>
    <row r="1164" spans="1:6">
      <c r="A1164" s="210">
        <v>172949259</v>
      </c>
      <c r="B1164" s="202" t="s">
        <v>5814</v>
      </c>
      <c r="C1164" s="203" t="s">
        <v>2143</v>
      </c>
      <c r="D1164" s="204">
        <v>1</v>
      </c>
      <c r="E1164" s="204" t="s">
        <v>235</v>
      </c>
      <c r="F1164" s="205">
        <v>3.1301717920258065</v>
      </c>
    </row>
    <row r="1165" spans="1:6">
      <c r="A1165" s="210">
        <v>172949270</v>
      </c>
      <c r="B1165" s="202" t="s">
        <v>5815</v>
      </c>
      <c r="C1165" s="203" t="s">
        <v>2143</v>
      </c>
      <c r="D1165" s="204">
        <v>1</v>
      </c>
      <c r="E1165" s="204" t="s">
        <v>235</v>
      </c>
      <c r="F1165" s="205">
        <v>3.318830380544473</v>
      </c>
    </row>
    <row r="1166" spans="1:6">
      <c r="A1166" s="210">
        <v>172949271</v>
      </c>
      <c r="B1166" s="202" t="s">
        <v>5816</v>
      </c>
      <c r="C1166" s="203" t="s">
        <v>2143</v>
      </c>
      <c r="D1166" s="204">
        <v>1</v>
      </c>
      <c r="E1166" s="204" t="s">
        <v>235</v>
      </c>
      <c r="F1166" s="205">
        <v>3.3188303795804086</v>
      </c>
    </row>
    <row r="1167" spans="1:6">
      <c r="A1167" s="210">
        <v>172949641</v>
      </c>
      <c r="B1167" s="202" t="s">
        <v>5817</v>
      </c>
      <c r="C1167" s="203" t="s">
        <v>5553</v>
      </c>
      <c r="D1167" s="204">
        <v>1</v>
      </c>
      <c r="E1167" s="204" t="s">
        <v>235</v>
      </c>
      <c r="F1167" s="205">
        <v>0</v>
      </c>
    </row>
    <row r="1168" spans="1:6">
      <c r="A1168" s="210">
        <v>172949642</v>
      </c>
      <c r="B1168" s="202" t="s">
        <v>5818</v>
      </c>
      <c r="C1168" s="203" t="s">
        <v>5553</v>
      </c>
      <c r="D1168" s="204">
        <v>1</v>
      </c>
      <c r="E1168" s="204" t="s">
        <v>235</v>
      </c>
      <c r="F1168" s="205">
        <v>0</v>
      </c>
    </row>
    <row r="1169" spans="1:6">
      <c r="A1169" s="210">
        <v>173100000</v>
      </c>
      <c r="B1169" s="202" t="s">
        <v>3470</v>
      </c>
      <c r="C1169" s="203" t="s">
        <v>2143</v>
      </c>
      <c r="D1169" s="204">
        <v>1</v>
      </c>
      <c r="E1169" s="204" t="s">
        <v>235</v>
      </c>
      <c r="F1169" s="205">
        <v>1.3027916720472039</v>
      </c>
    </row>
    <row r="1170" spans="1:6">
      <c r="A1170" s="210">
        <v>173111000</v>
      </c>
      <c r="B1170" s="202" t="s">
        <v>3472</v>
      </c>
      <c r="C1170" s="203" t="s">
        <v>2143</v>
      </c>
      <c r="D1170" s="204">
        <v>1</v>
      </c>
      <c r="E1170" s="204" t="s">
        <v>235</v>
      </c>
      <c r="F1170" s="205">
        <v>1.5062789405387624</v>
      </c>
    </row>
    <row r="1171" spans="1:6">
      <c r="A1171" s="210">
        <v>173111104</v>
      </c>
      <c r="B1171" s="202" t="s">
        <v>5819</v>
      </c>
      <c r="C1171" s="203" t="s">
        <v>2143</v>
      </c>
      <c r="D1171" s="204">
        <v>1</v>
      </c>
      <c r="E1171" s="204" t="s">
        <v>235</v>
      </c>
      <c r="F1171" s="205">
        <v>1.8119697539733743</v>
      </c>
    </row>
    <row r="1172" spans="1:6">
      <c r="A1172" s="210">
        <v>173112000</v>
      </c>
      <c r="B1172" s="202" t="s">
        <v>3474</v>
      </c>
      <c r="C1172" s="203" t="s">
        <v>2143</v>
      </c>
      <c r="D1172" s="204">
        <v>1</v>
      </c>
      <c r="E1172" s="204" t="s">
        <v>235</v>
      </c>
      <c r="F1172" s="205">
        <v>1.5062789405450152</v>
      </c>
    </row>
    <row r="1173" spans="1:6">
      <c r="A1173" s="210">
        <v>173113000</v>
      </c>
      <c r="B1173" s="202" t="s">
        <v>790</v>
      </c>
      <c r="C1173" s="203" t="s">
        <v>2143</v>
      </c>
      <c r="D1173" s="204">
        <v>1</v>
      </c>
      <c r="E1173" s="204" t="s">
        <v>235</v>
      </c>
      <c r="F1173" s="205">
        <v>1.9293500681991824</v>
      </c>
    </row>
    <row r="1174" spans="1:6">
      <c r="A1174" s="210">
        <v>173113102</v>
      </c>
      <c r="B1174" s="202" t="s">
        <v>788</v>
      </c>
      <c r="C1174" s="203" t="s">
        <v>2143</v>
      </c>
      <c r="D1174" s="204">
        <v>1</v>
      </c>
      <c r="E1174" s="204" t="s">
        <v>235</v>
      </c>
      <c r="F1174" s="205">
        <v>2.6548064701595169</v>
      </c>
    </row>
    <row r="1175" spans="1:6">
      <c r="A1175" s="210">
        <v>173113103</v>
      </c>
      <c r="B1175" s="202" t="s">
        <v>789</v>
      </c>
      <c r="C1175" s="203" t="s">
        <v>2143</v>
      </c>
      <c r="D1175" s="204">
        <v>1</v>
      </c>
      <c r="E1175" s="204" t="s">
        <v>235</v>
      </c>
      <c r="F1175" s="205">
        <v>1.678375968399572</v>
      </c>
    </row>
    <row r="1176" spans="1:6">
      <c r="A1176" s="210">
        <v>173113107</v>
      </c>
      <c r="B1176" s="202" t="s">
        <v>5820</v>
      </c>
      <c r="C1176" s="203" t="s">
        <v>2143</v>
      </c>
      <c r="D1176" s="204">
        <v>1</v>
      </c>
      <c r="E1176" s="204" t="s">
        <v>235</v>
      </c>
      <c r="F1176" s="205">
        <v>1.6783759683996289</v>
      </c>
    </row>
    <row r="1177" spans="1:6">
      <c r="A1177" s="210">
        <v>173114000</v>
      </c>
      <c r="B1177" s="202" t="s">
        <v>3477</v>
      </c>
      <c r="C1177" s="203" t="s">
        <v>2143</v>
      </c>
      <c r="D1177" s="204">
        <v>1</v>
      </c>
      <c r="E1177" s="204" t="s">
        <v>235</v>
      </c>
      <c r="F1177" s="205">
        <v>1.1838035821301292</v>
      </c>
    </row>
    <row r="1178" spans="1:6">
      <c r="A1178" s="210">
        <v>173114101</v>
      </c>
      <c r="B1178" s="202" t="s">
        <v>5821</v>
      </c>
      <c r="C1178" s="203" t="s">
        <v>2143</v>
      </c>
      <c r="D1178" s="204">
        <v>1</v>
      </c>
      <c r="E1178" s="204" t="s">
        <v>235</v>
      </c>
      <c r="F1178" s="205">
        <v>2.5521180035181059</v>
      </c>
    </row>
    <row r="1179" spans="1:6">
      <c r="A1179" s="210">
        <v>173114102</v>
      </c>
      <c r="B1179" s="202" t="s">
        <v>3479</v>
      </c>
      <c r="C1179" s="203" t="s">
        <v>2143</v>
      </c>
      <c r="D1179" s="204">
        <v>1</v>
      </c>
      <c r="E1179" s="204" t="s">
        <v>235</v>
      </c>
      <c r="F1179" s="205">
        <v>1.9925927622265085</v>
      </c>
    </row>
    <row r="1180" spans="1:6">
      <c r="A1180" s="210">
        <v>173114103</v>
      </c>
      <c r="B1180" s="202" t="s">
        <v>3481</v>
      </c>
      <c r="C1180" s="203" t="s">
        <v>2143</v>
      </c>
      <c r="D1180" s="204">
        <v>1</v>
      </c>
      <c r="E1180" s="204" t="s">
        <v>235</v>
      </c>
      <c r="F1180" s="205">
        <v>0.71370341374932889</v>
      </c>
    </row>
    <row r="1181" spans="1:6">
      <c r="A1181" s="210">
        <v>173115000</v>
      </c>
      <c r="B1181" s="202" t="s">
        <v>3483</v>
      </c>
      <c r="C1181" s="203" t="s">
        <v>2143</v>
      </c>
      <c r="D1181" s="204">
        <v>1</v>
      </c>
      <c r="E1181" s="204" t="s">
        <v>235</v>
      </c>
      <c r="F1181" s="205">
        <v>1.2695079076130813</v>
      </c>
    </row>
    <row r="1182" spans="1:6">
      <c r="A1182" s="210">
        <v>173115101</v>
      </c>
      <c r="B1182" s="202" t="s">
        <v>5822</v>
      </c>
      <c r="C1182" s="203" t="s">
        <v>2143</v>
      </c>
      <c r="D1182" s="204">
        <v>1</v>
      </c>
      <c r="E1182" s="204" t="s">
        <v>235</v>
      </c>
      <c r="F1182" s="205">
        <v>2.5521180035181059</v>
      </c>
    </row>
    <row r="1183" spans="1:6">
      <c r="A1183" s="210">
        <v>173115103</v>
      </c>
      <c r="B1183" s="202" t="s">
        <v>3485</v>
      </c>
      <c r="C1183" s="203" t="s">
        <v>2143</v>
      </c>
      <c r="D1183" s="204">
        <v>1</v>
      </c>
      <c r="E1183" s="204" t="s">
        <v>235</v>
      </c>
      <c r="F1183" s="205">
        <v>1.9925927622265085</v>
      </c>
    </row>
    <row r="1184" spans="1:6">
      <c r="A1184" s="210">
        <v>173115104</v>
      </c>
      <c r="B1184" s="202" t="s">
        <v>3487</v>
      </c>
      <c r="C1184" s="203" t="s">
        <v>2143</v>
      </c>
      <c r="D1184" s="204">
        <v>1</v>
      </c>
      <c r="E1184" s="204" t="s">
        <v>235</v>
      </c>
      <c r="F1184" s="205">
        <v>0.71370341380958291</v>
      </c>
    </row>
    <row r="1185" spans="1:6">
      <c r="A1185" s="210">
        <v>173116000</v>
      </c>
      <c r="B1185" s="202" t="s">
        <v>3489</v>
      </c>
      <c r="C1185" s="203" t="s">
        <v>2143</v>
      </c>
      <c r="D1185" s="204">
        <v>1</v>
      </c>
      <c r="E1185" s="204" t="s">
        <v>235</v>
      </c>
      <c r="F1185" s="205">
        <v>0.76116484477678525</v>
      </c>
    </row>
    <row r="1186" spans="1:6">
      <c r="A1186" s="210">
        <v>173116104</v>
      </c>
      <c r="B1186" s="202" t="s">
        <v>5823</v>
      </c>
      <c r="C1186" s="203" t="s">
        <v>2143</v>
      </c>
      <c r="D1186" s="204">
        <v>1</v>
      </c>
      <c r="E1186" s="204" t="s">
        <v>235</v>
      </c>
      <c r="F1186" s="205">
        <v>0.71370341374932889</v>
      </c>
    </row>
    <row r="1187" spans="1:6">
      <c r="A1187" s="210">
        <v>173116106</v>
      </c>
      <c r="B1187" s="202" t="s">
        <v>5824</v>
      </c>
      <c r="C1187" s="203" t="s">
        <v>2143</v>
      </c>
      <c r="D1187" s="204">
        <v>1</v>
      </c>
      <c r="E1187" s="204" t="s">
        <v>235</v>
      </c>
      <c r="F1187" s="205">
        <v>0.71370341380958291</v>
      </c>
    </row>
    <row r="1188" spans="1:6">
      <c r="A1188" s="210">
        <v>173116110</v>
      </c>
      <c r="B1188" s="202" t="s">
        <v>791</v>
      </c>
      <c r="C1188" s="203" t="s">
        <v>2143</v>
      </c>
      <c r="D1188" s="204">
        <v>1</v>
      </c>
      <c r="E1188" s="204" t="s">
        <v>235</v>
      </c>
      <c r="F1188" s="205">
        <v>1.1978162878749843</v>
      </c>
    </row>
    <row r="1189" spans="1:6">
      <c r="A1189" s="210">
        <v>173116111</v>
      </c>
      <c r="B1189" s="202" t="s">
        <v>3491</v>
      </c>
      <c r="C1189" s="203" t="s">
        <v>2143</v>
      </c>
      <c r="D1189" s="204">
        <v>1</v>
      </c>
      <c r="E1189" s="204" t="s">
        <v>235</v>
      </c>
      <c r="F1189" s="205">
        <v>1.9925927622265085</v>
      </c>
    </row>
    <row r="1190" spans="1:6">
      <c r="A1190" s="210">
        <v>173116112</v>
      </c>
      <c r="B1190" s="202" t="s">
        <v>3493</v>
      </c>
      <c r="C1190" s="203" t="s">
        <v>2143</v>
      </c>
      <c r="D1190" s="204">
        <v>1</v>
      </c>
      <c r="E1190" s="204" t="s">
        <v>235</v>
      </c>
      <c r="F1190" s="205">
        <v>0.71370341380958291</v>
      </c>
    </row>
    <row r="1191" spans="1:6">
      <c r="A1191" s="210">
        <v>173117000</v>
      </c>
      <c r="B1191" s="202" t="s">
        <v>792</v>
      </c>
      <c r="C1191" s="203" t="s">
        <v>2143</v>
      </c>
      <c r="D1191" s="204">
        <v>1</v>
      </c>
      <c r="E1191" s="204" t="s">
        <v>235</v>
      </c>
      <c r="F1191" s="205">
        <v>1.0555881037925863</v>
      </c>
    </row>
    <row r="1192" spans="1:6">
      <c r="A1192" s="210">
        <v>173117100</v>
      </c>
      <c r="B1192" s="202" t="s">
        <v>5825</v>
      </c>
      <c r="C1192" s="203" t="s">
        <v>2143</v>
      </c>
      <c r="D1192" s="204">
        <v>1</v>
      </c>
      <c r="E1192" s="204" t="s">
        <v>235</v>
      </c>
      <c r="F1192" s="205">
        <v>3.0816789609206263</v>
      </c>
    </row>
    <row r="1193" spans="1:6">
      <c r="A1193" s="210">
        <v>173118000</v>
      </c>
      <c r="B1193" s="202" t="s">
        <v>3496</v>
      </c>
      <c r="C1193" s="203" t="s">
        <v>2143</v>
      </c>
      <c r="D1193" s="204">
        <v>1</v>
      </c>
      <c r="E1193" s="204" t="s">
        <v>235</v>
      </c>
      <c r="F1193" s="205">
        <v>1.5062789405387624</v>
      </c>
    </row>
    <row r="1194" spans="1:6">
      <c r="A1194" s="210">
        <v>173119000</v>
      </c>
      <c r="B1194" s="202" t="s">
        <v>3498</v>
      </c>
      <c r="C1194" s="203" t="s">
        <v>2143</v>
      </c>
      <c r="D1194" s="204">
        <v>1</v>
      </c>
      <c r="E1194" s="204" t="s">
        <v>235</v>
      </c>
      <c r="F1194" s="205">
        <v>1.5062790597543048</v>
      </c>
    </row>
    <row r="1195" spans="1:6">
      <c r="A1195" s="210">
        <v>173200000</v>
      </c>
      <c r="B1195" s="202" t="s">
        <v>3500</v>
      </c>
      <c r="C1195" s="203" t="s">
        <v>2143</v>
      </c>
      <c r="D1195" s="204">
        <v>1</v>
      </c>
      <c r="E1195" s="204" t="s">
        <v>235</v>
      </c>
      <c r="F1195" s="205">
        <v>2.4103493342682758</v>
      </c>
    </row>
    <row r="1196" spans="1:6">
      <c r="A1196" s="210">
        <v>173211000</v>
      </c>
      <c r="B1196" s="202" t="s">
        <v>794</v>
      </c>
      <c r="C1196" s="203" t="s">
        <v>2143</v>
      </c>
      <c r="D1196" s="204">
        <v>1</v>
      </c>
      <c r="E1196" s="204" t="s">
        <v>235</v>
      </c>
      <c r="F1196" s="205">
        <v>2.8177098028026477</v>
      </c>
    </row>
    <row r="1197" spans="1:6">
      <c r="A1197" s="210">
        <v>173211100</v>
      </c>
      <c r="B1197" s="202" t="s">
        <v>3503</v>
      </c>
      <c r="C1197" s="203" t="s">
        <v>2143</v>
      </c>
      <c r="D1197" s="204">
        <v>1</v>
      </c>
      <c r="E1197" s="204" t="s">
        <v>235</v>
      </c>
      <c r="F1197" s="205">
        <v>2.8177098028026477</v>
      </c>
    </row>
    <row r="1198" spans="1:6">
      <c r="A1198" s="210">
        <v>173211101</v>
      </c>
      <c r="B1198" s="202" t="s">
        <v>5826</v>
      </c>
      <c r="C1198" s="203" t="s">
        <v>2143</v>
      </c>
      <c r="D1198" s="204">
        <v>1</v>
      </c>
      <c r="E1198" s="204" t="s">
        <v>235</v>
      </c>
      <c r="F1198" s="205">
        <v>2.8723249581958323</v>
      </c>
    </row>
    <row r="1199" spans="1:6">
      <c r="A1199" s="210">
        <v>173211102</v>
      </c>
      <c r="B1199" s="202" t="s">
        <v>793</v>
      </c>
      <c r="C1199" s="203" t="s">
        <v>2143</v>
      </c>
      <c r="D1199" s="204">
        <v>1</v>
      </c>
      <c r="E1199" s="204" t="s">
        <v>235</v>
      </c>
      <c r="F1199" s="205">
        <v>2.8177098028026477</v>
      </c>
    </row>
    <row r="1200" spans="1:6">
      <c r="A1200" s="210">
        <v>173212000</v>
      </c>
      <c r="B1200" s="202" t="s">
        <v>795</v>
      </c>
      <c r="C1200" s="203" t="s">
        <v>2143</v>
      </c>
      <c r="D1200" s="204">
        <v>1</v>
      </c>
      <c r="E1200" s="204" t="s">
        <v>235</v>
      </c>
      <c r="F1200" s="205">
        <v>1.5966127231483758</v>
      </c>
    </row>
    <row r="1201" spans="1:6">
      <c r="A1201" s="210">
        <v>173213000</v>
      </c>
      <c r="B1201" s="202" t="s">
        <v>881</v>
      </c>
      <c r="C1201" s="203" t="s">
        <v>2143</v>
      </c>
      <c r="D1201" s="204">
        <v>1</v>
      </c>
      <c r="E1201" s="204" t="s">
        <v>235</v>
      </c>
      <c r="F1201" s="205">
        <v>2.208833773824753</v>
      </c>
    </row>
    <row r="1202" spans="1:6">
      <c r="A1202" s="210">
        <v>173213100</v>
      </c>
      <c r="B1202" s="202" t="s">
        <v>5827</v>
      </c>
      <c r="C1202" s="203" t="s">
        <v>2143</v>
      </c>
      <c r="D1202" s="204">
        <v>1</v>
      </c>
      <c r="E1202" s="204" t="s">
        <v>235</v>
      </c>
      <c r="F1202" s="205">
        <v>2.0170934572740293</v>
      </c>
    </row>
    <row r="1203" spans="1:6">
      <c r="A1203" s="210">
        <v>173213101</v>
      </c>
      <c r="B1203" s="202" t="s">
        <v>3510</v>
      </c>
      <c r="C1203" s="203" t="s">
        <v>2143</v>
      </c>
      <c r="D1203" s="204">
        <v>1</v>
      </c>
      <c r="E1203" s="204" t="s">
        <v>235</v>
      </c>
      <c r="F1203" s="205">
        <v>2.5216182174222332</v>
      </c>
    </row>
    <row r="1204" spans="1:6">
      <c r="A1204" s="210">
        <v>173213102</v>
      </c>
      <c r="B1204" s="202" t="s">
        <v>3512</v>
      </c>
      <c r="C1204" s="203" t="s">
        <v>2143</v>
      </c>
      <c r="D1204" s="204">
        <v>1</v>
      </c>
      <c r="E1204" s="204" t="s">
        <v>235</v>
      </c>
      <c r="F1204" s="205">
        <v>3.4420148253292768</v>
      </c>
    </row>
    <row r="1205" spans="1:6">
      <c r="A1205" s="210">
        <v>173213103</v>
      </c>
      <c r="B1205" s="202" t="s">
        <v>3514</v>
      </c>
      <c r="C1205" s="203" t="s">
        <v>2143</v>
      </c>
      <c r="D1205" s="204">
        <v>1</v>
      </c>
      <c r="E1205" s="204" t="s">
        <v>235</v>
      </c>
      <c r="F1205" s="205">
        <v>5.4674857549854989</v>
      </c>
    </row>
    <row r="1206" spans="1:6">
      <c r="A1206" s="210">
        <v>173214000</v>
      </c>
      <c r="B1206" s="202" t="s">
        <v>3516</v>
      </c>
      <c r="C1206" s="203" t="s">
        <v>2143</v>
      </c>
      <c r="D1206" s="204">
        <v>1</v>
      </c>
      <c r="E1206" s="204" t="s">
        <v>235</v>
      </c>
      <c r="F1206" s="205">
        <v>1.5378979749909392</v>
      </c>
    </row>
    <row r="1207" spans="1:6">
      <c r="A1207" s="210">
        <v>173214102</v>
      </c>
      <c r="B1207" s="202" t="s">
        <v>5828</v>
      </c>
      <c r="C1207" s="203" t="s">
        <v>2143</v>
      </c>
      <c r="D1207" s="204">
        <v>1</v>
      </c>
      <c r="E1207" s="204" t="s">
        <v>235</v>
      </c>
      <c r="F1207" s="205">
        <v>9.2990431233002262</v>
      </c>
    </row>
    <row r="1208" spans="1:6">
      <c r="A1208" s="210">
        <v>173214103</v>
      </c>
      <c r="B1208" s="202" t="s">
        <v>5829</v>
      </c>
      <c r="C1208" s="203" t="s">
        <v>2143</v>
      </c>
      <c r="D1208" s="204">
        <v>1</v>
      </c>
      <c r="E1208" s="204" t="s">
        <v>235</v>
      </c>
      <c r="F1208" s="205">
        <v>2.9210257805264175</v>
      </c>
    </row>
    <row r="1209" spans="1:6">
      <c r="A1209" s="210">
        <v>173215000</v>
      </c>
      <c r="B1209" s="202" t="s">
        <v>786</v>
      </c>
      <c r="C1209" s="203" t="s">
        <v>2143</v>
      </c>
      <c r="D1209" s="204">
        <v>1</v>
      </c>
      <c r="E1209" s="204" t="s">
        <v>235</v>
      </c>
      <c r="F1209" s="205">
        <v>1.5837949152967616</v>
      </c>
    </row>
    <row r="1210" spans="1:6">
      <c r="A1210" s="210">
        <v>173216000</v>
      </c>
      <c r="B1210" s="202" t="s">
        <v>787</v>
      </c>
      <c r="C1210" s="203" t="s">
        <v>2143</v>
      </c>
      <c r="D1210" s="204">
        <v>1</v>
      </c>
      <c r="E1210" s="204" t="s">
        <v>235</v>
      </c>
      <c r="F1210" s="205">
        <v>1.5837949152967616</v>
      </c>
    </row>
    <row r="1211" spans="1:6">
      <c r="A1211" s="210">
        <v>173216101</v>
      </c>
      <c r="B1211" s="202" t="s">
        <v>5830</v>
      </c>
      <c r="C1211" s="203" t="s">
        <v>2143</v>
      </c>
      <c r="D1211" s="204">
        <v>1</v>
      </c>
      <c r="E1211" s="204" t="s">
        <v>235</v>
      </c>
      <c r="F1211" s="205">
        <v>3.0082978102992155</v>
      </c>
    </row>
    <row r="1212" spans="1:6">
      <c r="A1212" s="210">
        <v>173216102</v>
      </c>
      <c r="B1212" s="202" t="s">
        <v>5831</v>
      </c>
      <c r="C1212" s="203" t="s">
        <v>2143</v>
      </c>
      <c r="D1212" s="204">
        <v>1</v>
      </c>
      <c r="E1212" s="204" t="s">
        <v>235</v>
      </c>
      <c r="F1212" s="205">
        <v>1.5837949152967616</v>
      </c>
    </row>
    <row r="1213" spans="1:6">
      <c r="A1213" s="210">
        <v>173217000</v>
      </c>
      <c r="B1213" s="202" t="s">
        <v>796</v>
      </c>
      <c r="C1213" s="203" t="s">
        <v>2143</v>
      </c>
      <c r="D1213" s="204">
        <v>1</v>
      </c>
      <c r="E1213" s="204" t="s">
        <v>235</v>
      </c>
      <c r="F1213" s="205">
        <v>6.1442909671694226</v>
      </c>
    </row>
    <row r="1214" spans="1:6">
      <c r="A1214" s="210">
        <v>173218000</v>
      </c>
      <c r="B1214" s="202" t="s">
        <v>797</v>
      </c>
      <c r="C1214" s="203" t="s">
        <v>2143</v>
      </c>
      <c r="D1214" s="204">
        <v>1</v>
      </c>
      <c r="E1214" s="204" t="s">
        <v>235</v>
      </c>
      <c r="F1214" s="205">
        <v>5.8773847113446918</v>
      </c>
    </row>
    <row r="1215" spans="1:6">
      <c r="A1215" s="210">
        <v>173218101</v>
      </c>
      <c r="B1215" s="202" t="s">
        <v>5832</v>
      </c>
      <c r="C1215" s="203" t="s">
        <v>2143</v>
      </c>
      <c r="D1215" s="204">
        <v>1</v>
      </c>
      <c r="E1215" s="204" t="s">
        <v>235</v>
      </c>
      <c r="F1215" s="205">
        <v>5.8773847241503772</v>
      </c>
    </row>
    <row r="1216" spans="1:6">
      <c r="A1216" s="210">
        <v>173218102</v>
      </c>
      <c r="B1216" s="202" t="s">
        <v>5833</v>
      </c>
      <c r="C1216" s="203" t="s">
        <v>2143</v>
      </c>
      <c r="D1216" s="204">
        <v>1</v>
      </c>
      <c r="E1216" s="204" t="s">
        <v>235</v>
      </c>
      <c r="F1216" s="205">
        <v>5.8773847241503772</v>
      </c>
    </row>
    <row r="1217" spans="1:6">
      <c r="A1217" s="210">
        <v>173218103</v>
      </c>
      <c r="B1217" s="202" t="s">
        <v>5834</v>
      </c>
      <c r="C1217" s="203" t="s">
        <v>2143</v>
      </c>
      <c r="D1217" s="204">
        <v>1</v>
      </c>
      <c r="E1217" s="204" t="s">
        <v>235</v>
      </c>
      <c r="F1217" s="205">
        <v>5.2341904748196075</v>
      </c>
    </row>
    <row r="1218" spans="1:6">
      <c r="A1218" s="210">
        <v>173221000</v>
      </c>
      <c r="B1218" s="202" t="s">
        <v>798</v>
      </c>
      <c r="C1218" s="203" t="s">
        <v>2143</v>
      </c>
      <c r="D1218" s="204">
        <v>1</v>
      </c>
      <c r="E1218" s="204" t="s">
        <v>235</v>
      </c>
      <c r="F1218" s="205">
        <v>5.9188379922142573</v>
      </c>
    </row>
    <row r="1219" spans="1:6">
      <c r="A1219" s="210">
        <v>173222000</v>
      </c>
      <c r="B1219" s="202" t="s">
        <v>2009</v>
      </c>
      <c r="C1219" s="203" t="s">
        <v>2143</v>
      </c>
      <c r="D1219" s="204">
        <v>1</v>
      </c>
      <c r="E1219" s="204" t="s">
        <v>235</v>
      </c>
      <c r="F1219" s="205">
        <v>2.3143862363927399</v>
      </c>
    </row>
    <row r="1220" spans="1:6">
      <c r="A1220" s="210">
        <v>173223000</v>
      </c>
      <c r="B1220" s="202" t="s">
        <v>799</v>
      </c>
      <c r="C1220" s="203" t="s">
        <v>2143</v>
      </c>
      <c r="D1220" s="204">
        <v>1</v>
      </c>
      <c r="E1220" s="204" t="s">
        <v>235</v>
      </c>
      <c r="F1220" s="205">
        <v>1.4222671968442646</v>
      </c>
    </row>
    <row r="1221" spans="1:6">
      <c r="A1221" s="210">
        <v>173224000</v>
      </c>
      <c r="B1221" s="202" t="s">
        <v>800</v>
      </c>
      <c r="C1221" s="203" t="s">
        <v>2143</v>
      </c>
      <c r="D1221" s="204">
        <v>1</v>
      </c>
      <c r="E1221" s="204" t="s">
        <v>235</v>
      </c>
      <c r="F1221" s="205">
        <v>2.941858313765684</v>
      </c>
    </row>
    <row r="1222" spans="1:6">
      <c r="A1222" s="210">
        <v>173224101</v>
      </c>
      <c r="B1222" s="202" t="s">
        <v>5835</v>
      </c>
      <c r="C1222" s="203" t="s">
        <v>2143</v>
      </c>
      <c r="D1222" s="204">
        <v>1</v>
      </c>
      <c r="E1222" s="204" t="s">
        <v>235</v>
      </c>
      <c r="F1222" s="205">
        <v>10.152663239242015</v>
      </c>
    </row>
    <row r="1223" spans="1:6">
      <c r="A1223" s="210">
        <v>173224102</v>
      </c>
      <c r="B1223" s="202" t="s">
        <v>5836</v>
      </c>
      <c r="C1223" s="203" t="s">
        <v>2143</v>
      </c>
      <c r="D1223" s="204">
        <v>1</v>
      </c>
      <c r="E1223" s="204" t="s">
        <v>235</v>
      </c>
      <c r="F1223" s="205">
        <v>13.477683764808914</v>
      </c>
    </row>
    <row r="1224" spans="1:6">
      <c r="A1224" s="210">
        <v>173224103</v>
      </c>
      <c r="B1224" s="202" t="s">
        <v>5837</v>
      </c>
      <c r="C1224" s="203" t="s">
        <v>2143</v>
      </c>
      <c r="D1224" s="204">
        <v>1</v>
      </c>
      <c r="E1224" s="204" t="s">
        <v>235</v>
      </c>
      <c r="F1224" s="205">
        <v>12.560778460548418</v>
      </c>
    </row>
    <row r="1225" spans="1:6">
      <c r="A1225" s="210">
        <v>173224104</v>
      </c>
      <c r="B1225" s="202" t="s">
        <v>5838</v>
      </c>
      <c r="C1225" s="203" t="s">
        <v>2143</v>
      </c>
      <c r="D1225" s="204">
        <v>1</v>
      </c>
      <c r="E1225" s="204" t="s">
        <v>235</v>
      </c>
      <c r="F1225" s="205">
        <v>14.087508197798414</v>
      </c>
    </row>
    <row r="1226" spans="1:6">
      <c r="A1226" s="210">
        <v>173225000</v>
      </c>
      <c r="B1226" s="202" t="s">
        <v>801</v>
      </c>
      <c r="C1226" s="203" t="s">
        <v>2143</v>
      </c>
      <c r="D1226" s="204">
        <v>1</v>
      </c>
      <c r="E1226" s="204" t="s">
        <v>235</v>
      </c>
      <c r="F1226" s="205">
        <v>3.9204654948753692</v>
      </c>
    </row>
    <row r="1227" spans="1:6">
      <c r="A1227" s="210">
        <v>173225640</v>
      </c>
      <c r="B1227" s="202" t="s">
        <v>5839</v>
      </c>
      <c r="C1227" s="203" t="s">
        <v>5553</v>
      </c>
      <c r="D1227" s="204">
        <v>1</v>
      </c>
      <c r="E1227" s="204" t="s">
        <v>235</v>
      </c>
      <c r="F1227" s="205">
        <v>0</v>
      </c>
    </row>
    <row r="1228" spans="1:6">
      <c r="A1228" s="210">
        <v>173226000</v>
      </c>
      <c r="B1228" s="202" t="s">
        <v>802</v>
      </c>
      <c r="C1228" s="203" t="s">
        <v>2143</v>
      </c>
      <c r="D1228" s="204">
        <v>1</v>
      </c>
      <c r="E1228" s="204" t="s">
        <v>235</v>
      </c>
      <c r="F1228" s="205">
        <v>2.4427638855748603</v>
      </c>
    </row>
    <row r="1229" spans="1:6">
      <c r="A1229" s="210">
        <v>173227000</v>
      </c>
      <c r="B1229" s="202" t="s">
        <v>803</v>
      </c>
      <c r="C1229" s="203" t="s">
        <v>2143</v>
      </c>
      <c r="D1229" s="204">
        <v>1</v>
      </c>
      <c r="E1229" s="204" t="s">
        <v>235</v>
      </c>
      <c r="F1229" s="205">
        <v>8.1806381747296211</v>
      </c>
    </row>
    <row r="1230" spans="1:6">
      <c r="A1230" s="210">
        <v>173228000</v>
      </c>
      <c r="B1230" s="202" t="s">
        <v>939</v>
      </c>
      <c r="C1230" s="203" t="s">
        <v>2143</v>
      </c>
      <c r="D1230" s="204">
        <v>1</v>
      </c>
      <c r="E1230" s="204" t="s">
        <v>235</v>
      </c>
      <c r="F1230" s="205">
        <v>1.9356147017777541</v>
      </c>
    </row>
    <row r="1231" spans="1:6">
      <c r="A1231" s="210">
        <v>173228101</v>
      </c>
      <c r="B1231" s="202" t="s">
        <v>5840</v>
      </c>
      <c r="C1231" s="203" t="s">
        <v>2143</v>
      </c>
      <c r="D1231" s="204">
        <v>1</v>
      </c>
      <c r="E1231" s="204" t="s">
        <v>235</v>
      </c>
      <c r="F1231" s="205">
        <v>1.9356147017777541</v>
      </c>
    </row>
    <row r="1232" spans="1:6">
      <c r="A1232" s="210">
        <v>173231000</v>
      </c>
      <c r="B1232" s="202" t="s">
        <v>804</v>
      </c>
      <c r="C1232" s="203" t="s">
        <v>2143</v>
      </c>
      <c r="D1232" s="204">
        <v>1</v>
      </c>
      <c r="E1232" s="204" t="s">
        <v>235</v>
      </c>
      <c r="F1232" s="205">
        <v>3.1380820835059064</v>
      </c>
    </row>
    <row r="1233" spans="1:6">
      <c r="A1233" s="210">
        <v>173239000</v>
      </c>
      <c r="B1233" s="202" t="s">
        <v>805</v>
      </c>
      <c r="C1233" s="203" t="s">
        <v>2143</v>
      </c>
      <c r="D1233" s="204">
        <v>1</v>
      </c>
      <c r="E1233" s="204" t="s">
        <v>235</v>
      </c>
      <c r="F1233" s="205">
        <v>2.1068560107172112</v>
      </c>
    </row>
    <row r="1234" spans="1:6">
      <c r="A1234" s="210">
        <v>173239100</v>
      </c>
      <c r="B1234" s="202" t="s">
        <v>806</v>
      </c>
      <c r="C1234" s="203" t="s">
        <v>2143</v>
      </c>
      <c r="D1234" s="204">
        <v>1</v>
      </c>
      <c r="E1234" s="204" t="s">
        <v>235</v>
      </c>
      <c r="F1234" s="205">
        <v>1.4309639783856538</v>
      </c>
    </row>
    <row r="1235" spans="1:6">
      <c r="A1235" s="210">
        <v>173239102</v>
      </c>
      <c r="B1235" s="202" t="s">
        <v>832</v>
      </c>
      <c r="C1235" s="203" t="s">
        <v>2143</v>
      </c>
      <c r="D1235" s="204">
        <v>1</v>
      </c>
      <c r="E1235" s="204" t="s">
        <v>235</v>
      </c>
      <c r="F1235" s="205">
        <v>6.7147454115947252</v>
      </c>
    </row>
    <row r="1236" spans="1:6">
      <c r="A1236" s="210">
        <v>173239104</v>
      </c>
      <c r="B1236" s="202" t="s">
        <v>850</v>
      </c>
      <c r="C1236" s="203" t="s">
        <v>2143</v>
      </c>
      <c r="D1236" s="204">
        <v>1</v>
      </c>
      <c r="E1236" s="204" t="s">
        <v>235</v>
      </c>
      <c r="F1236" s="205">
        <v>5.0785802606023447</v>
      </c>
    </row>
    <row r="1237" spans="1:6">
      <c r="A1237" s="210">
        <v>173239105</v>
      </c>
      <c r="B1237" s="202" t="s">
        <v>807</v>
      </c>
      <c r="C1237" s="203" t="s">
        <v>2143</v>
      </c>
      <c r="D1237" s="204">
        <v>1</v>
      </c>
      <c r="E1237" s="204" t="s">
        <v>235</v>
      </c>
      <c r="F1237" s="205">
        <v>3.0700560384860904</v>
      </c>
    </row>
    <row r="1238" spans="1:6">
      <c r="A1238" s="210">
        <v>173239107</v>
      </c>
      <c r="B1238" s="202" t="s">
        <v>851</v>
      </c>
      <c r="C1238" s="203" t="s">
        <v>2143</v>
      </c>
      <c r="D1238" s="204">
        <v>1</v>
      </c>
      <c r="E1238" s="204" t="s">
        <v>235</v>
      </c>
      <c r="F1238" s="205">
        <v>2.8723249581958323</v>
      </c>
    </row>
    <row r="1239" spans="1:6">
      <c r="A1239" s="210">
        <v>173239108</v>
      </c>
      <c r="B1239" s="202" t="s">
        <v>808</v>
      </c>
      <c r="C1239" s="203" t="s">
        <v>2143</v>
      </c>
      <c r="D1239" s="204">
        <v>1</v>
      </c>
      <c r="E1239" s="204" t="s">
        <v>235</v>
      </c>
      <c r="F1239" s="205">
        <v>3.5044005759432753</v>
      </c>
    </row>
    <row r="1240" spans="1:6">
      <c r="A1240" s="210">
        <v>173239109</v>
      </c>
      <c r="B1240" s="202" t="s">
        <v>809</v>
      </c>
      <c r="C1240" s="203" t="s">
        <v>2143</v>
      </c>
      <c r="D1240" s="204">
        <v>1</v>
      </c>
      <c r="E1240" s="204" t="s">
        <v>235</v>
      </c>
      <c r="F1240" s="205">
        <v>3.5652163594150008</v>
      </c>
    </row>
    <row r="1241" spans="1:6">
      <c r="A1241" s="210">
        <v>173239110</v>
      </c>
      <c r="B1241" s="202" t="s">
        <v>852</v>
      </c>
      <c r="C1241" s="203" t="s">
        <v>2143</v>
      </c>
      <c r="D1241" s="204">
        <v>1</v>
      </c>
      <c r="E1241" s="204" t="s">
        <v>235</v>
      </c>
      <c r="F1241" s="205">
        <v>2.0333447030325171</v>
      </c>
    </row>
    <row r="1242" spans="1:6">
      <c r="A1242" s="210">
        <v>173239111</v>
      </c>
      <c r="B1242" s="202" t="s">
        <v>5841</v>
      </c>
      <c r="C1242" s="203" t="s">
        <v>2143</v>
      </c>
      <c r="D1242" s="204">
        <v>1</v>
      </c>
      <c r="E1242" s="204" t="s">
        <v>235</v>
      </c>
      <c r="F1242" s="205">
        <v>5.326688005587771</v>
      </c>
    </row>
    <row r="1243" spans="1:6">
      <c r="A1243" s="210">
        <v>173239113</v>
      </c>
      <c r="B1243" s="202" t="s">
        <v>810</v>
      </c>
      <c r="C1243" s="203" t="s">
        <v>2143</v>
      </c>
      <c r="D1243" s="204">
        <v>1</v>
      </c>
      <c r="E1243" s="204" t="s">
        <v>235</v>
      </c>
      <c r="F1243" s="205">
        <v>1.7495179517229886</v>
      </c>
    </row>
    <row r="1244" spans="1:6">
      <c r="A1244" s="210">
        <v>173239114</v>
      </c>
      <c r="B1244" s="202" t="s">
        <v>811</v>
      </c>
      <c r="C1244" s="203" t="s">
        <v>2143</v>
      </c>
      <c r="D1244" s="204">
        <v>1</v>
      </c>
      <c r="E1244" s="204" t="s">
        <v>235</v>
      </c>
      <c r="F1244" s="205">
        <v>1.9680612225129324</v>
      </c>
    </row>
    <row r="1245" spans="1:6">
      <c r="A1245" s="210">
        <v>173239115</v>
      </c>
      <c r="B1245" s="202" t="s">
        <v>812</v>
      </c>
      <c r="C1245" s="203" t="s">
        <v>2143</v>
      </c>
      <c r="D1245" s="204">
        <v>1</v>
      </c>
      <c r="E1245" s="204" t="s">
        <v>235</v>
      </c>
      <c r="F1245" s="205">
        <v>2.0543147860467976</v>
      </c>
    </row>
    <row r="1246" spans="1:6">
      <c r="A1246" s="210">
        <v>173239116</v>
      </c>
      <c r="B1246" s="202" t="s">
        <v>5842</v>
      </c>
      <c r="C1246" s="203" t="s">
        <v>2143</v>
      </c>
      <c r="D1246" s="204">
        <v>1</v>
      </c>
      <c r="E1246" s="204" t="s">
        <v>235</v>
      </c>
      <c r="F1246" s="205">
        <v>3.7119322270680732</v>
      </c>
    </row>
    <row r="1247" spans="1:6">
      <c r="A1247" s="210">
        <v>173239117</v>
      </c>
      <c r="B1247" s="202" t="s">
        <v>813</v>
      </c>
      <c r="C1247" s="203" t="s">
        <v>2143</v>
      </c>
      <c r="D1247" s="204">
        <v>1</v>
      </c>
      <c r="E1247" s="204" t="s">
        <v>235</v>
      </c>
      <c r="F1247" s="205">
        <v>3.187451799246225</v>
      </c>
    </row>
    <row r="1248" spans="1:6">
      <c r="A1248" s="210">
        <v>173239118</v>
      </c>
      <c r="B1248" s="202" t="s">
        <v>814</v>
      </c>
      <c r="C1248" s="203" t="s">
        <v>2143</v>
      </c>
      <c r="D1248" s="204">
        <v>1</v>
      </c>
      <c r="E1248" s="204" t="s">
        <v>235</v>
      </c>
      <c r="F1248" s="205">
        <v>2.0369106400660368</v>
      </c>
    </row>
    <row r="1249" spans="1:6">
      <c r="A1249" s="210">
        <v>173239119</v>
      </c>
      <c r="B1249" s="202" t="s">
        <v>853</v>
      </c>
      <c r="C1249" s="203" t="s">
        <v>2143</v>
      </c>
      <c r="D1249" s="204">
        <v>1</v>
      </c>
      <c r="E1249" s="204" t="s">
        <v>235</v>
      </c>
      <c r="F1249" s="205">
        <v>10.489864581443332</v>
      </c>
    </row>
    <row r="1250" spans="1:6">
      <c r="A1250" s="210">
        <v>173239120</v>
      </c>
      <c r="B1250" s="202" t="s">
        <v>815</v>
      </c>
      <c r="C1250" s="203" t="s">
        <v>2143</v>
      </c>
      <c r="D1250" s="204">
        <v>1</v>
      </c>
      <c r="E1250" s="204" t="s">
        <v>235</v>
      </c>
      <c r="F1250" s="205">
        <v>11.083115768812732</v>
      </c>
    </row>
    <row r="1251" spans="1:6">
      <c r="A1251" s="210">
        <v>173239122</v>
      </c>
      <c r="B1251" s="202" t="s">
        <v>816</v>
      </c>
      <c r="C1251" s="203" t="s">
        <v>2143</v>
      </c>
      <c r="D1251" s="204">
        <v>1</v>
      </c>
      <c r="E1251" s="204" t="s">
        <v>235</v>
      </c>
      <c r="F1251" s="205">
        <v>3.4536369127473985</v>
      </c>
    </row>
    <row r="1252" spans="1:6">
      <c r="A1252" s="210">
        <v>173239123</v>
      </c>
      <c r="B1252" s="202" t="s">
        <v>817</v>
      </c>
      <c r="C1252" s="203" t="s">
        <v>2143</v>
      </c>
      <c r="D1252" s="204">
        <v>1</v>
      </c>
      <c r="E1252" s="204" t="s">
        <v>235</v>
      </c>
      <c r="F1252" s="205">
        <v>4.814560098542727</v>
      </c>
    </row>
    <row r="1253" spans="1:6">
      <c r="A1253" s="210">
        <v>173239124</v>
      </c>
      <c r="B1253" s="202" t="s">
        <v>854</v>
      </c>
      <c r="C1253" s="203" t="s">
        <v>2143</v>
      </c>
      <c r="D1253" s="204">
        <v>1</v>
      </c>
      <c r="E1253" s="204" t="s">
        <v>235</v>
      </c>
      <c r="F1253" s="205">
        <v>1.9266861749050994</v>
      </c>
    </row>
    <row r="1254" spans="1:6">
      <c r="A1254" s="210">
        <v>173239125</v>
      </c>
      <c r="B1254" s="202" t="s">
        <v>818</v>
      </c>
      <c r="C1254" s="203" t="s">
        <v>2143</v>
      </c>
      <c r="D1254" s="204">
        <v>1</v>
      </c>
      <c r="E1254" s="204" t="s">
        <v>235</v>
      </c>
      <c r="F1254" s="205">
        <v>3.3035428416253971</v>
      </c>
    </row>
    <row r="1255" spans="1:6">
      <c r="A1255" s="210">
        <v>173239126</v>
      </c>
      <c r="B1255" s="202" t="s">
        <v>819</v>
      </c>
      <c r="C1255" s="203" t="s">
        <v>2143</v>
      </c>
      <c r="D1255" s="204">
        <v>1</v>
      </c>
      <c r="E1255" s="204" t="s">
        <v>235</v>
      </c>
      <c r="F1255" s="205">
        <v>1.7495179517229886</v>
      </c>
    </row>
    <row r="1256" spans="1:6">
      <c r="A1256" s="210">
        <v>173239127</v>
      </c>
      <c r="B1256" s="202" t="s">
        <v>820</v>
      </c>
      <c r="C1256" s="203" t="s">
        <v>2143</v>
      </c>
      <c r="D1256" s="204">
        <v>1</v>
      </c>
      <c r="E1256" s="204" t="s">
        <v>235</v>
      </c>
      <c r="F1256" s="205">
        <v>2.3776437476605965</v>
      </c>
    </row>
    <row r="1257" spans="1:6">
      <c r="A1257" s="210">
        <v>173239128</v>
      </c>
      <c r="B1257" s="202" t="s">
        <v>5843</v>
      </c>
      <c r="C1257" s="203" t="s">
        <v>2143</v>
      </c>
      <c r="D1257" s="204">
        <v>1</v>
      </c>
      <c r="E1257" s="204" t="s">
        <v>235</v>
      </c>
      <c r="F1257" s="205">
        <v>10.489864581443332</v>
      </c>
    </row>
    <row r="1258" spans="1:6">
      <c r="A1258" s="210">
        <v>173239129</v>
      </c>
      <c r="B1258" s="202" t="s">
        <v>821</v>
      </c>
      <c r="C1258" s="203" t="s">
        <v>2143</v>
      </c>
      <c r="D1258" s="204">
        <v>1</v>
      </c>
      <c r="E1258" s="204" t="s">
        <v>235</v>
      </c>
      <c r="F1258" s="205">
        <v>4.7129287870369359</v>
      </c>
    </row>
    <row r="1259" spans="1:6">
      <c r="A1259" s="210">
        <v>173239130</v>
      </c>
      <c r="B1259" s="202" t="s">
        <v>870</v>
      </c>
      <c r="C1259" s="203" t="s">
        <v>2143</v>
      </c>
      <c r="D1259" s="204">
        <v>1</v>
      </c>
      <c r="E1259" s="204" t="s">
        <v>235</v>
      </c>
      <c r="F1259" s="205">
        <v>5.2012732462910067</v>
      </c>
    </row>
    <row r="1260" spans="1:6">
      <c r="A1260" s="210">
        <v>173239131</v>
      </c>
      <c r="B1260" s="202" t="s">
        <v>855</v>
      </c>
      <c r="C1260" s="203" t="s">
        <v>2143</v>
      </c>
      <c r="D1260" s="204">
        <v>1</v>
      </c>
      <c r="E1260" s="204" t="s">
        <v>235</v>
      </c>
      <c r="F1260" s="205">
        <v>3.1210762017421247</v>
      </c>
    </row>
    <row r="1261" spans="1:6">
      <c r="A1261" s="210">
        <v>173239135</v>
      </c>
      <c r="B1261" s="202" t="s">
        <v>856</v>
      </c>
      <c r="C1261" s="203" t="s">
        <v>2143</v>
      </c>
      <c r="D1261" s="204">
        <v>1</v>
      </c>
      <c r="E1261" s="204" t="s">
        <v>235</v>
      </c>
      <c r="F1261" s="205">
        <v>5.204933821990732</v>
      </c>
    </row>
    <row r="1262" spans="1:6">
      <c r="A1262" s="210">
        <v>173239136</v>
      </c>
      <c r="B1262" s="202" t="s">
        <v>5844</v>
      </c>
      <c r="C1262" s="203" t="s">
        <v>2143</v>
      </c>
      <c r="D1262" s="204">
        <v>1</v>
      </c>
      <c r="E1262" s="204" t="s">
        <v>235</v>
      </c>
      <c r="F1262" s="205">
        <v>2.477272569053147</v>
      </c>
    </row>
    <row r="1263" spans="1:6">
      <c r="A1263" s="210">
        <v>173239137</v>
      </c>
      <c r="B1263" s="202" t="s">
        <v>822</v>
      </c>
      <c r="C1263" s="203" t="s">
        <v>2143</v>
      </c>
      <c r="D1263" s="204">
        <v>1</v>
      </c>
      <c r="E1263" s="204" t="s">
        <v>235</v>
      </c>
      <c r="F1263" s="205">
        <v>2.4124457526261405</v>
      </c>
    </row>
    <row r="1264" spans="1:6">
      <c r="A1264" s="210">
        <v>173239138</v>
      </c>
      <c r="B1264" s="202" t="s">
        <v>5845</v>
      </c>
      <c r="C1264" s="203" t="s">
        <v>2143</v>
      </c>
      <c r="D1264" s="204">
        <v>1</v>
      </c>
      <c r="E1264" s="204" t="s">
        <v>235</v>
      </c>
      <c r="F1264" s="205">
        <v>10.489864581443332</v>
      </c>
    </row>
    <row r="1265" spans="1:6">
      <c r="A1265" s="210">
        <v>173239139</v>
      </c>
      <c r="B1265" s="202" t="s">
        <v>823</v>
      </c>
      <c r="C1265" s="203" t="s">
        <v>2143</v>
      </c>
      <c r="D1265" s="204">
        <v>1</v>
      </c>
      <c r="E1265" s="204" t="s">
        <v>235</v>
      </c>
      <c r="F1265" s="205">
        <v>4.6269678775320529</v>
      </c>
    </row>
    <row r="1266" spans="1:6">
      <c r="A1266" s="210">
        <v>173239140</v>
      </c>
      <c r="B1266" s="202" t="s">
        <v>824</v>
      </c>
      <c r="C1266" s="203" t="s">
        <v>2143</v>
      </c>
      <c r="D1266" s="204">
        <v>1</v>
      </c>
      <c r="E1266" s="204" t="s">
        <v>235</v>
      </c>
      <c r="F1266" s="205">
        <v>2.7241164622188614</v>
      </c>
    </row>
    <row r="1267" spans="1:6">
      <c r="A1267" s="210">
        <v>173239141</v>
      </c>
      <c r="B1267" s="202" t="s">
        <v>857</v>
      </c>
      <c r="C1267" s="203" t="s">
        <v>2143</v>
      </c>
      <c r="D1267" s="204">
        <v>1</v>
      </c>
      <c r="E1267" s="204" t="s">
        <v>235</v>
      </c>
      <c r="F1267" s="205">
        <v>1.6814523888904134</v>
      </c>
    </row>
    <row r="1268" spans="1:6">
      <c r="A1268" s="210">
        <v>173239143</v>
      </c>
      <c r="B1268" s="202" t="s">
        <v>871</v>
      </c>
      <c r="C1268" s="203" t="s">
        <v>2143</v>
      </c>
      <c r="D1268" s="204">
        <v>1</v>
      </c>
      <c r="E1268" s="204" t="s">
        <v>235</v>
      </c>
      <c r="F1268" s="205">
        <v>5.2012732462910067</v>
      </c>
    </row>
    <row r="1269" spans="1:6">
      <c r="A1269" s="210">
        <v>173239144</v>
      </c>
      <c r="B1269" s="202" t="s">
        <v>5846</v>
      </c>
      <c r="C1269" s="203" t="s">
        <v>2143</v>
      </c>
      <c r="D1269" s="204">
        <v>1</v>
      </c>
      <c r="E1269" s="204" t="s">
        <v>235</v>
      </c>
      <c r="F1269" s="205">
        <v>3.1210762017421247</v>
      </c>
    </row>
    <row r="1270" spans="1:6">
      <c r="A1270" s="210">
        <v>173239145</v>
      </c>
      <c r="B1270" s="202" t="s">
        <v>859</v>
      </c>
      <c r="C1270" s="203" t="s">
        <v>2143</v>
      </c>
      <c r="D1270" s="204">
        <v>1</v>
      </c>
      <c r="E1270" s="204" t="s">
        <v>235</v>
      </c>
      <c r="F1270" s="205">
        <v>10.152663239242015</v>
      </c>
    </row>
    <row r="1271" spans="1:6">
      <c r="A1271" s="210">
        <v>173239147</v>
      </c>
      <c r="B1271" s="202" t="s">
        <v>5847</v>
      </c>
      <c r="C1271" s="203" t="s">
        <v>2143</v>
      </c>
      <c r="D1271" s="204">
        <v>1</v>
      </c>
      <c r="E1271" s="204" t="s">
        <v>235</v>
      </c>
      <c r="F1271" s="205">
        <v>1.9266861749050994</v>
      </c>
    </row>
    <row r="1272" spans="1:6">
      <c r="A1272" s="210">
        <v>173239148</v>
      </c>
      <c r="B1272" s="202" t="s">
        <v>825</v>
      </c>
      <c r="C1272" s="203" t="s">
        <v>2143</v>
      </c>
      <c r="D1272" s="204">
        <v>1</v>
      </c>
      <c r="E1272" s="204" t="s">
        <v>235</v>
      </c>
      <c r="F1272" s="205">
        <v>2.7685850857464849</v>
      </c>
    </row>
    <row r="1273" spans="1:6">
      <c r="A1273" s="210">
        <v>173239149</v>
      </c>
      <c r="B1273" s="202" t="s">
        <v>5848</v>
      </c>
      <c r="C1273" s="203" t="s">
        <v>2143</v>
      </c>
      <c r="D1273" s="204">
        <v>1</v>
      </c>
      <c r="E1273" s="204" t="s">
        <v>235</v>
      </c>
      <c r="F1273" s="205">
        <v>5.2341904748196075</v>
      </c>
    </row>
    <row r="1274" spans="1:6">
      <c r="A1274" s="210">
        <v>173239150</v>
      </c>
      <c r="B1274" s="202" t="s">
        <v>826</v>
      </c>
      <c r="C1274" s="203" t="s">
        <v>2143</v>
      </c>
      <c r="D1274" s="204">
        <v>1</v>
      </c>
      <c r="E1274" s="204" t="s">
        <v>235</v>
      </c>
      <c r="F1274" s="205">
        <v>4.5584744700130226</v>
      </c>
    </row>
    <row r="1275" spans="1:6">
      <c r="A1275" s="210">
        <v>173239151</v>
      </c>
      <c r="B1275" s="202" t="s">
        <v>5849</v>
      </c>
      <c r="C1275" s="203" t="s">
        <v>2143</v>
      </c>
      <c r="D1275" s="204">
        <v>1</v>
      </c>
      <c r="E1275" s="204" t="s">
        <v>235</v>
      </c>
      <c r="F1275" s="205">
        <v>10.489864581443332</v>
      </c>
    </row>
    <row r="1276" spans="1:6">
      <c r="A1276" s="210">
        <v>173239152</v>
      </c>
      <c r="B1276" s="202" t="s">
        <v>5850</v>
      </c>
      <c r="C1276" s="203" t="s">
        <v>2143</v>
      </c>
      <c r="D1276" s="204">
        <v>1</v>
      </c>
      <c r="E1276" s="204" t="s">
        <v>235</v>
      </c>
      <c r="F1276" s="205">
        <v>3.0484661726176454</v>
      </c>
    </row>
    <row r="1277" spans="1:6">
      <c r="A1277" s="210">
        <v>173239153</v>
      </c>
      <c r="B1277" s="202" t="s">
        <v>827</v>
      </c>
      <c r="C1277" s="203" t="s">
        <v>2143</v>
      </c>
      <c r="D1277" s="204">
        <v>1</v>
      </c>
      <c r="E1277" s="204" t="s">
        <v>235</v>
      </c>
      <c r="F1277" s="205">
        <v>3.2689046597899076</v>
      </c>
    </row>
    <row r="1278" spans="1:6">
      <c r="A1278" s="210">
        <v>173239154</v>
      </c>
      <c r="B1278" s="202" t="s">
        <v>828</v>
      </c>
      <c r="C1278" s="203" t="s">
        <v>2143</v>
      </c>
      <c r="D1278" s="204">
        <v>1</v>
      </c>
      <c r="E1278" s="204" t="s">
        <v>235</v>
      </c>
      <c r="F1278" s="205">
        <v>6.5087119693929187</v>
      </c>
    </row>
    <row r="1279" spans="1:6">
      <c r="A1279" s="210">
        <v>173239155</v>
      </c>
      <c r="B1279" s="202" t="s">
        <v>5851</v>
      </c>
      <c r="C1279" s="203" t="s">
        <v>2143</v>
      </c>
      <c r="D1279" s="204">
        <v>1</v>
      </c>
      <c r="E1279" s="204" t="s">
        <v>235</v>
      </c>
      <c r="F1279" s="205">
        <v>2.477272569053147</v>
      </c>
    </row>
    <row r="1280" spans="1:6">
      <c r="A1280" s="210">
        <v>173239156</v>
      </c>
      <c r="B1280" s="202" t="s">
        <v>860</v>
      </c>
      <c r="C1280" s="203" t="s">
        <v>2143</v>
      </c>
      <c r="D1280" s="204">
        <v>1</v>
      </c>
      <c r="E1280" s="204" t="s">
        <v>235</v>
      </c>
      <c r="F1280" s="205">
        <v>13.477683764808914</v>
      </c>
    </row>
    <row r="1281" spans="1:6">
      <c r="A1281" s="210">
        <v>173239157</v>
      </c>
      <c r="B1281" s="202" t="s">
        <v>829</v>
      </c>
      <c r="C1281" s="203" t="s">
        <v>2143</v>
      </c>
      <c r="D1281" s="204">
        <v>1</v>
      </c>
      <c r="E1281" s="204" t="s">
        <v>235</v>
      </c>
      <c r="F1281" s="205">
        <v>7.4562152367419596</v>
      </c>
    </row>
    <row r="1282" spans="1:6">
      <c r="A1282" s="210">
        <v>173239159</v>
      </c>
      <c r="B1282" s="202" t="s">
        <v>2008</v>
      </c>
      <c r="C1282" s="203" t="s">
        <v>2143</v>
      </c>
      <c r="D1282" s="204">
        <v>1</v>
      </c>
      <c r="E1282" s="204" t="s">
        <v>235</v>
      </c>
      <c r="F1282" s="205">
        <v>13.917721045860924</v>
      </c>
    </row>
    <row r="1283" spans="1:6">
      <c r="A1283" s="210">
        <v>173239160</v>
      </c>
      <c r="B1283" s="202" t="s">
        <v>830</v>
      </c>
      <c r="C1283" s="203" t="s">
        <v>2143</v>
      </c>
      <c r="D1283" s="204">
        <v>1</v>
      </c>
      <c r="E1283" s="204" t="s">
        <v>235</v>
      </c>
      <c r="F1283" s="205">
        <v>2.0807843013583684</v>
      </c>
    </row>
    <row r="1284" spans="1:6">
      <c r="A1284" s="210">
        <v>173239161</v>
      </c>
      <c r="B1284" s="202" t="s">
        <v>5852</v>
      </c>
      <c r="C1284" s="203" t="s">
        <v>2143</v>
      </c>
      <c r="D1284" s="204">
        <v>1</v>
      </c>
      <c r="E1284" s="204" t="s">
        <v>235</v>
      </c>
      <c r="F1284" s="205">
        <v>1.6814523888904134</v>
      </c>
    </row>
    <row r="1285" spans="1:6">
      <c r="A1285" s="210">
        <v>173239163</v>
      </c>
      <c r="B1285" s="202" t="s">
        <v>831</v>
      </c>
      <c r="C1285" s="203" t="s">
        <v>2143</v>
      </c>
      <c r="D1285" s="204">
        <v>1</v>
      </c>
      <c r="E1285" s="204" t="s">
        <v>235</v>
      </c>
      <c r="F1285" s="205">
        <v>11.322894898233015</v>
      </c>
    </row>
    <row r="1286" spans="1:6">
      <c r="A1286" s="210">
        <v>173239164</v>
      </c>
      <c r="B1286" s="202" t="s">
        <v>872</v>
      </c>
      <c r="C1286" s="203" t="s">
        <v>2143</v>
      </c>
      <c r="D1286" s="204">
        <v>1</v>
      </c>
      <c r="E1286" s="204" t="s">
        <v>235</v>
      </c>
      <c r="F1286" s="205">
        <v>5.2012732462910067</v>
      </c>
    </row>
    <row r="1287" spans="1:6">
      <c r="A1287" s="210">
        <v>173239165</v>
      </c>
      <c r="B1287" s="202" t="s">
        <v>5853</v>
      </c>
      <c r="C1287" s="203" t="s">
        <v>2143</v>
      </c>
      <c r="D1287" s="204">
        <v>1</v>
      </c>
      <c r="E1287" s="204" t="s">
        <v>235</v>
      </c>
      <c r="F1287" s="205">
        <v>3.1210762017421247</v>
      </c>
    </row>
    <row r="1288" spans="1:6">
      <c r="A1288" s="210">
        <v>173239166</v>
      </c>
      <c r="B1288" s="202" t="s">
        <v>861</v>
      </c>
      <c r="C1288" s="203" t="s">
        <v>2143</v>
      </c>
      <c r="D1288" s="204">
        <v>1</v>
      </c>
      <c r="E1288" s="204" t="s">
        <v>235</v>
      </c>
      <c r="F1288" s="205">
        <v>12.560778460548418</v>
      </c>
    </row>
    <row r="1289" spans="1:6">
      <c r="A1289" s="210">
        <v>173239168</v>
      </c>
      <c r="B1289" s="202" t="s">
        <v>5854</v>
      </c>
      <c r="C1289" s="203" t="s">
        <v>2143</v>
      </c>
      <c r="D1289" s="204">
        <v>1</v>
      </c>
      <c r="E1289" s="204" t="s">
        <v>235</v>
      </c>
      <c r="F1289" s="205">
        <v>5.204933821990732</v>
      </c>
    </row>
    <row r="1290" spans="1:6">
      <c r="A1290" s="210">
        <v>173239169</v>
      </c>
      <c r="B1290" s="202" t="s">
        <v>5855</v>
      </c>
      <c r="C1290" s="203" t="s">
        <v>2143</v>
      </c>
      <c r="D1290" s="204">
        <v>1</v>
      </c>
      <c r="E1290" s="204" t="s">
        <v>235</v>
      </c>
      <c r="F1290" s="205">
        <v>2.7992551545587254</v>
      </c>
    </row>
    <row r="1291" spans="1:6">
      <c r="A1291" s="210">
        <v>173239170</v>
      </c>
      <c r="B1291" s="202" t="s">
        <v>833</v>
      </c>
      <c r="C1291" s="203" t="s">
        <v>2143</v>
      </c>
      <c r="D1291" s="204">
        <v>1</v>
      </c>
      <c r="E1291" s="204" t="s">
        <v>235</v>
      </c>
      <c r="F1291" s="205">
        <v>4.2929457432064337</v>
      </c>
    </row>
    <row r="1292" spans="1:6">
      <c r="A1292" s="210">
        <v>173239171</v>
      </c>
      <c r="B1292" s="202" t="s">
        <v>5856</v>
      </c>
      <c r="C1292" s="203" t="s">
        <v>2143</v>
      </c>
      <c r="D1292" s="204">
        <v>1</v>
      </c>
      <c r="E1292" s="204" t="s">
        <v>235</v>
      </c>
      <c r="F1292" s="205">
        <v>16.321021040968269</v>
      </c>
    </row>
    <row r="1293" spans="1:6">
      <c r="A1293" s="210">
        <v>173239172</v>
      </c>
      <c r="B1293" s="202" t="s">
        <v>834</v>
      </c>
      <c r="C1293" s="203" t="s">
        <v>2143</v>
      </c>
      <c r="D1293" s="204">
        <v>1</v>
      </c>
      <c r="E1293" s="204" t="s">
        <v>235</v>
      </c>
      <c r="F1293" s="205">
        <v>2.2748897906459873</v>
      </c>
    </row>
    <row r="1294" spans="1:6">
      <c r="A1294" s="210">
        <v>173239173</v>
      </c>
      <c r="B1294" s="202" t="s">
        <v>835</v>
      </c>
      <c r="C1294" s="203" t="s">
        <v>2143</v>
      </c>
      <c r="D1294" s="204">
        <v>1</v>
      </c>
      <c r="E1294" s="204" t="s">
        <v>235</v>
      </c>
      <c r="F1294" s="205">
        <v>2.6801934513343304</v>
      </c>
    </row>
    <row r="1295" spans="1:6">
      <c r="A1295" s="210">
        <v>173239174</v>
      </c>
      <c r="B1295" s="202" t="s">
        <v>836</v>
      </c>
      <c r="C1295" s="203" t="s">
        <v>2143</v>
      </c>
      <c r="D1295" s="204">
        <v>1</v>
      </c>
      <c r="E1295" s="204" t="s">
        <v>235</v>
      </c>
      <c r="F1295" s="205">
        <v>2.9688170233139379</v>
      </c>
    </row>
    <row r="1296" spans="1:6">
      <c r="A1296" s="210">
        <v>173239175</v>
      </c>
      <c r="B1296" s="202" t="s">
        <v>837</v>
      </c>
      <c r="C1296" s="203" t="s">
        <v>2143</v>
      </c>
      <c r="D1296" s="204">
        <v>1</v>
      </c>
      <c r="E1296" s="204" t="s">
        <v>235</v>
      </c>
      <c r="F1296" s="205">
        <v>2.1922509493030926</v>
      </c>
    </row>
    <row r="1297" spans="1:6">
      <c r="A1297" s="210">
        <v>173239176</v>
      </c>
      <c r="B1297" s="202" t="s">
        <v>5857</v>
      </c>
      <c r="C1297" s="203" t="s">
        <v>2143</v>
      </c>
      <c r="D1297" s="204">
        <v>1</v>
      </c>
      <c r="E1297" s="204" t="s">
        <v>235</v>
      </c>
      <c r="F1297" s="205">
        <v>10.489864581443332</v>
      </c>
    </row>
    <row r="1298" spans="1:6">
      <c r="A1298" s="210">
        <v>173239177</v>
      </c>
      <c r="B1298" s="202" t="s">
        <v>862</v>
      </c>
      <c r="C1298" s="203" t="s">
        <v>2143</v>
      </c>
      <c r="D1298" s="204">
        <v>1</v>
      </c>
      <c r="E1298" s="204" t="s">
        <v>235</v>
      </c>
      <c r="F1298" s="205">
        <v>5.2341904748196075</v>
      </c>
    </row>
    <row r="1299" spans="1:6">
      <c r="A1299" s="210">
        <v>173239178</v>
      </c>
      <c r="B1299" s="202" t="s">
        <v>5858</v>
      </c>
      <c r="C1299" s="203" t="s">
        <v>2143</v>
      </c>
      <c r="D1299" s="204">
        <v>1</v>
      </c>
      <c r="E1299" s="204" t="s">
        <v>235</v>
      </c>
      <c r="F1299" s="205">
        <v>6.1442914459347318</v>
      </c>
    </row>
    <row r="1300" spans="1:6">
      <c r="A1300" s="210">
        <v>173239179</v>
      </c>
      <c r="B1300" s="202" t="s">
        <v>863</v>
      </c>
      <c r="C1300" s="203" t="s">
        <v>2143</v>
      </c>
      <c r="D1300" s="204">
        <v>1</v>
      </c>
      <c r="E1300" s="204" t="s">
        <v>235</v>
      </c>
      <c r="F1300" s="205">
        <v>1.0846669951259509</v>
      </c>
    </row>
    <row r="1301" spans="1:6">
      <c r="A1301" s="210">
        <v>173239181</v>
      </c>
      <c r="B1301" s="202" t="s">
        <v>864</v>
      </c>
      <c r="C1301" s="203" t="s">
        <v>2143</v>
      </c>
      <c r="D1301" s="204">
        <v>1</v>
      </c>
      <c r="E1301" s="204" t="s">
        <v>235</v>
      </c>
      <c r="F1301" s="205">
        <v>17.962794774404497</v>
      </c>
    </row>
    <row r="1302" spans="1:6">
      <c r="A1302" s="210">
        <v>173239182</v>
      </c>
      <c r="B1302" s="202" t="s">
        <v>5859</v>
      </c>
      <c r="C1302" s="203" t="s">
        <v>2143</v>
      </c>
      <c r="D1302" s="204">
        <v>1</v>
      </c>
      <c r="E1302" s="204" t="s">
        <v>235</v>
      </c>
      <c r="F1302" s="205">
        <v>17.962794774404497</v>
      </c>
    </row>
    <row r="1303" spans="1:6">
      <c r="A1303" s="210">
        <v>173239183</v>
      </c>
      <c r="B1303" s="202" t="s">
        <v>5860</v>
      </c>
      <c r="C1303" s="203" t="s">
        <v>2143</v>
      </c>
      <c r="D1303" s="204">
        <v>1</v>
      </c>
      <c r="E1303" s="204" t="s">
        <v>235</v>
      </c>
      <c r="F1303" s="205">
        <v>9.3849329346933921</v>
      </c>
    </row>
    <row r="1304" spans="1:6">
      <c r="A1304" s="210">
        <v>173239184</v>
      </c>
      <c r="B1304" s="202" t="s">
        <v>865</v>
      </c>
      <c r="C1304" s="203" t="s">
        <v>2143</v>
      </c>
      <c r="D1304" s="204">
        <v>1</v>
      </c>
      <c r="E1304" s="204" t="s">
        <v>235</v>
      </c>
      <c r="F1304" s="205">
        <v>4.350480424036407</v>
      </c>
    </row>
    <row r="1305" spans="1:6">
      <c r="A1305" s="210">
        <v>173239186</v>
      </c>
      <c r="B1305" s="202" t="s">
        <v>838</v>
      </c>
      <c r="C1305" s="203" t="s">
        <v>2143</v>
      </c>
      <c r="D1305" s="204">
        <v>1</v>
      </c>
      <c r="E1305" s="204" t="s">
        <v>235</v>
      </c>
      <c r="F1305" s="205">
        <v>1.661180045394844</v>
      </c>
    </row>
    <row r="1306" spans="1:6">
      <c r="A1306" s="210">
        <v>173239191</v>
      </c>
      <c r="B1306" s="202" t="s">
        <v>5861</v>
      </c>
      <c r="C1306" s="203" t="s">
        <v>2143</v>
      </c>
      <c r="D1306" s="204">
        <v>1</v>
      </c>
      <c r="E1306" s="204" t="s">
        <v>235</v>
      </c>
      <c r="F1306" s="205">
        <v>0.47049434078531244</v>
      </c>
    </row>
    <row r="1307" spans="1:6">
      <c r="A1307" s="210">
        <v>173239193</v>
      </c>
      <c r="B1307" s="202" t="s">
        <v>841</v>
      </c>
      <c r="C1307" s="203" t="s">
        <v>2143</v>
      </c>
      <c r="D1307" s="204">
        <v>1</v>
      </c>
      <c r="E1307" s="204" t="s">
        <v>235</v>
      </c>
      <c r="F1307" s="205">
        <v>5.025701041292514</v>
      </c>
    </row>
    <row r="1308" spans="1:6">
      <c r="A1308" s="210">
        <v>173239194</v>
      </c>
      <c r="B1308" s="202" t="s">
        <v>3536</v>
      </c>
      <c r="C1308" s="203" t="s">
        <v>2143</v>
      </c>
      <c r="D1308" s="204">
        <v>1</v>
      </c>
      <c r="E1308" s="204" t="s">
        <v>235</v>
      </c>
      <c r="F1308" s="205">
        <v>2.7052879078085041</v>
      </c>
    </row>
    <row r="1309" spans="1:6">
      <c r="A1309" s="210">
        <v>173239195</v>
      </c>
      <c r="B1309" s="202" t="s">
        <v>842</v>
      </c>
      <c r="C1309" s="203" t="s">
        <v>2143</v>
      </c>
      <c r="D1309" s="204">
        <v>1</v>
      </c>
      <c r="E1309" s="204" t="s">
        <v>235</v>
      </c>
      <c r="F1309" s="205">
        <v>6.0178682959746386</v>
      </c>
    </row>
    <row r="1310" spans="1:6">
      <c r="A1310" s="210">
        <v>173239196</v>
      </c>
      <c r="B1310" s="202" t="s">
        <v>868</v>
      </c>
      <c r="C1310" s="203" t="s">
        <v>2143</v>
      </c>
      <c r="D1310" s="204">
        <v>1</v>
      </c>
      <c r="E1310" s="204" t="s">
        <v>235</v>
      </c>
      <c r="F1310" s="205">
        <v>4.1949153663103314</v>
      </c>
    </row>
    <row r="1311" spans="1:6">
      <c r="A1311" s="210">
        <v>173239197</v>
      </c>
      <c r="B1311" s="202" t="s">
        <v>869</v>
      </c>
      <c r="C1311" s="203" t="s">
        <v>2143</v>
      </c>
      <c r="D1311" s="204">
        <v>1</v>
      </c>
      <c r="E1311" s="204" t="s">
        <v>235</v>
      </c>
      <c r="F1311" s="205">
        <v>2.538717232856837</v>
      </c>
    </row>
    <row r="1312" spans="1:6">
      <c r="A1312" s="210">
        <v>173239198</v>
      </c>
      <c r="B1312" s="202" t="s">
        <v>858</v>
      </c>
      <c r="C1312" s="203" t="s">
        <v>2143</v>
      </c>
      <c r="D1312" s="204">
        <v>1</v>
      </c>
      <c r="E1312" s="204" t="s">
        <v>235</v>
      </c>
      <c r="F1312" s="205">
        <v>1.6814523888904132</v>
      </c>
    </row>
    <row r="1313" spans="1:6">
      <c r="A1313" s="210">
        <v>173239199</v>
      </c>
      <c r="B1313" s="202" t="s">
        <v>5862</v>
      </c>
      <c r="C1313" s="203" t="s">
        <v>2143</v>
      </c>
      <c r="D1313" s="204">
        <v>1</v>
      </c>
      <c r="E1313" s="204" t="s">
        <v>235</v>
      </c>
      <c r="F1313" s="205">
        <v>3.4983220261250665</v>
      </c>
    </row>
    <row r="1314" spans="1:6">
      <c r="A1314" s="210">
        <v>173239200</v>
      </c>
      <c r="B1314" s="202" t="s">
        <v>5863</v>
      </c>
      <c r="C1314" s="203" t="s">
        <v>2143</v>
      </c>
      <c r="D1314" s="204">
        <v>1</v>
      </c>
      <c r="E1314" s="204" t="s">
        <v>235</v>
      </c>
      <c r="F1314" s="205">
        <v>3.7429175317408889</v>
      </c>
    </row>
    <row r="1315" spans="1:6">
      <c r="A1315" s="210">
        <v>173239201</v>
      </c>
      <c r="B1315" s="202" t="s">
        <v>5864</v>
      </c>
      <c r="C1315" s="203" t="s">
        <v>2143</v>
      </c>
      <c r="D1315" s="204">
        <v>1</v>
      </c>
      <c r="E1315" s="204" t="s">
        <v>235</v>
      </c>
      <c r="F1315" s="205">
        <v>6.3573989808208538</v>
      </c>
    </row>
    <row r="1316" spans="1:6">
      <c r="A1316" s="210">
        <v>173239202</v>
      </c>
      <c r="B1316" s="202" t="s">
        <v>2006</v>
      </c>
      <c r="C1316" s="203" t="s">
        <v>2143</v>
      </c>
      <c r="D1316" s="204">
        <v>1</v>
      </c>
      <c r="E1316" s="204" t="s">
        <v>235</v>
      </c>
      <c r="F1316" s="205">
        <v>2.9569722680601767</v>
      </c>
    </row>
    <row r="1317" spans="1:6">
      <c r="A1317" s="210">
        <v>173239203</v>
      </c>
      <c r="B1317" s="202" t="s">
        <v>5865</v>
      </c>
      <c r="C1317" s="203" t="s">
        <v>2143</v>
      </c>
      <c r="D1317" s="204">
        <v>1</v>
      </c>
      <c r="E1317" s="204" t="s">
        <v>235</v>
      </c>
      <c r="F1317" s="205">
        <v>1.5240984876920058</v>
      </c>
    </row>
    <row r="1318" spans="1:6">
      <c r="A1318" s="210">
        <v>173239204</v>
      </c>
      <c r="B1318" s="202" t="s">
        <v>3540</v>
      </c>
      <c r="C1318" s="203" t="s">
        <v>2143</v>
      </c>
      <c r="D1318" s="204">
        <v>1</v>
      </c>
      <c r="E1318" s="204" t="s">
        <v>235</v>
      </c>
      <c r="F1318" s="205">
        <v>2.6652919747679169</v>
      </c>
    </row>
    <row r="1319" spans="1:6">
      <c r="A1319" s="210">
        <v>173239205</v>
      </c>
      <c r="B1319" s="202" t="s">
        <v>843</v>
      </c>
      <c r="C1319" s="203" t="s">
        <v>2143</v>
      </c>
      <c r="D1319" s="204">
        <v>1</v>
      </c>
      <c r="E1319" s="204" t="s">
        <v>235</v>
      </c>
      <c r="F1319" s="205">
        <v>1.9562533606906607</v>
      </c>
    </row>
    <row r="1320" spans="1:6">
      <c r="A1320" s="210">
        <v>173239206</v>
      </c>
      <c r="B1320" s="202" t="s">
        <v>5866</v>
      </c>
      <c r="C1320" s="203" t="s">
        <v>2143</v>
      </c>
      <c r="D1320" s="204">
        <v>1</v>
      </c>
      <c r="E1320" s="204" t="s">
        <v>235</v>
      </c>
      <c r="F1320" s="205">
        <v>1.5240984876920058</v>
      </c>
    </row>
    <row r="1321" spans="1:6">
      <c r="A1321" s="210">
        <v>173239208</v>
      </c>
      <c r="B1321" s="202" t="s">
        <v>844</v>
      </c>
      <c r="C1321" s="203" t="s">
        <v>2143</v>
      </c>
      <c r="D1321" s="204">
        <v>1</v>
      </c>
      <c r="E1321" s="204" t="s">
        <v>235</v>
      </c>
      <c r="F1321" s="205">
        <v>3.3159073802736012</v>
      </c>
    </row>
    <row r="1322" spans="1:6">
      <c r="A1322" s="210">
        <v>173239209</v>
      </c>
      <c r="B1322" s="202" t="s">
        <v>845</v>
      </c>
      <c r="C1322" s="203" t="s">
        <v>2143</v>
      </c>
      <c r="D1322" s="204">
        <v>1</v>
      </c>
      <c r="E1322" s="204" t="s">
        <v>235</v>
      </c>
      <c r="F1322" s="205">
        <v>2.6775385070453193</v>
      </c>
    </row>
    <row r="1323" spans="1:6">
      <c r="A1323" s="210">
        <v>173239210</v>
      </c>
      <c r="B1323" s="202" t="s">
        <v>846</v>
      </c>
      <c r="C1323" s="203" t="s">
        <v>2143</v>
      </c>
      <c r="D1323" s="204">
        <v>1</v>
      </c>
      <c r="E1323" s="204" t="s">
        <v>235</v>
      </c>
      <c r="F1323" s="205">
        <v>2.944204307233671</v>
      </c>
    </row>
    <row r="1324" spans="1:6">
      <c r="A1324" s="210">
        <v>173239211</v>
      </c>
      <c r="B1324" s="202" t="s">
        <v>5867</v>
      </c>
      <c r="C1324" s="203" t="s">
        <v>2143</v>
      </c>
      <c r="D1324" s="204">
        <v>1</v>
      </c>
      <c r="E1324" s="204" t="s">
        <v>235</v>
      </c>
      <c r="F1324" s="205">
        <v>10.489864581443332</v>
      </c>
    </row>
    <row r="1325" spans="1:6">
      <c r="A1325" s="210">
        <v>173239212</v>
      </c>
      <c r="B1325" s="202" t="s">
        <v>847</v>
      </c>
      <c r="C1325" s="203" t="s">
        <v>2143</v>
      </c>
      <c r="D1325" s="204">
        <v>1</v>
      </c>
      <c r="E1325" s="204" t="s">
        <v>235</v>
      </c>
      <c r="F1325" s="205">
        <v>7.0775959576725969</v>
      </c>
    </row>
    <row r="1326" spans="1:6">
      <c r="A1326" s="210">
        <v>173239213</v>
      </c>
      <c r="B1326" s="202" t="s">
        <v>3544</v>
      </c>
      <c r="C1326" s="203" t="s">
        <v>2143</v>
      </c>
      <c r="D1326" s="204">
        <v>1</v>
      </c>
      <c r="E1326" s="204" t="s">
        <v>235</v>
      </c>
      <c r="F1326" s="205">
        <v>6.8800298788716843</v>
      </c>
    </row>
    <row r="1327" spans="1:6">
      <c r="A1327" s="210">
        <v>173239220</v>
      </c>
      <c r="B1327" s="202" t="s">
        <v>848</v>
      </c>
      <c r="C1327" s="203" t="s">
        <v>2143</v>
      </c>
      <c r="D1327" s="204">
        <v>1</v>
      </c>
      <c r="E1327" s="204" t="s">
        <v>235</v>
      </c>
      <c r="F1327" s="205">
        <v>1.5192088099882619</v>
      </c>
    </row>
    <row r="1328" spans="1:6">
      <c r="A1328" s="210">
        <v>173239221</v>
      </c>
      <c r="B1328" s="202" t="s">
        <v>849</v>
      </c>
      <c r="C1328" s="203" t="s">
        <v>2143</v>
      </c>
      <c r="D1328" s="204">
        <v>1</v>
      </c>
      <c r="E1328" s="204" t="s">
        <v>235</v>
      </c>
      <c r="F1328" s="205">
        <v>2.0510863484055712</v>
      </c>
    </row>
    <row r="1329" spans="1:6">
      <c r="A1329" s="210">
        <v>173239223</v>
      </c>
      <c r="B1329" s="202" t="s">
        <v>5868</v>
      </c>
      <c r="C1329" s="203" t="s">
        <v>2143</v>
      </c>
      <c r="D1329" s="204">
        <v>1</v>
      </c>
      <c r="E1329" s="204" t="s">
        <v>235</v>
      </c>
      <c r="F1329" s="205">
        <v>2.1935793040677791</v>
      </c>
    </row>
    <row r="1330" spans="1:6">
      <c r="A1330" s="210">
        <v>173239224</v>
      </c>
      <c r="B1330" s="202" t="s">
        <v>5869</v>
      </c>
      <c r="C1330" s="203" t="s">
        <v>2143</v>
      </c>
      <c r="D1330" s="204">
        <v>1</v>
      </c>
      <c r="E1330" s="204" t="s">
        <v>235</v>
      </c>
      <c r="F1330" s="205">
        <v>10.489864581443332</v>
      </c>
    </row>
    <row r="1331" spans="1:6">
      <c r="A1331" s="210">
        <v>173239225</v>
      </c>
      <c r="B1331" s="202" t="s">
        <v>901</v>
      </c>
      <c r="C1331" s="203" t="s">
        <v>2143</v>
      </c>
      <c r="D1331" s="204">
        <v>1</v>
      </c>
      <c r="E1331" s="204" t="s">
        <v>235</v>
      </c>
      <c r="F1331" s="205">
        <v>2.5627623887798876</v>
      </c>
    </row>
    <row r="1332" spans="1:6">
      <c r="A1332" s="210">
        <v>173239250</v>
      </c>
      <c r="B1332" s="202" t="s">
        <v>3546</v>
      </c>
      <c r="C1332" s="203" t="s">
        <v>2143</v>
      </c>
      <c r="D1332" s="204">
        <v>1</v>
      </c>
      <c r="E1332" s="204" t="s">
        <v>235</v>
      </c>
      <c r="F1332" s="205">
        <v>11.072996482307648</v>
      </c>
    </row>
    <row r="1333" spans="1:6">
      <c r="A1333" s="210">
        <v>173239251</v>
      </c>
      <c r="B1333" s="202" t="s">
        <v>3548</v>
      </c>
      <c r="C1333" s="203" t="s">
        <v>2143</v>
      </c>
      <c r="D1333" s="204">
        <v>1</v>
      </c>
      <c r="E1333" s="204" t="s">
        <v>235</v>
      </c>
      <c r="F1333" s="205">
        <v>3.1959716059519647</v>
      </c>
    </row>
    <row r="1334" spans="1:6">
      <c r="A1334" s="210">
        <v>173300000</v>
      </c>
      <c r="B1334" s="202" t="s">
        <v>3550</v>
      </c>
      <c r="C1334" s="203" t="s">
        <v>2143</v>
      </c>
      <c r="D1334" s="204">
        <v>1</v>
      </c>
      <c r="E1334" s="204" t="s">
        <v>2013</v>
      </c>
      <c r="F1334" s="205">
        <v>5.0847742064055457E-3</v>
      </c>
    </row>
    <row r="1335" spans="1:6">
      <c r="A1335" s="210">
        <v>173311000</v>
      </c>
      <c r="B1335" s="202" t="s">
        <v>3552</v>
      </c>
      <c r="C1335" s="203" t="s">
        <v>2143</v>
      </c>
      <c r="D1335" s="204">
        <v>1</v>
      </c>
      <c r="E1335" s="204" t="s">
        <v>235</v>
      </c>
      <c r="F1335" s="205">
        <v>0.59037740976042263</v>
      </c>
    </row>
    <row r="1336" spans="1:6">
      <c r="A1336" s="210">
        <v>173319000</v>
      </c>
      <c r="B1336" s="202" t="s">
        <v>873</v>
      </c>
      <c r="C1336" s="203" t="s">
        <v>2143</v>
      </c>
      <c r="D1336" s="204">
        <v>1</v>
      </c>
      <c r="E1336" s="204" t="s">
        <v>2013</v>
      </c>
      <c r="F1336" s="205">
        <v>8.9575936101597003E-3</v>
      </c>
    </row>
    <row r="1337" spans="1:6">
      <c r="A1337" s="210">
        <v>173319100</v>
      </c>
      <c r="B1337" s="202" t="s">
        <v>5870</v>
      </c>
      <c r="C1337" s="203" t="s">
        <v>2143</v>
      </c>
      <c r="D1337" s="204">
        <v>1</v>
      </c>
      <c r="E1337" s="204" t="s">
        <v>235</v>
      </c>
      <c r="F1337" s="205">
        <v>10.489864581443332</v>
      </c>
    </row>
    <row r="1338" spans="1:6">
      <c r="A1338" s="210">
        <v>173319200</v>
      </c>
      <c r="B1338" s="202" t="s">
        <v>5871</v>
      </c>
      <c r="C1338" s="203" t="s">
        <v>2143</v>
      </c>
      <c r="D1338" s="204">
        <v>1</v>
      </c>
      <c r="E1338" s="204" t="s">
        <v>235</v>
      </c>
      <c r="F1338" s="205">
        <v>4.4543498894673972</v>
      </c>
    </row>
    <row r="1339" spans="1:6">
      <c r="A1339" s="210">
        <v>173319640</v>
      </c>
      <c r="B1339" s="202" t="s">
        <v>5872</v>
      </c>
      <c r="C1339" s="203" t="s">
        <v>5553</v>
      </c>
      <c r="D1339" s="204">
        <v>1</v>
      </c>
      <c r="E1339" s="204" t="s">
        <v>235</v>
      </c>
      <c r="F1339" s="205">
        <v>0</v>
      </c>
    </row>
    <row r="1340" spans="1:6">
      <c r="A1340" s="210">
        <v>173400000</v>
      </c>
      <c r="B1340" s="202" t="s">
        <v>3554</v>
      </c>
      <c r="C1340" s="203" t="s">
        <v>2143</v>
      </c>
      <c r="D1340" s="204">
        <v>1</v>
      </c>
      <c r="E1340" s="204" t="s">
        <v>235</v>
      </c>
      <c r="F1340" s="205">
        <v>2.4258157532729427</v>
      </c>
    </row>
    <row r="1341" spans="1:6">
      <c r="A1341" s="210">
        <v>173411000</v>
      </c>
      <c r="B1341" s="202" t="s">
        <v>3556</v>
      </c>
      <c r="C1341" s="203" t="s">
        <v>2143</v>
      </c>
      <c r="D1341" s="204">
        <v>1</v>
      </c>
      <c r="E1341" s="204" t="s">
        <v>235</v>
      </c>
      <c r="F1341" s="205">
        <v>2.1661754457543547</v>
      </c>
    </row>
    <row r="1342" spans="1:6">
      <c r="A1342" s="210">
        <v>173411101</v>
      </c>
      <c r="B1342" s="202" t="s">
        <v>874</v>
      </c>
      <c r="C1342" s="203" t="s">
        <v>2143</v>
      </c>
      <c r="D1342" s="204">
        <v>1</v>
      </c>
      <c r="E1342" s="204" t="s">
        <v>235</v>
      </c>
      <c r="F1342" s="205">
        <v>1.6811090407089364</v>
      </c>
    </row>
    <row r="1343" spans="1:6">
      <c r="A1343" s="210">
        <v>173411103</v>
      </c>
      <c r="B1343" s="202" t="s">
        <v>875</v>
      </c>
      <c r="C1343" s="203" t="s">
        <v>2143</v>
      </c>
      <c r="D1343" s="204">
        <v>1</v>
      </c>
      <c r="E1343" s="204" t="s">
        <v>235</v>
      </c>
      <c r="F1343" s="205">
        <v>2.4308243386273172</v>
      </c>
    </row>
    <row r="1344" spans="1:6">
      <c r="A1344" s="210">
        <v>173412000</v>
      </c>
      <c r="B1344" s="202" t="s">
        <v>876</v>
      </c>
      <c r="C1344" s="203" t="s">
        <v>2143</v>
      </c>
      <c r="D1344" s="204">
        <v>1</v>
      </c>
      <c r="E1344" s="204" t="s">
        <v>235</v>
      </c>
      <c r="F1344" s="205">
        <v>2.5521180035181059</v>
      </c>
    </row>
    <row r="1345" spans="1:6">
      <c r="A1345" s="210">
        <v>173413000</v>
      </c>
      <c r="B1345" s="202" t="s">
        <v>877</v>
      </c>
      <c r="C1345" s="203" t="s">
        <v>2143</v>
      </c>
      <c r="D1345" s="204">
        <v>1</v>
      </c>
      <c r="E1345" s="204" t="s">
        <v>235</v>
      </c>
      <c r="F1345" s="205">
        <v>3.377189452260279</v>
      </c>
    </row>
    <row r="1346" spans="1:6">
      <c r="A1346" s="210">
        <v>173414000</v>
      </c>
      <c r="B1346" s="202" t="s">
        <v>878</v>
      </c>
      <c r="C1346" s="203" t="s">
        <v>2143</v>
      </c>
      <c r="D1346" s="204">
        <v>1</v>
      </c>
      <c r="E1346" s="204" t="s">
        <v>235</v>
      </c>
      <c r="F1346" s="205">
        <v>3.1385758492103673</v>
      </c>
    </row>
    <row r="1347" spans="1:6">
      <c r="A1347" s="210">
        <v>173415000</v>
      </c>
      <c r="B1347" s="202" t="s">
        <v>880</v>
      </c>
      <c r="C1347" s="203" t="s">
        <v>2143</v>
      </c>
      <c r="D1347" s="204">
        <v>1</v>
      </c>
      <c r="E1347" s="204" t="s">
        <v>235</v>
      </c>
      <c r="F1347" s="205">
        <v>2.1185188470225342</v>
      </c>
    </row>
    <row r="1348" spans="1:6">
      <c r="A1348" s="210">
        <v>173415101</v>
      </c>
      <c r="B1348" s="202" t="s">
        <v>5873</v>
      </c>
      <c r="C1348" s="203" t="s">
        <v>2143</v>
      </c>
      <c r="D1348" s="204">
        <v>1</v>
      </c>
      <c r="E1348" s="204" t="s">
        <v>235</v>
      </c>
      <c r="F1348" s="205">
        <v>10.489864581443332</v>
      </c>
    </row>
    <row r="1349" spans="1:6">
      <c r="A1349" s="210">
        <v>173415102</v>
      </c>
      <c r="B1349" s="202" t="s">
        <v>5874</v>
      </c>
      <c r="C1349" s="203" t="s">
        <v>2143</v>
      </c>
      <c r="D1349" s="204">
        <v>1</v>
      </c>
      <c r="E1349" s="204" t="s">
        <v>235</v>
      </c>
      <c r="F1349" s="205">
        <v>3.8912968896599742</v>
      </c>
    </row>
    <row r="1350" spans="1:6">
      <c r="A1350" s="210">
        <v>173415104</v>
      </c>
      <c r="B1350" s="202" t="s">
        <v>879</v>
      </c>
      <c r="C1350" s="203" t="s">
        <v>2143</v>
      </c>
      <c r="D1350" s="204">
        <v>1</v>
      </c>
      <c r="E1350" s="204" t="s">
        <v>235</v>
      </c>
      <c r="F1350" s="205">
        <v>6.6886253718904873</v>
      </c>
    </row>
    <row r="1351" spans="1:6">
      <c r="A1351" s="210">
        <v>173416000</v>
      </c>
      <c r="B1351" s="202" t="s">
        <v>3564</v>
      </c>
      <c r="C1351" s="203" t="s">
        <v>2143</v>
      </c>
      <c r="D1351" s="204">
        <v>1</v>
      </c>
      <c r="E1351" s="204" t="s">
        <v>235</v>
      </c>
      <c r="F1351" s="205">
        <v>2.0170934572740298</v>
      </c>
    </row>
    <row r="1352" spans="1:6">
      <c r="A1352" s="210">
        <v>173417000</v>
      </c>
      <c r="B1352" s="202" t="s">
        <v>882</v>
      </c>
      <c r="C1352" s="203" t="s">
        <v>2143</v>
      </c>
      <c r="D1352" s="204">
        <v>1</v>
      </c>
      <c r="E1352" s="204" t="s">
        <v>235</v>
      </c>
      <c r="F1352" s="205">
        <v>3.0230937655001031</v>
      </c>
    </row>
    <row r="1353" spans="1:6">
      <c r="A1353" s="210">
        <v>173418000</v>
      </c>
      <c r="B1353" s="202" t="s">
        <v>883</v>
      </c>
      <c r="C1353" s="203" t="s">
        <v>2143</v>
      </c>
      <c r="D1353" s="204">
        <v>1</v>
      </c>
      <c r="E1353" s="204" t="s">
        <v>235</v>
      </c>
      <c r="F1353" s="205">
        <v>1.6012838205848903</v>
      </c>
    </row>
    <row r="1354" spans="1:6">
      <c r="A1354" s="210">
        <v>173418100</v>
      </c>
      <c r="B1354" s="202" t="s">
        <v>3568</v>
      </c>
      <c r="C1354" s="203" t="s">
        <v>2143</v>
      </c>
      <c r="D1354" s="204">
        <v>1</v>
      </c>
      <c r="E1354" s="204" t="s">
        <v>235</v>
      </c>
      <c r="F1354" s="205">
        <v>0.58368231817873473</v>
      </c>
    </row>
    <row r="1355" spans="1:6">
      <c r="A1355" s="210">
        <v>173418200</v>
      </c>
      <c r="B1355" s="202" t="s">
        <v>3570</v>
      </c>
      <c r="C1355" s="203" t="s">
        <v>2143</v>
      </c>
      <c r="D1355" s="204">
        <v>1</v>
      </c>
      <c r="E1355" s="204" t="s">
        <v>235</v>
      </c>
      <c r="F1355" s="205">
        <v>2.8958867012538838</v>
      </c>
    </row>
    <row r="1356" spans="1:6">
      <c r="A1356" s="210">
        <v>173421000</v>
      </c>
      <c r="B1356" s="202" t="s">
        <v>2005</v>
      </c>
      <c r="C1356" s="203" t="s">
        <v>2143</v>
      </c>
      <c r="D1356" s="204">
        <v>1</v>
      </c>
      <c r="E1356" s="204" t="s">
        <v>235</v>
      </c>
      <c r="F1356" s="205">
        <v>2.9326085922997827</v>
      </c>
    </row>
    <row r="1357" spans="1:6">
      <c r="A1357" s="210">
        <v>173422000</v>
      </c>
      <c r="B1357" s="202" t="s">
        <v>884</v>
      </c>
      <c r="C1357" s="203" t="s">
        <v>2143</v>
      </c>
      <c r="D1357" s="204">
        <v>1</v>
      </c>
      <c r="E1357" s="204" t="s">
        <v>235</v>
      </c>
      <c r="F1357" s="205">
        <v>2.3521509723943974</v>
      </c>
    </row>
    <row r="1358" spans="1:6">
      <c r="A1358" s="210">
        <v>173429000</v>
      </c>
      <c r="B1358" s="202" t="s">
        <v>885</v>
      </c>
      <c r="C1358" s="203" t="s">
        <v>2143</v>
      </c>
      <c r="D1358" s="204">
        <v>1</v>
      </c>
      <c r="E1358" s="204" t="s">
        <v>235</v>
      </c>
      <c r="F1358" s="205">
        <v>2.0341561008598723</v>
      </c>
    </row>
    <row r="1359" spans="1:6">
      <c r="A1359" s="210">
        <v>173429100</v>
      </c>
      <c r="B1359" s="202" t="s">
        <v>5875</v>
      </c>
      <c r="C1359" s="203" t="s">
        <v>2143</v>
      </c>
      <c r="D1359" s="204">
        <v>1</v>
      </c>
      <c r="E1359" s="204" t="s">
        <v>235</v>
      </c>
      <c r="F1359" s="205">
        <v>3.377189452260279</v>
      </c>
    </row>
    <row r="1360" spans="1:6">
      <c r="A1360" s="210">
        <v>173429101</v>
      </c>
      <c r="B1360" s="202" t="s">
        <v>905</v>
      </c>
      <c r="C1360" s="203" t="s">
        <v>2143</v>
      </c>
      <c r="D1360" s="204">
        <v>1</v>
      </c>
      <c r="E1360" s="204" t="s">
        <v>235</v>
      </c>
      <c r="F1360" s="205">
        <v>1.5240984876920058</v>
      </c>
    </row>
    <row r="1361" spans="1:6">
      <c r="A1361" s="210">
        <v>173429102</v>
      </c>
      <c r="B1361" s="202" t="s">
        <v>900</v>
      </c>
      <c r="C1361" s="203" t="s">
        <v>2143</v>
      </c>
      <c r="D1361" s="204">
        <v>1</v>
      </c>
      <c r="E1361" s="204" t="s">
        <v>235</v>
      </c>
      <c r="F1361" s="205">
        <v>4.7819644853721792</v>
      </c>
    </row>
    <row r="1362" spans="1:6">
      <c r="A1362" s="210">
        <v>173429104</v>
      </c>
      <c r="B1362" s="202" t="s">
        <v>5876</v>
      </c>
      <c r="C1362" s="203" t="s">
        <v>2143</v>
      </c>
      <c r="D1362" s="204">
        <v>1</v>
      </c>
      <c r="E1362" s="204" t="s">
        <v>235</v>
      </c>
      <c r="F1362" s="205">
        <v>6.5077159761472538</v>
      </c>
    </row>
    <row r="1363" spans="1:6">
      <c r="A1363" s="210">
        <v>173429105</v>
      </c>
      <c r="B1363" s="202" t="s">
        <v>886</v>
      </c>
      <c r="C1363" s="203" t="s">
        <v>2143</v>
      </c>
      <c r="D1363" s="204">
        <v>1</v>
      </c>
      <c r="E1363" s="204" t="s">
        <v>235</v>
      </c>
      <c r="F1363" s="205">
        <v>2.5493446424226667</v>
      </c>
    </row>
    <row r="1364" spans="1:6">
      <c r="A1364" s="210">
        <v>173429106</v>
      </c>
      <c r="B1364" s="202" t="s">
        <v>887</v>
      </c>
      <c r="C1364" s="203" t="s">
        <v>2143</v>
      </c>
      <c r="D1364" s="204">
        <v>1</v>
      </c>
      <c r="E1364" s="204" t="s">
        <v>235</v>
      </c>
      <c r="F1364" s="205">
        <v>2.5493446424226667</v>
      </c>
    </row>
    <row r="1365" spans="1:6">
      <c r="A1365" s="210">
        <v>173429107</v>
      </c>
      <c r="B1365" s="202" t="s">
        <v>902</v>
      </c>
      <c r="C1365" s="203" t="s">
        <v>2143</v>
      </c>
      <c r="D1365" s="204">
        <v>1</v>
      </c>
      <c r="E1365" s="204" t="s">
        <v>235</v>
      </c>
      <c r="F1365" s="205">
        <v>3.0816789609206263</v>
      </c>
    </row>
    <row r="1366" spans="1:6">
      <c r="A1366" s="210">
        <v>173429108</v>
      </c>
      <c r="B1366" s="202" t="s">
        <v>888</v>
      </c>
      <c r="C1366" s="203" t="s">
        <v>2143</v>
      </c>
      <c r="D1366" s="204">
        <v>1</v>
      </c>
      <c r="E1366" s="204" t="s">
        <v>235</v>
      </c>
      <c r="F1366" s="205">
        <v>2.6921517290324801</v>
      </c>
    </row>
    <row r="1367" spans="1:6">
      <c r="A1367" s="210">
        <v>173429109</v>
      </c>
      <c r="B1367" s="202" t="s">
        <v>889</v>
      </c>
      <c r="C1367" s="203" t="s">
        <v>2143</v>
      </c>
      <c r="D1367" s="204">
        <v>1</v>
      </c>
      <c r="E1367" s="204" t="s">
        <v>235</v>
      </c>
      <c r="F1367" s="205">
        <v>1.3928347864380639</v>
      </c>
    </row>
    <row r="1368" spans="1:6">
      <c r="A1368" s="210">
        <v>173429112</v>
      </c>
      <c r="B1368" s="202" t="s">
        <v>3576</v>
      </c>
      <c r="C1368" s="203" t="s">
        <v>2143</v>
      </c>
      <c r="D1368" s="204">
        <v>1</v>
      </c>
      <c r="E1368" s="204" t="s">
        <v>235</v>
      </c>
      <c r="F1368" s="205">
        <v>1.6472763843934621</v>
      </c>
    </row>
    <row r="1369" spans="1:6">
      <c r="A1369" s="210">
        <v>173429113</v>
      </c>
      <c r="B1369" s="202" t="s">
        <v>5877</v>
      </c>
      <c r="C1369" s="203" t="s">
        <v>2143</v>
      </c>
      <c r="D1369" s="204">
        <v>1</v>
      </c>
      <c r="E1369" s="204" t="s">
        <v>235</v>
      </c>
      <c r="F1369" s="205">
        <v>3.1887425553465714</v>
      </c>
    </row>
    <row r="1370" spans="1:6">
      <c r="A1370" s="210">
        <v>173429114</v>
      </c>
      <c r="B1370" s="202" t="s">
        <v>898</v>
      </c>
      <c r="C1370" s="203" t="s">
        <v>2143</v>
      </c>
      <c r="D1370" s="204">
        <v>1</v>
      </c>
      <c r="E1370" s="204" t="s">
        <v>235</v>
      </c>
      <c r="F1370" s="205">
        <v>6.9430021006441489</v>
      </c>
    </row>
    <row r="1371" spans="1:6">
      <c r="A1371" s="210">
        <v>173429115</v>
      </c>
      <c r="B1371" s="202" t="s">
        <v>890</v>
      </c>
      <c r="C1371" s="203" t="s">
        <v>2143</v>
      </c>
      <c r="D1371" s="204">
        <v>1</v>
      </c>
      <c r="E1371" s="204" t="s">
        <v>235</v>
      </c>
      <c r="F1371" s="205">
        <v>2.7818714835536129</v>
      </c>
    </row>
    <row r="1372" spans="1:6">
      <c r="A1372" s="210">
        <v>173429116</v>
      </c>
      <c r="B1372" s="202" t="s">
        <v>903</v>
      </c>
      <c r="C1372" s="203" t="s">
        <v>2143</v>
      </c>
      <c r="D1372" s="204">
        <v>1</v>
      </c>
      <c r="E1372" s="204" t="s">
        <v>235</v>
      </c>
      <c r="F1372" s="205">
        <v>3.8912968896599742</v>
      </c>
    </row>
    <row r="1373" spans="1:6">
      <c r="A1373" s="210">
        <v>173429117</v>
      </c>
      <c r="B1373" s="202" t="s">
        <v>5878</v>
      </c>
      <c r="C1373" s="203" t="s">
        <v>2143</v>
      </c>
      <c r="D1373" s="204">
        <v>1</v>
      </c>
      <c r="E1373" s="204" t="s">
        <v>235</v>
      </c>
      <c r="F1373" s="205">
        <v>10.489864581443332</v>
      </c>
    </row>
    <row r="1374" spans="1:6">
      <c r="A1374" s="210">
        <v>173429118</v>
      </c>
      <c r="B1374" s="202" t="s">
        <v>891</v>
      </c>
      <c r="C1374" s="203" t="s">
        <v>2143</v>
      </c>
      <c r="D1374" s="204">
        <v>1</v>
      </c>
      <c r="E1374" s="204" t="s">
        <v>235</v>
      </c>
      <c r="F1374" s="205">
        <v>2.5000873600652986</v>
      </c>
    </row>
    <row r="1375" spans="1:6">
      <c r="A1375" s="210">
        <v>173429119</v>
      </c>
      <c r="B1375" s="202" t="s">
        <v>5879</v>
      </c>
      <c r="C1375" s="203" t="s">
        <v>2143</v>
      </c>
      <c r="D1375" s="204">
        <v>1</v>
      </c>
      <c r="E1375" s="204" t="s">
        <v>235</v>
      </c>
      <c r="F1375" s="205">
        <v>7.3597840765921019</v>
      </c>
    </row>
    <row r="1376" spans="1:6">
      <c r="A1376" s="210">
        <v>173429120</v>
      </c>
      <c r="B1376" s="202" t="s">
        <v>5880</v>
      </c>
      <c r="C1376" s="203" t="s">
        <v>2143</v>
      </c>
      <c r="D1376" s="204">
        <v>1</v>
      </c>
      <c r="E1376" s="204" t="s">
        <v>235</v>
      </c>
      <c r="F1376" s="205">
        <v>3.4397313280541137</v>
      </c>
    </row>
    <row r="1377" spans="1:6">
      <c r="A1377" s="210">
        <v>173429121</v>
      </c>
      <c r="B1377" s="202" t="s">
        <v>904</v>
      </c>
      <c r="C1377" s="203" t="s">
        <v>2143</v>
      </c>
      <c r="D1377" s="204">
        <v>1</v>
      </c>
      <c r="E1377" s="204" t="s">
        <v>235</v>
      </c>
      <c r="F1377" s="205">
        <v>1.391636673916659</v>
      </c>
    </row>
    <row r="1378" spans="1:6">
      <c r="A1378" s="210">
        <v>173429122</v>
      </c>
      <c r="B1378" s="202" t="s">
        <v>5881</v>
      </c>
      <c r="C1378" s="203" t="s">
        <v>2143</v>
      </c>
      <c r="D1378" s="204">
        <v>1</v>
      </c>
      <c r="E1378" s="204" t="s">
        <v>235</v>
      </c>
      <c r="F1378" s="205">
        <v>3.377189452260279</v>
      </c>
    </row>
    <row r="1379" spans="1:6">
      <c r="A1379" s="210">
        <v>173429123</v>
      </c>
      <c r="B1379" s="202" t="s">
        <v>5882</v>
      </c>
      <c r="C1379" s="203" t="s">
        <v>2143</v>
      </c>
      <c r="D1379" s="204">
        <v>1</v>
      </c>
      <c r="E1379" s="204" t="s">
        <v>235</v>
      </c>
      <c r="F1379" s="205">
        <v>3.1887425553465714</v>
      </c>
    </row>
    <row r="1380" spans="1:6">
      <c r="A1380" s="210">
        <v>173429124</v>
      </c>
      <c r="B1380" s="202" t="s">
        <v>892</v>
      </c>
      <c r="C1380" s="203" t="s">
        <v>2143</v>
      </c>
      <c r="D1380" s="204">
        <v>1</v>
      </c>
      <c r="E1380" s="204" t="s">
        <v>235</v>
      </c>
      <c r="F1380" s="205">
        <v>2.3041280470468375</v>
      </c>
    </row>
    <row r="1381" spans="1:6">
      <c r="A1381" s="210">
        <v>173429125</v>
      </c>
      <c r="B1381" s="202" t="s">
        <v>893</v>
      </c>
      <c r="C1381" s="203" t="s">
        <v>2143</v>
      </c>
      <c r="D1381" s="204">
        <v>1</v>
      </c>
      <c r="E1381" s="204" t="s">
        <v>235</v>
      </c>
      <c r="F1381" s="205">
        <v>1.8876816711074078</v>
      </c>
    </row>
    <row r="1382" spans="1:6">
      <c r="A1382" s="210">
        <v>173429126</v>
      </c>
      <c r="B1382" s="202" t="s">
        <v>5883</v>
      </c>
      <c r="C1382" s="203" t="s">
        <v>2143</v>
      </c>
      <c r="D1382" s="204">
        <v>1</v>
      </c>
      <c r="E1382" s="204" t="s">
        <v>235</v>
      </c>
      <c r="F1382" s="205">
        <v>3.4420148253292768</v>
      </c>
    </row>
    <row r="1383" spans="1:6">
      <c r="A1383" s="210">
        <v>173429127</v>
      </c>
      <c r="B1383" s="202" t="s">
        <v>5884</v>
      </c>
      <c r="C1383" s="203" t="s">
        <v>2143</v>
      </c>
      <c r="D1383" s="204">
        <v>1</v>
      </c>
      <c r="E1383" s="204" t="s">
        <v>235</v>
      </c>
      <c r="F1383" s="205">
        <v>5.4674857549854989</v>
      </c>
    </row>
    <row r="1384" spans="1:6">
      <c r="A1384" s="210">
        <v>173429128</v>
      </c>
      <c r="B1384" s="202" t="s">
        <v>894</v>
      </c>
      <c r="C1384" s="203" t="s">
        <v>2143</v>
      </c>
      <c r="D1384" s="204">
        <v>1</v>
      </c>
      <c r="E1384" s="204" t="s">
        <v>235</v>
      </c>
      <c r="F1384" s="205">
        <v>2.7519883793170146</v>
      </c>
    </row>
    <row r="1385" spans="1:6">
      <c r="A1385" s="210">
        <v>173429129</v>
      </c>
      <c r="B1385" s="202" t="s">
        <v>5885</v>
      </c>
      <c r="C1385" s="203" t="s">
        <v>2143</v>
      </c>
      <c r="D1385" s="204">
        <v>1</v>
      </c>
      <c r="E1385" s="204" t="s">
        <v>235</v>
      </c>
      <c r="F1385" s="205">
        <v>10.489864581443332</v>
      </c>
    </row>
    <row r="1386" spans="1:6">
      <c r="A1386" s="210">
        <v>173429130</v>
      </c>
      <c r="B1386" s="202" t="s">
        <v>906</v>
      </c>
      <c r="C1386" s="203" t="s">
        <v>2143</v>
      </c>
      <c r="D1386" s="204">
        <v>1</v>
      </c>
      <c r="E1386" s="204" t="s">
        <v>235</v>
      </c>
      <c r="F1386" s="205">
        <v>3.1887425553465718</v>
      </c>
    </row>
    <row r="1387" spans="1:6">
      <c r="A1387" s="210">
        <v>173429131</v>
      </c>
      <c r="B1387" s="202" t="s">
        <v>907</v>
      </c>
      <c r="C1387" s="203" t="s">
        <v>2143</v>
      </c>
      <c r="D1387" s="204">
        <v>1</v>
      </c>
      <c r="E1387" s="204" t="s">
        <v>235</v>
      </c>
      <c r="F1387" s="205">
        <v>5.326688005587771</v>
      </c>
    </row>
    <row r="1388" spans="1:6">
      <c r="A1388" s="210">
        <v>173429132</v>
      </c>
      <c r="B1388" s="202" t="s">
        <v>895</v>
      </c>
      <c r="C1388" s="203" t="s">
        <v>2143</v>
      </c>
      <c r="D1388" s="204">
        <v>1</v>
      </c>
      <c r="E1388" s="204" t="s">
        <v>235</v>
      </c>
      <c r="F1388" s="205">
        <v>2.7076164047865849</v>
      </c>
    </row>
    <row r="1389" spans="1:6">
      <c r="A1389" s="210">
        <v>173429133</v>
      </c>
      <c r="B1389" s="202" t="s">
        <v>5886</v>
      </c>
      <c r="C1389" s="203" t="s">
        <v>2143</v>
      </c>
      <c r="D1389" s="204">
        <v>1</v>
      </c>
      <c r="E1389" s="204" t="s">
        <v>235</v>
      </c>
      <c r="F1389" s="205">
        <v>17.962794774404497</v>
      </c>
    </row>
    <row r="1390" spans="1:6">
      <c r="A1390" s="210">
        <v>173429135</v>
      </c>
      <c r="B1390" s="202" t="s">
        <v>5887</v>
      </c>
      <c r="C1390" s="203" t="s">
        <v>2143</v>
      </c>
      <c r="D1390" s="204">
        <v>1</v>
      </c>
      <c r="E1390" s="204" t="s">
        <v>235</v>
      </c>
      <c r="F1390" s="205">
        <v>2.9056178528193359</v>
      </c>
    </row>
    <row r="1391" spans="1:6">
      <c r="A1391" s="210">
        <v>173429136</v>
      </c>
      <c r="B1391" s="202" t="s">
        <v>896</v>
      </c>
      <c r="C1391" s="203" t="s">
        <v>2143</v>
      </c>
      <c r="D1391" s="204">
        <v>1</v>
      </c>
      <c r="E1391" s="204" t="s">
        <v>235</v>
      </c>
      <c r="F1391" s="205">
        <v>2.397347333679162</v>
      </c>
    </row>
    <row r="1392" spans="1:6">
      <c r="A1392" s="210">
        <v>173429137</v>
      </c>
      <c r="B1392" s="202" t="s">
        <v>897</v>
      </c>
      <c r="C1392" s="203" t="s">
        <v>2143</v>
      </c>
      <c r="D1392" s="204">
        <v>1</v>
      </c>
      <c r="E1392" s="204" t="s">
        <v>235</v>
      </c>
      <c r="F1392" s="205">
        <v>1.8799467525766516</v>
      </c>
    </row>
    <row r="1393" spans="1:6">
      <c r="A1393" s="210">
        <v>173429138</v>
      </c>
      <c r="B1393" s="202" t="s">
        <v>5888</v>
      </c>
      <c r="C1393" s="203" t="s">
        <v>2143</v>
      </c>
      <c r="D1393" s="204">
        <v>1</v>
      </c>
      <c r="E1393" s="204" t="s">
        <v>235</v>
      </c>
      <c r="F1393" s="205">
        <v>5.326688005587771</v>
      </c>
    </row>
    <row r="1394" spans="1:6">
      <c r="A1394" s="210">
        <v>173429201</v>
      </c>
      <c r="B1394" s="202" t="s">
        <v>899</v>
      </c>
      <c r="C1394" s="203" t="s">
        <v>2143</v>
      </c>
      <c r="D1394" s="204">
        <v>1</v>
      </c>
      <c r="E1394" s="204" t="s">
        <v>235</v>
      </c>
      <c r="F1394" s="205">
        <v>11.896834286163784</v>
      </c>
    </row>
    <row r="1395" spans="1:6">
      <c r="A1395" s="210">
        <v>173429640</v>
      </c>
      <c r="B1395" s="202" t="s">
        <v>5889</v>
      </c>
      <c r="C1395" s="203" t="s">
        <v>5553</v>
      </c>
      <c r="D1395" s="204">
        <v>1</v>
      </c>
      <c r="E1395" s="204" t="s">
        <v>235</v>
      </c>
      <c r="F1395" s="205">
        <v>0</v>
      </c>
    </row>
    <row r="1396" spans="1:6">
      <c r="A1396" s="210">
        <v>173429641</v>
      </c>
      <c r="B1396" s="202" t="s">
        <v>5890</v>
      </c>
      <c r="C1396" s="203" t="s">
        <v>5553</v>
      </c>
      <c r="D1396" s="204">
        <v>1</v>
      </c>
      <c r="E1396" s="204" t="s">
        <v>235</v>
      </c>
      <c r="F1396" s="205">
        <v>0</v>
      </c>
    </row>
    <row r="1397" spans="1:6">
      <c r="A1397" s="210">
        <v>173431000</v>
      </c>
      <c r="B1397" s="202" t="s">
        <v>908</v>
      </c>
      <c r="C1397" s="203" t="s">
        <v>2143</v>
      </c>
      <c r="D1397" s="204">
        <v>1</v>
      </c>
      <c r="E1397" s="204" t="s">
        <v>235</v>
      </c>
      <c r="F1397" s="205">
        <v>9.9764705065409522</v>
      </c>
    </row>
    <row r="1398" spans="1:6">
      <c r="A1398" s="210">
        <v>173432000</v>
      </c>
      <c r="B1398" s="202" t="s">
        <v>909</v>
      </c>
      <c r="C1398" s="203" t="s">
        <v>2143</v>
      </c>
      <c r="D1398" s="204">
        <v>1</v>
      </c>
      <c r="E1398" s="204" t="s">
        <v>235</v>
      </c>
      <c r="F1398" s="205">
        <v>7.8662478963144489</v>
      </c>
    </row>
    <row r="1399" spans="1:6">
      <c r="A1399" s="210">
        <v>173439000</v>
      </c>
      <c r="B1399" s="202" t="s">
        <v>910</v>
      </c>
      <c r="C1399" s="203" t="s">
        <v>2143</v>
      </c>
      <c r="D1399" s="204">
        <v>1</v>
      </c>
      <c r="E1399" s="204" t="s">
        <v>235</v>
      </c>
      <c r="F1399" s="205">
        <v>12.617982419911764</v>
      </c>
    </row>
    <row r="1400" spans="1:6">
      <c r="A1400" s="210">
        <v>173441000</v>
      </c>
      <c r="B1400" s="202" t="s">
        <v>911</v>
      </c>
      <c r="C1400" s="203" t="s">
        <v>2143</v>
      </c>
      <c r="D1400" s="204">
        <v>1</v>
      </c>
      <c r="E1400" s="204" t="s">
        <v>235</v>
      </c>
      <c r="F1400" s="205">
        <v>8.4151247042660877</v>
      </c>
    </row>
    <row r="1401" spans="1:6">
      <c r="A1401" s="210">
        <v>173442000</v>
      </c>
      <c r="B1401" s="202" t="s">
        <v>912</v>
      </c>
      <c r="C1401" s="203" t="s">
        <v>2143</v>
      </c>
      <c r="D1401" s="204">
        <v>1</v>
      </c>
      <c r="E1401" s="204" t="s">
        <v>235</v>
      </c>
      <c r="F1401" s="205">
        <v>11.37231076435398</v>
      </c>
    </row>
    <row r="1402" spans="1:6">
      <c r="A1402" s="210">
        <v>173500000</v>
      </c>
      <c r="B1402" s="202" t="s">
        <v>3584</v>
      </c>
      <c r="C1402" s="203" t="s">
        <v>2143</v>
      </c>
      <c r="D1402" s="204">
        <v>1</v>
      </c>
      <c r="E1402" s="204" t="s">
        <v>235</v>
      </c>
      <c r="F1402" s="205">
        <v>3.3442396431472581</v>
      </c>
    </row>
    <row r="1403" spans="1:6">
      <c r="A1403" s="210">
        <v>173511000</v>
      </c>
      <c r="B1403" s="202" t="s">
        <v>913</v>
      </c>
      <c r="C1403" s="203" t="s">
        <v>2143</v>
      </c>
      <c r="D1403" s="204">
        <v>1</v>
      </c>
      <c r="E1403" s="204" t="s">
        <v>235</v>
      </c>
      <c r="F1403" s="205">
        <v>2.7487230571079175</v>
      </c>
    </row>
    <row r="1404" spans="1:6">
      <c r="A1404" s="210">
        <v>173512000</v>
      </c>
      <c r="B1404" s="202" t="s">
        <v>3587</v>
      </c>
      <c r="C1404" s="203" t="s">
        <v>2143</v>
      </c>
      <c r="D1404" s="204">
        <v>1</v>
      </c>
      <c r="E1404" s="204" t="s">
        <v>235</v>
      </c>
      <c r="F1404" s="205">
        <v>1.9396861679958548</v>
      </c>
    </row>
    <row r="1405" spans="1:6">
      <c r="A1405" s="210">
        <v>173513000</v>
      </c>
      <c r="B1405" s="202" t="s">
        <v>3589</v>
      </c>
      <c r="C1405" s="203" t="s">
        <v>2143</v>
      </c>
      <c r="D1405" s="204">
        <v>1</v>
      </c>
      <c r="E1405" s="204" t="s">
        <v>235</v>
      </c>
      <c r="F1405" s="205">
        <v>6.8763156508516392</v>
      </c>
    </row>
    <row r="1406" spans="1:6">
      <c r="A1406" s="210">
        <v>173514000</v>
      </c>
      <c r="B1406" s="202" t="s">
        <v>914</v>
      </c>
      <c r="C1406" s="203" t="s">
        <v>2143</v>
      </c>
      <c r="D1406" s="204">
        <v>1</v>
      </c>
      <c r="E1406" s="204" t="s">
        <v>235</v>
      </c>
      <c r="F1406" s="205">
        <v>3.7180734838195915</v>
      </c>
    </row>
    <row r="1407" spans="1:6">
      <c r="A1407" s="210">
        <v>173515000</v>
      </c>
      <c r="B1407" s="202" t="s">
        <v>915</v>
      </c>
      <c r="C1407" s="203" t="s">
        <v>2143</v>
      </c>
      <c r="D1407" s="204">
        <v>1</v>
      </c>
      <c r="E1407" s="204" t="s">
        <v>235</v>
      </c>
      <c r="F1407" s="205">
        <v>5.902633412347738</v>
      </c>
    </row>
    <row r="1408" spans="1:6">
      <c r="A1408" s="210">
        <v>173516000</v>
      </c>
      <c r="B1408" s="202" t="s">
        <v>916</v>
      </c>
      <c r="C1408" s="203" t="s">
        <v>2143</v>
      </c>
      <c r="D1408" s="204">
        <v>1</v>
      </c>
      <c r="E1408" s="204" t="s">
        <v>235</v>
      </c>
      <c r="F1408" s="205">
        <v>1.957934379489696</v>
      </c>
    </row>
    <row r="1409" spans="1:6">
      <c r="A1409" s="210">
        <v>173516100</v>
      </c>
      <c r="B1409" s="202" t="s">
        <v>288</v>
      </c>
      <c r="C1409" s="203" t="s">
        <v>2143</v>
      </c>
      <c r="D1409" s="204">
        <v>1</v>
      </c>
      <c r="E1409" s="204" t="s">
        <v>235</v>
      </c>
      <c r="F1409" s="205">
        <v>1.9404946327783141</v>
      </c>
    </row>
    <row r="1410" spans="1:6">
      <c r="A1410" s="210">
        <v>173516101</v>
      </c>
      <c r="B1410" s="202" t="s">
        <v>917</v>
      </c>
      <c r="C1410" s="203" t="s">
        <v>2143</v>
      </c>
      <c r="D1410" s="204">
        <v>1</v>
      </c>
      <c r="E1410" s="204" t="s">
        <v>235</v>
      </c>
      <c r="F1410" s="205">
        <v>1.9598714323975672</v>
      </c>
    </row>
    <row r="1411" spans="1:6">
      <c r="A1411" s="210">
        <v>173516102</v>
      </c>
      <c r="B1411" s="202" t="s">
        <v>918</v>
      </c>
      <c r="C1411" s="203" t="s">
        <v>2143</v>
      </c>
      <c r="D1411" s="204">
        <v>1</v>
      </c>
      <c r="E1411" s="204" t="s">
        <v>235</v>
      </c>
      <c r="F1411" s="205">
        <v>1.9598714323975657</v>
      </c>
    </row>
    <row r="1412" spans="1:6">
      <c r="A1412" s="210">
        <v>173517000</v>
      </c>
      <c r="B1412" s="202" t="s">
        <v>289</v>
      </c>
      <c r="C1412" s="203" t="s">
        <v>2143</v>
      </c>
      <c r="D1412" s="204">
        <v>1</v>
      </c>
      <c r="E1412" s="204" t="s">
        <v>235</v>
      </c>
      <c r="F1412" s="205">
        <v>3.2549460161558059</v>
      </c>
    </row>
    <row r="1413" spans="1:6">
      <c r="A1413" s="210">
        <v>173517100</v>
      </c>
      <c r="B1413" s="202" t="s">
        <v>290</v>
      </c>
      <c r="C1413" s="203" t="s">
        <v>2143</v>
      </c>
      <c r="D1413" s="204">
        <v>1</v>
      </c>
      <c r="E1413" s="204" t="s">
        <v>235</v>
      </c>
      <c r="F1413" s="205">
        <v>3.2883227313953571</v>
      </c>
    </row>
    <row r="1414" spans="1:6">
      <c r="A1414" s="210">
        <v>173517102</v>
      </c>
      <c r="B1414" s="202" t="s">
        <v>3598</v>
      </c>
      <c r="C1414" s="203" t="s">
        <v>2143</v>
      </c>
      <c r="D1414" s="204">
        <v>1</v>
      </c>
      <c r="E1414" s="204" t="s">
        <v>235</v>
      </c>
      <c r="F1414" s="205">
        <v>2.7252293653110251</v>
      </c>
    </row>
    <row r="1415" spans="1:6">
      <c r="A1415" s="210">
        <v>173517103</v>
      </c>
      <c r="B1415" s="202" t="s">
        <v>3600</v>
      </c>
      <c r="C1415" s="203" t="s">
        <v>2143</v>
      </c>
      <c r="D1415" s="204">
        <v>1</v>
      </c>
      <c r="E1415" s="204" t="s">
        <v>235</v>
      </c>
      <c r="F1415" s="205">
        <v>3.0261384920731391</v>
      </c>
    </row>
    <row r="1416" spans="1:6">
      <c r="A1416" s="210">
        <v>173517104</v>
      </c>
      <c r="B1416" s="202" t="s">
        <v>3602</v>
      </c>
      <c r="C1416" s="203" t="s">
        <v>2143</v>
      </c>
      <c r="D1416" s="204">
        <v>1</v>
      </c>
      <c r="E1416" s="204" t="s">
        <v>235</v>
      </c>
      <c r="F1416" s="205">
        <v>2.7550119261412322</v>
      </c>
    </row>
    <row r="1417" spans="1:6">
      <c r="A1417" s="210">
        <v>173517105</v>
      </c>
      <c r="B1417" s="202" t="s">
        <v>3604</v>
      </c>
      <c r="C1417" s="203" t="s">
        <v>2143</v>
      </c>
      <c r="D1417" s="204">
        <v>1</v>
      </c>
      <c r="E1417" s="204" t="s">
        <v>235</v>
      </c>
      <c r="F1417" s="205">
        <v>4.0928874763163403</v>
      </c>
    </row>
    <row r="1418" spans="1:6">
      <c r="A1418" s="210">
        <v>173517106</v>
      </c>
      <c r="B1418" s="202" t="s">
        <v>291</v>
      </c>
      <c r="C1418" s="203" t="s">
        <v>2143</v>
      </c>
      <c r="D1418" s="204">
        <v>1</v>
      </c>
      <c r="E1418" s="204" t="s">
        <v>235</v>
      </c>
      <c r="F1418" s="205">
        <v>3.6638283133663072</v>
      </c>
    </row>
    <row r="1419" spans="1:6">
      <c r="A1419" s="210">
        <v>173517107</v>
      </c>
      <c r="B1419" s="202" t="s">
        <v>5891</v>
      </c>
      <c r="C1419" s="203" t="s">
        <v>2143</v>
      </c>
      <c r="D1419" s="204">
        <v>1</v>
      </c>
      <c r="E1419" s="204" t="s">
        <v>235</v>
      </c>
      <c r="F1419" s="205">
        <v>3.2269749431995485</v>
      </c>
    </row>
    <row r="1420" spans="1:6">
      <c r="A1420" s="210">
        <v>173518000</v>
      </c>
      <c r="B1420" s="202" t="s">
        <v>292</v>
      </c>
      <c r="C1420" s="203" t="s">
        <v>2143</v>
      </c>
      <c r="D1420" s="204">
        <v>1</v>
      </c>
      <c r="E1420" s="204" t="s">
        <v>235</v>
      </c>
      <c r="F1420" s="205">
        <v>1.9065249018422039</v>
      </c>
    </row>
    <row r="1421" spans="1:6">
      <c r="A1421" s="210">
        <v>173521000</v>
      </c>
      <c r="B1421" s="202" t="s">
        <v>3608</v>
      </c>
      <c r="C1421" s="203" t="s">
        <v>2143</v>
      </c>
      <c r="D1421" s="204">
        <v>1</v>
      </c>
      <c r="E1421" s="204" t="s">
        <v>235</v>
      </c>
      <c r="F1421" s="205">
        <v>3.458618704063595</v>
      </c>
    </row>
    <row r="1422" spans="1:6">
      <c r="A1422" s="210">
        <v>173522000</v>
      </c>
      <c r="B1422" s="202" t="s">
        <v>293</v>
      </c>
      <c r="C1422" s="203" t="s">
        <v>2143</v>
      </c>
      <c r="D1422" s="204">
        <v>1</v>
      </c>
      <c r="E1422" s="204" t="s">
        <v>235</v>
      </c>
      <c r="F1422" s="205">
        <v>3.2741420810885504</v>
      </c>
    </row>
    <row r="1423" spans="1:6">
      <c r="A1423" s="210">
        <v>173523000</v>
      </c>
      <c r="B1423" s="202" t="s">
        <v>294</v>
      </c>
      <c r="C1423" s="203" t="s">
        <v>2143</v>
      </c>
      <c r="D1423" s="204">
        <v>1</v>
      </c>
      <c r="E1423" s="204" t="s">
        <v>235</v>
      </c>
      <c r="F1423" s="205">
        <v>2.921025780526429</v>
      </c>
    </row>
    <row r="1424" spans="1:6">
      <c r="A1424" s="210">
        <v>173524000</v>
      </c>
      <c r="B1424" s="202" t="s">
        <v>295</v>
      </c>
      <c r="C1424" s="203" t="s">
        <v>2143</v>
      </c>
      <c r="D1424" s="204">
        <v>1</v>
      </c>
      <c r="E1424" s="204" t="s">
        <v>235</v>
      </c>
      <c r="F1424" s="205">
        <v>9.1121701098653585</v>
      </c>
    </row>
    <row r="1425" spans="1:6">
      <c r="A1425" s="210">
        <v>173524100</v>
      </c>
      <c r="B1425" s="202" t="s">
        <v>973</v>
      </c>
      <c r="C1425" s="203" t="s">
        <v>2143</v>
      </c>
      <c r="D1425" s="204">
        <v>1</v>
      </c>
      <c r="E1425" s="204" t="s">
        <v>235</v>
      </c>
      <c r="F1425" s="205">
        <v>4.5957713306918819</v>
      </c>
    </row>
    <row r="1426" spans="1:6">
      <c r="A1426" s="210">
        <v>173525000</v>
      </c>
      <c r="B1426" s="202" t="s">
        <v>296</v>
      </c>
      <c r="C1426" s="203" t="s">
        <v>2143</v>
      </c>
      <c r="D1426" s="204">
        <v>1</v>
      </c>
      <c r="E1426" s="204" t="s">
        <v>235</v>
      </c>
      <c r="F1426" s="205">
        <v>15.600195696311642</v>
      </c>
    </row>
    <row r="1427" spans="1:6">
      <c r="A1427" s="210">
        <v>173525100</v>
      </c>
      <c r="B1427" s="202" t="s">
        <v>839</v>
      </c>
      <c r="C1427" s="203" t="s">
        <v>2143</v>
      </c>
      <c r="D1427" s="204">
        <v>1</v>
      </c>
      <c r="E1427" s="204" t="s">
        <v>235</v>
      </c>
      <c r="F1427" s="205">
        <v>14.957979207557951</v>
      </c>
    </row>
    <row r="1428" spans="1:6">
      <c r="A1428" s="210">
        <v>173526000</v>
      </c>
      <c r="B1428" s="202" t="s">
        <v>297</v>
      </c>
      <c r="C1428" s="203" t="s">
        <v>2143</v>
      </c>
      <c r="D1428" s="204">
        <v>1</v>
      </c>
      <c r="E1428" s="204" t="s">
        <v>235</v>
      </c>
      <c r="F1428" s="205">
        <v>2.9188136475101372</v>
      </c>
    </row>
    <row r="1429" spans="1:6">
      <c r="A1429" s="210">
        <v>173527000</v>
      </c>
      <c r="B1429" s="202" t="s">
        <v>919</v>
      </c>
      <c r="C1429" s="203" t="s">
        <v>2143</v>
      </c>
      <c r="D1429" s="204">
        <v>1</v>
      </c>
      <c r="E1429" s="204" t="s">
        <v>235</v>
      </c>
      <c r="F1429" s="205">
        <v>6.0162028131036216</v>
      </c>
    </row>
    <row r="1430" spans="1:6">
      <c r="A1430" s="210">
        <v>173528000</v>
      </c>
      <c r="B1430" s="202" t="s">
        <v>920</v>
      </c>
      <c r="C1430" s="203" t="s">
        <v>2143</v>
      </c>
      <c r="D1430" s="204">
        <v>1</v>
      </c>
      <c r="E1430" s="204" t="s">
        <v>235</v>
      </c>
      <c r="F1430" s="205">
        <v>3.1019492281786927</v>
      </c>
    </row>
    <row r="1431" spans="1:6">
      <c r="A1431" s="210">
        <v>173531000</v>
      </c>
      <c r="B1431" s="202" t="s">
        <v>921</v>
      </c>
      <c r="C1431" s="203" t="s">
        <v>2143</v>
      </c>
      <c r="D1431" s="204">
        <v>1</v>
      </c>
      <c r="E1431" s="204" t="s">
        <v>235</v>
      </c>
      <c r="F1431" s="205">
        <v>3.0173939057438997</v>
      </c>
    </row>
    <row r="1432" spans="1:6">
      <c r="A1432" s="210">
        <v>173532000</v>
      </c>
      <c r="B1432" s="202" t="s">
        <v>922</v>
      </c>
      <c r="C1432" s="203" t="s">
        <v>2143</v>
      </c>
      <c r="D1432" s="204">
        <v>1</v>
      </c>
      <c r="E1432" s="204" t="s">
        <v>235</v>
      </c>
      <c r="F1432" s="205">
        <v>8.5702796941709813</v>
      </c>
    </row>
    <row r="1433" spans="1:6">
      <c r="A1433" s="210">
        <v>173532200</v>
      </c>
      <c r="B1433" s="202" t="s">
        <v>3619</v>
      </c>
      <c r="C1433" s="203" t="s">
        <v>2143</v>
      </c>
      <c r="D1433" s="204">
        <v>1</v>
      </c>
      <c r="E1433" s="204" t="s">
        <v>235</v>
      </c>
      <c r="F1433" s="205">
        <v>8.5189840745139236</v>
      </c>
    </row>
    <row r="1434" spans="1:6">
      <c r="A1434" s="210">
        <v>173532201</v>
      </c>
      <c r="B1434" s="202" t="s">
        <v>3621</v>
      </c>
      <c r="C1434" s="203" t="s">
        <v>2143</v>
      </c>
      <c r="D1434" s="204">
        <v>1</v>
      </c>
      <c r="E1434" s="204" t="s">
        <v>235</v>
      </c>
      <c r="F1434" s="205">
        <v>8.7035004825362616</v>
      </c>
    </row>
    <row r="1435" spans="1:6">
      <c r="A1435" s="210">
        <v>173539000</v>
      </c>
      <c r="B1435" s="202" t="s">
        <v>923</v>
      </c>
      <c r="C1435" s="203" t="s">
        <v>2143</v>
      </c>
      <c r="D1435" s="204">
        <v>1</v>
      </c>
      <c r="E1435" s="204" t="s">
        <v>235</v>
      </c>
      <c r="F1435" s="205">
        <v>3.3956717012089634</v>
      </c>
    </row>
    <row r="1436" spans="1:6">
      <c r="A1436" s="210">
        <v>173539100</v>
      </c>
      <c r="B1436" s="202" t="s">
        <v>924</v>
      </c>
      <c r="C1436" s="203" t="s">
        <v>2143</v>
      </c>
      <c r="D1436" s="204">
        <v>1</v>
      </c>
      <c r="E1436" s="204" t="s">
        <v>235</v>
      </c>
      <c r="F1436" s="205">
        <v>5.7030016224346403</v>
      </c>
    </row>
    <row r="1437" spans="1:6">
      <c r="A1437" s="210">
        <v>173539101</v>
      </c>
      <c r="B1437" s="202" t="s">
        <v>925</v>
      </c>
      <c r="C1437" s="203" t="s">
        <v>2143</v>
      </c>
      <c r="D1437" s="204">
        <v>1</v>
      </c>
      <c r="E1437" s="204" t="s">
        <v>235</v>
      </c>
      <c r="F1437" s="205">
        <v>5.7030050062783992</v>
      </c>
    </row>
    <row r="1438" spans="1:6">
      <c r="A1438" s="210">
        <v>173539102</v>
      </c>
      <c r="B1438" s="202" t="s">
        <v>926</v>
      </c>
      <c r="C1438" s="203" t="s">
        <v>2143</v>
      </c>
      <c r="D1438" s="204">
        <v>1</v>
      </c>
      <c r="E1438" s="204" t="s">
        <v>235</v>
      </c>
      <c r="F1438" s="205">
        <v>5.9311023417301474</v>
      </c>
    </row>
    <row r="1439" spans="1:6">
      <c r="A1439" s="210">
        <v>173539104</v>
      </c>
      <c r="B1439" s="202" t="s">
        <v>931</v>
      </c>
      <c r="C1439" s="203" t="s">
        <v>2143</v>
      </c>
      <c r="D1439" s="204">
        <v>1</v>
      </c>
      <c r="E1439" s="204" t="s">
        <v>235</v>
      </c>
      <c r="F1439" s="205">
        <v>1.8119697539733743</v>
      </c>
    </row>
    <row r="1440" spans="1:6">
      <c r="A1440" s="210">
        <v>173539105</v>
      </c>
      <c r="B1440" s="202" t="s">
        <v>932</v>
      </c>
      <c r="C1440" s="203" t="s">
        <v>2143</v>
      </c>
      <c r="D1440" s="204">
        <v>1</v>
      </c>
      <c r="E1440" s="204" t="s">
        <v>235</v>
      </c>
      <c r="F1440" s="205">
        <v>9.2990431233002262</v>
      </c>
    </row>
    <row r="1441" spans="1:6">
      <c r="A1441" s="210">
        <v>173539106</v>
      </c>
      <c r="B1441" s="202" t="s">
        <v>933</v>
      </c>
      <c r="C1441" s="203" t="s">
        <v>2143</v>
      </c>
      <c r="D1441" s="204">
        <v>1</v>
      </c>
      <c r="E1441" s="204" t="s">
        <v>235</v>
      </c>
      <c r="F1441" s="205">
        <v>3.677406763690557</v>
      </c>
    </row>
    <row r="1442" spans="1:6">
      <c r="A1442" s="210">
        <v>173539107</v>
      </c>
      <c r="B1442" s="202" t="s">
        <v>927</v>
      </c>
      <c r="C1442" s="203" t="s">
        <v>2143</v>
      </c>
      <c r="D1442" s="204">
        <v>1</v>
      </c>
      <c r="E1442" s="204" t="s">
        <v>235</v>
      </c>
      <c r="F1442" s="205">
        <v>2.2458120373958659</v>
      </c>
    </row>
    <row r="1443" spans="1:6">
      <c r="A1443" s="210">
        <v>173539108</v>
      </c>
      <c r="B1443" s="202" t="s">
        <v>928</v>
      </c>
      <c r="C1443" s="203" t="s">
        <v>2143</v>
      </c>
      <c r="D1443" s="204">
        <v>1</v>
      </c>
      <c r="E1443" s="204" t="s">
        <v>235</v>
      </c>
      <c r="F1443" s="205">
        <v>3.4286275592266335</v>
      </c>
    </row>
    <row r="1444" spans="1:6">
      <c r="A1444" s="210">
        <v>173539109</v>
      </c>
      <c r="B1444" s="202" t="s">
        <v>929</v>
      </c>
      <c r="C1444" s="203" t="s">
        <v>2143</v>
      </c>
      <c r="D1444" s="204">
        <v>1</v>
      </c>
      <c r="E1444" s="204" t="s">
        <v>235</v>
      </c>
      <c r="F1444" s="205">
        <v>3.4608570812606456</v>
      </c>
    </row>
    <row r="1445" spans="1:6">
      <c r="A1445" s="210">
        <v>173539113</v>
      </c>
      <c r="B1445" s="202" t="s">
        <v>5892</v>
      </c>
      <c r="C1445" s="203" t="s">
        <v>2143</v>
      </c>
      <c r="D1445" s="204">
        <v>1</v>
      </c>
      <c r="E1445" s="204" t="s">
        <v>235</v>
      </c>
      <c r="F1445" s="205">
        <v>4.7621874104671518</v>
      </c>
    </row>
    <row r="1446" spans="1:6">
      <c r="A1446" s="210">
        <v>173539114</v>
      </c>
      <c r="B1446" s="202" t="s">
        <v>866</v>
      </c>
      <c r="C1446" s="203" t="s">
        <v>2143</v>
      </c>
      <c r="D1446" s="204">
        <v>1</v>
      </c>
      <c r="E1446" s="204" t="s">
        <v>235</v>
      </c>
      <c r="F1446" s="205">
        <v>4.3713913047504445</v>
      </c>
    </row>
    <row r="1447" spans="1:6">
      <c r="A1447" s="210">
        <v>173539115</v>
      </c>
      <c r="B1447" s="202" t="s">
        <v>840</v>
      </c>
      <c r="C1447" s="203" t="s">
        <v>2143</v>
      </c>
      <c r="D1447" s="204">
        <v>1</v>
      </c>
      <c r="E1447" s="204" t="s">
        <v>235</v>
      </c>
      <c r="F1447" s="205">
        <v>10.457156349844789</v>
      </c>
    </row>
    <row r="1448" spans="1:6">
      <c r="A1448" s="210">
        <v>173539116</v>
      </c>
      <c r="B1448" s="202" t="s">
        <v>867</v>
      </c>
      <c r="C1448" s="203" t="s">
        <v>2143</v>
      </c>
      <c r="D1448" s="204">
        <v>1</v>
      </c>
      <c r="E1448" s="204" t="s">
        <v>235</v>
      </c>
      <c r="F1448" s="205">
        <v>3.1301717920258065</v>
      </c>
    </row>
    <row r="1449" spans="1:6">
      <c r="A1449" s="210">
        <v>173539200</v>
      </c>
      <c r="B1449" s="202" t="s">
        <v>930</v>
      </c>
      <c r="C1449" s="203" t="s">
        <v>2143</v>
      </c>
      <c r="D1449" s="204">
        <v>1</v>
      </c>
      <c r="E1449" s="204" t="s">
        <v>235</v>
      </c>
      <c r="F1449" s="205">
        <v>29.372748088786754</v>
      </c>
    </row>
    <row r="1450" spans="1:6">
      <c r="A1450" s="210">
        <v>173539201</v>
      </c>
      <c r="B1450" s="202" t="s">
        <v>5893</v>
      </c>
      <c r="C1450" s="203" t="s">
        <v>2143</v>
      </c>
      <c r="D1450" s="204">
        <v>1</v>
      </c>
      <c r="E1450" s="204" t="s">
        <v>235</v>
      </c>
      <c r="F1450" s="205">
        <v>29.412000475747181</v>
      </c>
    </row>
    <row r="1451" spans="1:6">
      <c r="A1451" s="210">
        <v>173600000</v>
      </c>
      <c r="B1451" s="202" t="s">
        <v>3625</v>
      </c>
      <c r="C1451" s="203" t="s">
        <v>2143</v>
      </c>
      <c r="D1451" s="204">
        <v>1</v>
      </c>
      <c r="E1451" s="204" t="s">
        <v>235</v>
      </c>
      <c r="F1451" s="205">
        <v>5.2178876218288046</v>
      </c>
    </row>
    <row r="1452" spans="1:6">
      <c r="A1452" s="210">
        <v>173611000</v>
      </c>
      <c r="B1452" s="202" t="s">
        <v>3627</v>
      </c>
      <c r="C1452" s="203" t="s">
        <v>2143</v>
      </c>
      <c r="D1452" s="204">
        <v>1</v>
      </c>
      <c r="E1452" s="204" t="s">
        <v>235</v>
      </c>
      <c r="F1452" s="205">
        <v>5.2178876218288046</v>
      </c>
    </row>
    <row r="1453" spans="1:6">
      <c r="A1453" s="210">
        <v>173611100</v>
      </c>
      <c r="B1453" s="202" t="s">
        <v>934</v>
      </c>
      <c r="C1453" s="203" t="s">
        <v>2143</v>
      </c>
      <c r="D1453" s="204">
        <v>1</v>
      </c>
      <c r="E1453" s="204" t="s">
        <v>235</v>
      </c>
      <c r="F1453" s="205">
        <v>6.1868523427728244</v>
      </c>
    </row>
    <row r="1454" spans="1:6">
      <c r="A1454" s="210">
        <v>173611101</v>
      </c>
      <c r="B1454" s="202" t="s">
        <v>935</v>
      </c>
      <c r="C1454" s="203" t="s">
        <v>2143</v>
      </c>
      <c r="D1454" s="204">
        <v>1</v>
      </c>
      <c r="E1454" s="204" t="s">
        <v>235</v>
      </c>
      <c r="F1454" s="205">
        <v>5.9582174165331212</v>
      </c>
    </row>
    <row r="1455" spans="1:6">
      <c r="A1455" s="210">
        <v>173611102</v>
      </c>
      <c r="B1455" s="202" t="s">
        <v>936</v>
      </c>
      <c r="C1455" s="203" t="s">
        <v>2143</v>
      </c>
      <c r="D1455" s="204">
        <v>1</v>
      </c>
      <c r="E1455" s="204" t="s">
        <v>235</v>
      </c>
      <c r="F1455" s="205">
        <v>2.7892448375810357</v>
      </c>
    </row>
    <row r="1456" spans="1:6">
      <c r="A1456" s="210">
        <v>173611103</v>
      </c>
      <c r="B1456" s="202" t="s">
        <v>3630</v>
      </c>
      <c r="C1456" s="203" t="s">
        <v>2143</v>
      </c>
      <c r="D1456" s="204">
        <v>1</v>
      </c>
      <c r="E1456" s="204" t="s">
        <v>235</v>
      </c>
      <c r="F1456" s="205">
        <v>7.0752797163728243</v>
      </c>
    </row>
    <row r="1457" spans="1:6">
      <c r="A1457" s="210">
        <v>173611104</v>
      </c>
      <c r="B1457" s="202" t="s">
        <v>937</v>
      </c>
      <c r="C1457" s="203" t="s">
        <v>2143</v>
      </c>
      <c r="D1457" s="204">
        <v>1</v>
      </c>
      <c r="E1457" s="204" t="s">
        <v>235</v>
      </c>
      <c r="F1457" s="205">
        <v>4.3108842225566146</v>
      </c>
    </row>
    <row r="1458" spans="1:6">
      <c r="A1458" s="210">
        <v>173611105</v>
      </c>
      <c r="B1458" s="202" t="s">
        <v>938</v>
      </c>
      <c r="C1458" s="203" t="s">
        <v>2143</v>
      </c>
      <c r="D1458" s="204">
        <v>1</v>
      </c>
      <c r="E1458" s="204" t="s">
        <v>235</v>
      </c>
      <c r="F1458" s="205">
        <v>2.5903928901711399</v>
      </c>
    </row>
    <row r="1459" spans="1:6">
      <c r="A1459" s="210">
        <v>173611200</v>
      </c>
      <c r="B1459" s="202" t="s">
        <v>3632</v>
      </c>
      <c r="C1459" s="203" t="s">
        <v>2143</v>
      </c>
      <c r="D1459" s="204">
        <v>1</v>
      </c>
      <c r="E1459" s="204" t="s">
        <v>235</v>
      </c>
      <c r="F1459" s="205">
        <v>28.304705317144698</v>
      </c>
    </row>
    <row r="1460" spans="1:6">
      <c r="A1460" s="210">
        <v>173900000</v>
      </c>
      <c r="B1460" s="202" t="s">
        <v>3634</v>
      </c>
      <c r="C1460" s="203" t="s">
        <v>2143</v>
      </c>
      <c r="D1460" s="204">
        <v>1</v>
      </c>
      <c r="E1460" s="204" t="s">
        <v>235</v>
      </c>
      <c r="F1460" s="205">
        <v>2.0761739367235208</v>
      </c>
    </row>
    <row r="1461" spans="1:6">
      <c r="A1461" s="210">
        <v>173911000</v>
      </c>
      <c r="B1461" s="202" t="s">
        <v>940</v>
      </c>
      <c r="C1461" s="203" t="s">
        <v>2143</v>
      </c>
      <c r="D1461" s="204">
        <v>1</v>
      </c>
      <c r="E1461" s="204" t="s">
        <v>235</v>
      </c>
      <c r="F1461" s="205">
        <v>0.46972556881560035</v>
      </c>
    </row>
    <row r="1462" spans="1:6">
      <c r="A1462" s="210">
        <v>173912000</v>
      </c>
      <c r="B1462" s="202" t="s">
        <v>3637</v>
      </c>
      <c r="C1462" s="203" t="s">
        <v>2143</v>
      </c>
      <c r="D1462" s="204">
        <v>1</v>
      </c>
      <c r="E1462" s="204" t="s">
        <v>235</v>
      </c>
      <c r="F1462" s="205">
        <v>25.742457910977279</v>
      </c>
    </row>
    <row r="1463" spans="1:6">
      <c r="A1463" s="210">
        <v>173912100</v>
      </c>
      <c r="B1463" s="202" t="s">
        <v>5894</v>
      </c>
      <c r="C1463" s="203" t="s">
        <v>2143</v>
      </c>
      <c r="D1463" s="204">
        <v>1</v>
      </c>
      <c r="E1463" s="204" t="s">
        <v>235</v>
      </c>
      <c r="F1463" s="205">
        <v>213.93421293004246</v>
      </c>
    </row>
    <row r="1464" spans="1:6">
      <c r="A1464" s="210">
        <v>173912103</v>
      </c>
      <c r="B1464" s="202" t="s">
        <v>5895</v>
      </c>
      <c r="C1464" s="203" t="s">
        <v>2143</v>
      </c>
      <c r="D1464" s="204">
        <v>1</v>
      </c>
      <c r="E1464" s="204" t="s">
        <v>235</v>
      </c>
      <c r="F1464" s="205">
        <v>213.93421293004246</v>
      </c>
    </row>
    <row r="1465" spans="1:6">
      <c r="A1465" s="210">
        <v>173912104</v>
      </c>
      <c r="B1465" s="202" t="s">
        <v>3639</v>
      </c>
      <c r="C1465" s="203" t="s">
        <v>2143</v>
      </c>
      <c r="D1465" s="204">
        <v>1</v>
      </c>
      <c r="E1465" s="204" t="s">
        <v>235</v>
      </c>
      <c r="F1465" s="205">
        <v>6.7754631943523753</v>
      </c>
    </row>
    <row r="1466" spans="1:6">
      <c r="A1466" s="210">
        <v>173912105</v>
      </c>
      <c r="B1466" s="202" t="s">
        <v>3641</v>
      </c>
      <c r="C1466" s="203" t="s">
        <v>2143</v>
      </c>
      <c r="D1466" s="204">
        <v>1</v>
      </c>
      <c r="E1466" s="204" t="s">
        <v>235</v>
      </c>
      <c r="F1466" s="205">
        <v>20.393234478563638</v>
      </c>
    </row>
    <row r="1467" spans="1:6">
      <c r="A1467" s="210">
        <v>173912106</v>
      </c>
      <c r="B1467" s="202" t="s">
        <v>5896</v>
      </c>
      <c r="C1467" s="203" t="s">
        <v>2143</v>
      </c>
      <c r="D1467" s="204">
        <v>1</v>
      </c>
      <c r="E1467" s="204" t="s">
        <v>235</v>
      </c>
      <c r="F1467" s="205">
        <v>3.3695799623036535</v>
      </c>
    </row>
    <row r="1468" spans="1:6">
      <c r="A1468" s="210">
        <v>173912107</v>
      </c>
      <c r="B1468" s="202" t="s">
        <v>941</v>
      </c>
      <c r="C1468" s="203" t="s">
        <v>2143</v>
      </c>
      <c r="D1468" s="204">
        <v>1</v>
      </c>
      <c r="E1468" s="204" t="s">
        <v>235</v>
      </c>
      <c r="F1468" s="205">
        <v>37.900567329959586</v>
      </c>
    </row>
    <row r="1469" spans="1:6">
      <c r="A1469" s="210">
        <v>173919000</v>
      </c>
      <c r="B1469" s="202" t="s">
        <v>942</v>
      </c>
      <c r="C1469" s="203" t="s">
        <v>2143</v>
      </c>
      <c r="D1469" s="204">
        <v>1</v>
      </c>
      <c r="E1469" s="204" t="s">
        <v>235</v>
      </c>
      <c r="F1469" s="205">
        <v>1.676834600233809</v>
      </c>
    </row>
    <row r="1470" spans="1:6">
      <c r="A1470" s="210">
        <v>173919100</v>
      </c>
      <c r="B1470" s="202" t="s">
        <v>943</v>
      </c>
      <c r="C1470" s="203" t="s">
        <v>2143</v>
      </c>
      <c r="D1470" s="204">
        <v>1</v>
      </c>
      <c r="E1470" s="204" t="s">
        <v>235</v>
      </c>
      <c r="F1470" s="205">
        <v>1.5486884261641756</v>
      </c>
    </row>
    <row r="1471" spans="1:6">
      <c r="A1471" s="210">
        <v>173919102</v>
      </c>
      <c r="B1471" s="202" t="s">
        <v>5897</v>
      </c>
      <c r="C1471" s="203" t="s">
        <v>2143</v>
      </c>
      <c r="D1471" s="204">
        <v>1</v>
      </c>
      <c r="E1471" s="204" t="s">
        <v>235</v>
      </c>
      <c r="F1471" s="205">
        <v>3.6774067636905583</v>
      </c>
    </row>
    <row r="1472" spans="1:6">
      <c r="A1472" s="210">
        <v>173919103</v>
      </c>
      <c r="B1472" s="202" t="s">
        <v>5898</v>
      </c>
      <c r="C1472" s="203" t="s">
        <v>2143</v>
      </c>
      <c r="D1472" s="204">
        <v>1</v>
      </c>
      <c r="E1472" s="204" t="s">
        <v>235</v>
      </c>
      <c r="F1472" s="205">
        <v>2.9056178528193359</v>
      </c>
    </row>
    <row r="1473" spans="1:6">
      <c r="A1473" s="210">
        <v>173919105</v>
      </c>
      <c r="B1473" s="202" t="s">
        <v>949</v>
      </c>
      <c r="C1473" s="203" t="s">
        <v>2143</v>
      </c>
      <c r="D1473" s="204">
        <v>1</v>
      </c>
      <c r="E1473" s="204" t="s">
        <v>235</v>
      </c>
      <c r="F1473" s="205">
        <v>2.9872617203130658</v>
      </c>
    </row>
    <row r="1474" spans="1:6">
      <c r="A1474" s="210">
        <v>173919106</v>
      </c>
      <c r="B1474" s="202" t="s">
        <v>5899</v>
      </c>
      <c r="C1474" s="203" t="s">
        <v>2143</v>
      </c>
      <c r="D1474" s="204">
        <v>1</v>
      </c>
      <c r="E1474" s="204" t="s">
        <v>235</v>
      </c>
      <c r="F1474" s="205">
        <v>2.9872617203130658</v>
      </c>
    </row>
    <row r="1475" spans="1:6">
      <c r="A1475" s="210">
        <v>173919107</v>
      </c>
      <c r="B1475" s="202" t="s">
        <v>5900</v>
      </c>
      <c r="C1475" s="203" t="s">
        <v>2143</v>
      </c>
      <c r="D1475" s="204">
        <v>1</v>
      </c>
      <c r="E1475" s="204" t="s">
        <v>235</v>
      </c>
      <c r="F1475" s="205">
        <v>2.9872617203130658</v>
      </c>
    </row>
    <row r="1476" spans="1:6">
      <c r="A1476" s="210">
        <v>173919108</v>
      </c>
      <c r="B1476" s="202" t="s">
        <v>3646</v>
      </c>
      <c r="C1476" s="203" t="s">
        <v>2143</v>
      </c>
      <c r="D1476" s="204">
        <v>1</v>
      </c>
      <c r="E1476" s="204" t="s">
        <v>235</v>
      </c>
      <c r="F1476" s="205">
        <v>2.1185188470225342</v>
      </c>
    </row>
    <row r="1477" spans="1:6">
      <c r="A1477" s="210">
        <v>173919109</v>
      </c>
      <c r="B1477" s="202" t="s">
        <v>5901</v>
      </c>
      <c r="C1477" s="203" t="s">
        <v>2143</v>
      </c>
      <c r="D1477" s="204">
        <v>1</v>
      </c>
      <c r="E1477" s="204" t="s">
        <v>235</v>
      </c>
      <c r="F1477" s="205">
        <v>3.1887425553465714</v>
      </c>
    </row>
    <row r="1478" spans="1:6">
      <c r="A1478" s="210">
        <v>173919110</v>
      </c>
      <c r="B1478" s="202" t="s">
        <v>5902</v>
      </c>
      <c r="C1478" s="203" t="s">
        <v>2143</v>
      </c>
      <c r="D1478" s="204">
        <v>1</v>
      </c>
      <c r="E1478" s="204" t="s">
        <v>235</v>
      </c>
      <c r="F1478" s="205">
        <v>6.3966810198377626</v>
      </c>
    </row>
    <row r="1479" spans="1:6">
      <c r="A1479" s="210">
        <v>173919111</v>
      </c>
      <c r="B1479" s="202" t="s">
        <v>5550</v>
      </c>
      <c r="C1479" s="203" t="s">
        <v>2143</v>
      </c>
      <c r="D1479" s="204">
        <v>1</v>
      </c>
      <c r="E1479" s="204" t="s">
        <v>235</v>
      </c>
      <c r="F1479" s="205">
        <v>1.5062789405450152</v>
      </c>
    </row>
    <row r="1480" spans="1:6">
      <c r="A1480" s="210">
        <v>173919112</v>
      </c>
      <c r="B1480" s="202" t="s">
        <v>944</v>
      </c>
      <c r="C1480" s="203" t="s">
        <v>2143</v>
      </c>
      <c r="D1480" s="204">
        <v>1</v>
      </c>
      <c r="E1480" s="204" t="s">
        <v>235</v>
      </c>
      <c r="F1480" s="205">
        <v>3.5808253804434398</v>
      </c>
    </row>
    <row r="1481" spans="1:6">
      <c r="A1481" s="210">
        <v>173919113</v>
      </c>
      <c r="B1481" s="202" t="s">
        <v>945</v>
      </c>
      <c r="C1481" s="203" t="s">
        <v>2143</v>
      </c>
      <c r="D1481" s="204">
        <v>1</v>
      </c>
      <c r="E1481" s="204" t="s">
        <v>235</v>
      </c>
      <c r="F1481" s="205">
        <v>4.4188389020696466</v>
      </c>
    </row>
    <row r="1482" spans="1:6">
      <c r="A1482" s="210">
        <v>173919114</v>
      </c>
      <c r="B1482" s="202" t="s">
        <v>946</v>
      </c>
      <c r="C1482" s="203" t="s">
        <v>2143</v>
      </c>
      <c r="D1482" s="204">
        <v>1</v>
      </c>
      <c r="E1482" s="204" t="s">
        <v>235</v>
      </c>
      <c r="F1482" s="205">
        <v>2.8484481253422196</v>
      </c>
    </row>
    <row r="1483" spans="1:6">
      <c r="A1483" s="210">
        <v>173919115</v>
      </c>
      <c r="B1483" s="202" t="s">
        <v>947</v>
      </c>
      <c r="C1483" s="203" t="s">
        <v>2143</v>
      </c>
      <c r="D1483" s="204">
        <v>1</v>
      </c>
      <c r="E1483" s="204" t="s">
        <v>235</v>
      </c>
      <c r="F1483" s="205">
        <v>3.201149045177071</v>
      </c>
    </row>
    <row r="1484" spans="1:6">
      <c r="A1484" s="210">
        <v>173919116</v>
      </c>
      <c r="B1484" s="202" t="s">
        <v>948</v>
      </c>
      <c r="C1484" s="203" t="s">
        <v>2143</v>
      </c>
      <c r="D1484" s="204">
        <v>1</v>
      </c>
      <c r="E1484" s="204" t="s">
        <v>235</v>
      </c>
      <c r="F1484" s="205">
        <v>3.4174402590304296</v>
      </c>
    </row>
    <row r="1485" spans="1:6">
      <c r="A1485" s="210">
        <v>173919801</v>
      </c>
      <c r="B1485" s="202" t="s">
        <v>3649</v>
      </c>
      <c r="C1485" s="203" t="s">
        <v>2143</v>
      </c>
      <c r="D1485" s="204">
        <v>1</v>
      </c>
      <c r="E1485" s="204" t="s">
        <v>279</v>
      </c>
      <c r="F1485" s="205">
        <v>0.12879681163015649</v>
      </c>
    </row>
    <row r="1486" spans="1:6">
      <c r="A1486" s="210">
        <v>173919802</v>
      </c>
      <c r="B1486" s="202" t="s">
        <v>3651</v>
      </c>
      <c r="C1486" s="203" t="s">
        <v>2143</v>
      </c>
      <c r="D1486" s="204">
        <v>1</v>
      </c>
      <c r="E1486" s="204" t="s">
        <v>279</v>
      </c>
      <c r="F1486" s="205">
        <v>0.1502047797261987</v>
      </c>
    </row>
    <row r="1487" spans="1:6">
      <c r="A1487" s="210">
        <v>173919803</v>
      </c>
      <c r="B1487" s="202" t="s">
        <v>3653</v>
      </c>
      <c r="C1487" s="203" t="s">
        <v>2143</v>
      </c>
      <c r="D1487" s="204">
        <v>1</v>
      </c>
      <c r="E1487" s="204" t="s">
        <v>279</v>
      </c>
      <c r="F1487" s="205">
        <v>4.9658487234610083E-2</v>
      </c>
    </row>
    <row r="1488" spans="1:6">
      <c r="A1488" s="210">
        <v>173921000</v>
      </c>
      <c r="B1488" s="202" t="s">
        <v>950</v>
      </c>
      <c r="C1488" s="203" t="s">
        <v>2143</v>
      </c>
      <c r="D1488" s="204">
        <v>1</v>
      </c>
      <c r="E1488" s="204" t="s">
        <v>235</v>
      </c>
      <c r="F1488" s="205">
        <v>1.7204712282855208</v>
      </c>
    </row>
    <row r="1489" spans="1:6">
      <c r="A1489" s="210">
        <v>173922000</v>
      </c>
      <c r="B1489" s="202" t="s">
        <v>951</v>
      </c>
      <c r="C1489" s="203" t="s">
        <v>2143</v>
      </c>
      <c r="D1489" s="204">
        <v>1</v>
      </c>
      <c r="E1489" s="204" t="s">
        <v>235</v>
      </c>
      <c r="F1489" s="205">
        <v>1.7204712282855208</v>
      </c>
    </row>
    <row r="1490" spans="1:6">
      <c r="A1490" s="210">
        <v>173923000</v>
      </c>
      <c r="B1490" s="202" t="s">
        <v>2007</v>
      </c>
      <c r="C1490" s="203" t="s">
        <v>2143</v>
      </c>
      <c r="D1490" s="204">
        <v>1</v>
      </c>
      <c r="E1490" s="204" t="s">
        <v>235</v>
      </c>
      <c r="F1490" s="205">
        <v>5.4620923564995844E-2</v>
      </c>
    </row>
    <row r="1491" spans="1:6">
      <c r="A1491" s="210">
        <v>173929000</v>
      </c>
      <c r="B1491" s="202" t="s">
        <v>952</v>
      </c>
      <c r="C1491" s="203" t="s">
        <v>2143</v>
      </c>
      <c r="D1491" s="204">
        <v>1</v>
      </c>
      <c r="E1491" s="204" t="s">
        <v>235</v>
      </c>
      <c r="F1491" s="205">
        <v>1.5839479266235816</v>
      </c>
    </row>
    <row r="1492" spans="1:6">
      <c r="A1492" s="210">
        <v>173929100</v>
      </c>
      <c r="B1492" s="202" t="s">
        <v>5903</v>
      </c>
      <c r="C1492" s="203" t="s">
        <v>2143</v>
      </c>
      <c r="D1492" s="204">
        <v>1</v>
      </c>
      <c r="E1492" s="204" t="s">
        <v>235</v>
      </c>
      <c r="F1492" s="205">
        <v>2.1088770663226732</v>
      </c>
    </row>
    <row r="1493" spans="1:6">
      <c r="A1493" s="210">
        <v>173929102</v>
      </c>
      <c r="B1493" s="202" t="s">
        <v>5904</v>
      </c>
      <c r="C1493" s="203" t="s">
        <v>2143</v>
      </c>
      <c r="D1493" s="204">
        <v>1</v>
      </c>
      <c r="E1493" s="204" t="s">
        <v>235</v>
      </c>
      <c r="F1493" s="205">
        <v>2.0333447030325171</v>
      </c>
    </row>
    <row r="1494" spans="1:6">
      <c r="A1494" s="210">
        <v>173929106</v>
      </c>
      <c r="B1494" s="202" t="s">
        <v>5905</v>
      </c>
      <c r="C1494" s="203" t="s">
        <v>2143</v>
      </c>
      <c r="D1494" s="204">
        <v>1</v>
      </c>
      <c r="E1494" s="204" t="s">
        <v>235</v>
      </c>
      <c r="F1494" s="205">
        <v>1.9293500681991824</v>
      </c>
    </row>
    <row r="1495" spans="1:6">
      <c r="A1495" s="210">
        <v>173929107</v>
      </c>
      <c r="B1495" s="202" t="s">
        <v>5906</v>
      </c>
      <c r="C1495" s="203" t="s">
        <v>2143</v>
      </c>
      <c r="D1495" s="204">
        <v>1</v>
      </c>
      <c r="E1495" s="204" t="s">
        <v>235</v>
      </c>
      <c r="F1495" s="205">
        <v>2.5627623887798876</v>
      </c>
    </row>
    <row r="1496" spans="1:6">
      <c r="A1496" s="210">
        <v>173929108</v>
      </c>
      <c r="B1496" s="202" t="s">
        <v>5907</v>
      </c>
      <c r="C1496" s="203" t="s">
        <v>2143</v>
      </c>
      <c r="D1496" s="204">
        <v>1</v>
      </c>
      <c r="E1496" s="204" t="s">
        <v>235</v>
      </c>
      <c r="F1496" s="205">
        <v>1.9925927622265085</v>
      </c>
    </row>
    <row r="1497" spans="1:6">
      <c r="A1497" s="210">
        <v>173929109</v>
      </c>
      <c r="B1497" s="202" t="s">
        <v>5908</v>
      </c>
      <c r="C1497" s="203" t="s">
        <v>2143</v>
      </c>
      <c r="D1497" s="204">
        <v>1</v>
      </c>
      <c r="E1497" s="204" t="s">
        <v>235</v>
      </c>
      <c r="F1497" s="205">
        <v>0.71370341374932889</v>
      </c>
    </row>
    <row r="1498" spans="1:6">
      <c r="A1498" s="210">
        <v>173929112</v>
      </c>
      <c r="B1498" s="202" t="s">
        <v>5909</v>
      </c>
      <c r="C1498" s="203" t="s">
        <v>2143</v>
      </c>
      <c r="D1498" s="204">
        <v>1</v>
      </c>
      <c r="E1498" s="204" t="s">
        <v>235</v>
      </c>
      <c r="F1498" s="205">
        <v>2.1185188470225342</v>
      </c>
    </row>
    <row r="1499" spans="1:6">
      <c r="A1499" s="210">
        <v>173929113</v>
      </c>
      <c r="B1499" s="202" t="s">
        <v>5910</v>
      </c>
      <c r="C1499" s="203" t="s">
        <v>2143</v>
      </c>
      <c r="D1499" s="204">
        <v>1</v>
      </c>
      <c r="E1499" s="204" t="s">
        <v>235</v>
      </c>
      <c r="F1499" s="205">
        <v>1.9925927622265085</v>
      </c>
    </row>
    <row r="1500" spans="1:6">
      <c r="A1500" s="210">
        <v>173929114</v>
      </c>
      <c r="B1500" s="202" t="s">
        <v>5911</v>
      </c>
      <c r="C1500" s="203" t="s">
        <v>2143</v>
      </c>
      <c r="D1500" s="204">
        <v>1</v>
      </c>
      <c r="E1500" s="204" t="s">
        <v>235</v>
      </c>
      <c r="F1500" s="205">
        <v>0.71370341374932889</v>
      </c>
    </row>
    <row r="1501" spans="1:6">
      <c r="A1501" s="210">
        <v>173929117</v>
      </c>
      <c r="B1501" s="202" t="s">
        <v>5912</v>
      </c>
      <c r="C1501" s="203" t="s">
        <v>2143</v>
      </c>
      <c r="D1501" s="204">
        <v>1</v>
      </c>
      <c r="E1501" s="204" t="s">
        <v>235</v>
      </c>
      <c r="F1501" s="205">
        <v>1.9925927622265085</v>
      </c>
    </row>
    <row r="1502" spans="1:6">
      <c r="A1502" s="210">
        <v>173929118</v>
      </c>
      <c r="B1502" s="202" t="s">
        <v>5913</v>
      </c>
      <c r="C1502" s="203" t="s">
        <v>2143</v>
      </c>
      <c r="D1502" s="204">
        <v>1</v>
      </c>
      <c r="E1502" s="204" t="s">
        <v>235</v>
      </c>
      <c r="F1502" s="205">
        <v>0.71370341374932889</v>
      </c>
    </row>
    <row r="1503" spans="1:6">
      <c r="A1503" s="210">
        <v>173929120</v>
      </c>
      <c r="B1503" s="202" t="s">
        <v>5914</v>
      </c>
      <c r="C1503" s="203" t="s">
        <v>2143</v>
      </c>
      <c r="D1503" s="204">
        <v>1</v>
      </c>
      <c r="E1503" s="204" t="s">
        <v>235</v>
      </c>
      <c r="F1503" s="205">
        <v>0.68294656107646912</v>
      </c>
    </row>
    <row r="1504" spans="1:6">
      <c r="A1504" s="210">
        <v>173929122</v>
      </c>
      <c r="B1504" s="202" t="s">
        <v>953</v>
      </c>
      <c r="C1504" s="203" t="s">
        <v>2143</v>
      </c>
      <c r="D1504" s="204">
        <v>1</v>
      </c>
      <c r="E1504" s="204" t="s">
        <v>235</v>
      </c>
      <c r="F1504" s="205">
        <v>2.5216182174222332</v>
      </c>
    </row>
    <row r="1505" spans="1:6">
      <c r="A1505" s="210">
        <v>173929123</v>
      </c>
      <c r="B1505" s="202" t="s">
        <v>954</v>
      </c>
      <c r="C1505" s="203" t="s">
        <v>2143</v>
      </c>
      <c r="D1505" s="204">
        <v>1</v>
      </c>
      <c r="E1505" s="204" t="s">
        <v>235</v>
      </c>
      <c r="F1505" s="205">
        <v>2.5216182174222332</v>
      </c>
    </row>
    <row r="1506" spans="1:6">
      <c r="A1506" s="210">
        <v>173929124</v>
      </c>
      <c r="B1506" s="202" t="s">
        <v>5915</v>
      </c>
      <c r="C1506" s="203" t="s">
        <v>2143</v>
      </c>
      <c r="D1506" s="204">
        <v>1</v>
      </c>
      <c r="E1506" s="204" t="s">
        <v>235</v>
      </c>
      <c r="F1506" s="205">
        <v>1.1978162878749843</v>
      </c>
    </row>
    <row r="1507" spans="1:6">
      <c r="A1507" s="210">
        <v>173929125</v>
      </c>
      <c r="B1507" s="202" t="s">
        <v>5916</v>
      </c>
      <c r="C1507" s="203" t="s">
        <v>2143</v>
      </c>
      <c r="D1507" s="204">
        <v>1</v>
      </c>
      <c r="E1507" s="204" t="s">
        <v>235</v>
      </c>
      <c r="F1507" s="205">
        <v>1.1978162878749843</v>
      </c>
    </row>
    <row r="1508" spans="1:6">
      <c r="A1508" s="210">
        <v>173929126</v>
      </c>
      <c r="B1508" s="202" t="s">
        <v>5917</v>
      </c>
      <c r="C1508" s="203" t="s">
        <v>2143</v>
      </c>
      <c r="D1508" s="204">
        <v>1</v>
      </c>
      <c r="E1508" s="204" t="s">
        <v>235</v>
      </c>
      <c r="F1508" s="205">
        <v>1.1978162878749843</v>
      </c>
    </row>
    <row r="1509" spans="1:6">
      <c r="A1509" s="210">
        <v>173931000</v>
      </c>
      <c r="B1509" s="202" t="s">
        <v>955</v>
      </c>
      <c r="C1509" s="203" t="s">
        <v>2143</v>
      </c>
      <c r="D1509" s="204">
        <v>1</v>
      </c>
      <c r="E1509" s="204" t="s">
        <v>235</v>
      </c>
      <c r="F1509" s="205">
        <v>2.7453352008666858</v>
      </c>
    </row>
    <row r="1510" spans="1:6">
      <c r="A1510" s="210">
        <v>173939000</v>
      </c>
      <c r="B1510" s="202" t="s">
        <v>956</v>
      </c>
      <c r="C1510" s="203" t="s">
        <v>2143</v>
      </c>
      <c r="D1510" s="204">
        <v>1</v>
      </c>
      <c r="E1510" s="204" t="s">
        <v>235</v>
      </c>
      <c r="F1510" s="205">
        <v>6.183433316958018</v>
      </c>
    </row>
    <row r="1511" spans="1:6">
      <c r="A1511" s="210">
        <v>173941000</v>
      </c>
      <c r="B1511" s="202" t="s">
        <v>957</v>
      </c>
      <c r="C1511" s="203" t="s">
        <v>2143</v>
      </c>
      <c r="D1511" s="204">
        <v>1</v>
      </c>
      <c r="E1511" s="204" t="s">
        <v>235</v>
      </c>
      <c r="F1511" s="205">
        <v>7.3624009626779916</v>
      </c>
    </row>
    <row r="1512" spans="1:6">
      <c r="A1512" s="210">
        <v>173942000</v>
      </c>
      <c r="B1512" s="202" t="s">
        <v>3662</v>
      </c>
      <c r="C1512" s="203" t="s">
        <v>2143</v>
      </c>
      <c r="D1512" s="204">
        <v>1</v>
      </c>
      <c r="E1512" s="204" t="s">
        <v>235</v>
      </c>
      <c r="F1512" s="205">
        <v>3.4065373330826989</v>
      </c>
    </row>
    <row r="1513" spans="1:6">
      <c r="A1513" s="210">
        <v>173949000</v>
      </c>
      <c r="B1513" s="202" t="s">
        <v>958</v>
      </c>
      <c r="C1513" s="203" t="s">
        <v>2143</v>
      </c>
      <c r="D1513" s="204">
        <v>1</v>
      </c>
      <c r="E1513" s="204" t="s">
        <v>235</v>
      </c>
      <c r="F1513" s="205">
        <v>1.8163244965796153</v>
      </c>
    </row>
    <row r="1514" spans="1:6">
      <c r="A1514" s="210">
        <v>173949100</v>
      </c>
      <c r="B1514" s="202" t="s">
        <v>959</v>
      </c>
      <c r="C1514" s="203" t="s">
        <v>2143</v>
      </c>
      <c r="D1514" s="204">
        <v>1</v>
      </c>
      <c r="E1514" s="204" t="s">
        <v>235</v>
      </c>
      <c r="F1514" s="205">
        <v>4.5944403701803003</v>
      </c>
    </row>
    <row r="1515" spans="1:6">
      <c r="A1515" s="210">
        <v>173949101</v>
      </c>
      <c r="B1515" s="202" t="s">
        <v>960</v>
      </c>
      <c r="C1515" s="203" t="s">
        <v>2143</v>
      </c>
      <c r="D1515" s="204">
        <v>1</v>
      </c>
      <c r="E1515" s="204" t="s">
        <v>235</v>
      </c>
      <c r="F1515" s="205">
        <v>7.6943328246268941</v>
      </c>
    </row>
    <row r="1516" spans="1:6">
      <c r="A1516" s="210">
        <v>173949102</v>
      </c>
      <c r="B1516" s="202" t="s">
        <v>5918</v>
      </c>
      <c r="C1516" s="203" t="s">
        <v>2143</v>
      </c>
      <c r="D1516" s="204">
        <v>1</v>
      </c>
      <c r="E1516" s="204" t="s">
        <v>235</v>
      </c>
      <c r="F1516" s="205">
        <v>6.8406588100565191</v>
      </c>
    </row>
    <row r="1517" spans="1:6">
      <c r="A1517" s="210">
        <v>173949103</v>
      </c>
      <c r="B1517" s="202" t="s">
        <v>5919</v>
      </c>
      <c r="C1517" s="203" t="s">
        <v>2143</v>
      </c>
      <c r="D1517" s="204">
        <v>1</v>
      </c>
      <c r="E1517" s="204" t="s">
        <v>235</v>
      </c>
      <c r="F1517" s="205">
        <v>4.63739489054909</v>
      </c>
    </row>
    <row r="1518" spans="1:6">
      <c r="A1518" s="210">
        <v>173949104</v>
      </c>
      <c r="B1518" s="202" t="s">
        <v>961</v>
      </c>
      <c r="C1518" s="203" t="s">
        <v>2143</v>
      </c>
      <c r="D1518" s="204">
        <v>1</v>
      </c>
      <c r="E1518" s="204" t="s">
        <v>235</v>
      </c>
      <c r="F1518" s="205">
        <v>4.9988029626965407</v>
      </c>
    </row>
    <row r="1519" spans="1:6">
      <c r="A1519" s="210">
        <v>173949105</v>
      </c>
      <c r="B1519" s="202" t="s">
        <v>962</v>
      </c>
      <c r="C1519" s="203" t="s">
        <v>2143</v>
      </c>
      <c r="D1519" s="204">
        <v>1</v>
      </c>
      <c r="E1519" s="204" t="s">
        <v>235</v>
      </c>
      <c r="F1519" s="205">
        <v>1.4772727318525822</v>
      </c>
    </row>
    <row r="1520" spans="1:6">
      <c r="A1520" s="210">
        <v>173949106</v>
      </c>
      <c r="B1520" s="202" t="s">
        <v>5920</v>
      </c>
      <c r="C1520" s="203" t="s">
        <v>2143</v>
      </c>
      <c r="D1520" s="204">
        <v>1</v>
      </c>
      <c r="E1520" s="204" t="s">
        <v>235</v>
      </c>
      <c r="F1520" s="205">
        <v>2.9237620159617843</v>
      </c>
    </row>
    <row r="1521" spans="1:6">
      <c r="A1521" s="210">
        <v>173949108</v>
      </c>
      <c r="B1521" s="202" t="s">
        <v>5921</v>
      </c>
      <c r="C1521" s="203" t="s">
        <v>2143</v>
      </c>
      <c r="D1521" s="204">
        <v>1</v>
      </c>
      <c r="E1521" s="204" t="s">
        <v>235</v>
      </c>
      <c r="F1521" s="205">
        <v>1.6288809772536104</v>
      </c>
    </row>
    <row r="1522" spans="1:6">
      <c r="A1522" s="210">
        <v>173949109</v>
      </c>
      <c r="B1522" s="202" t="s">
        <v>5922</v>
      </c>
      <c r="C1522" s="203" t="s">
        <v>2143</v>
      </c>
      <c r="D1522" s="204">
        <v>1</v>
      </c>
      <c r="E1522" s="204" t="s">
        <v>235</v>
      </c>
      <c r="F1522" s="205">
        <v>2.6699177767537146</v>
      </c>
    </row>
    <row r="1523" spans="1:6">
      <c r="A1523" s="210">
        <v>173949110</v>
      </c>
      <c r="B1523" s="202" t="s">
        <v>5923</v>
      </c>
      <c r="C1523" s="203" t="s">
        <v>2143</v>
      </c>
      <c r="D1523" s="204">
        <v>1</v>
      </c>
      <c r="E1523" s="204" t="s">
        <v>235</v>
      </c>
      <c r="F1523" s="205">
        <v>12.84635991168984</v>
      </c>
    </row>
    <row r="1524" spans="1:6">
      <c r="A1524" s="210">
        <v>173949111</v>
      </c>
      <c r="B1524" s="202" t="s">
        <v>5924</v>
      </c>
      <c r="C1524" s="203" t="s">
        <v>2143</v>
      </c>
      <c r="D1524" s="204">
        <v>1</v>
      </c>
      <c r="E1524" s="204" t="s">
        <v>235</v>
      </c>
      <c r="F1524" s="205">
        <v>7.021737240031551</v>
      </c>
    </row>
    <row r="1525" spans="1:6">
      <c r="A1525" s="210">
        <v>173949112</v>
      </c>
      <c r="B1525" s="202" t="s">
        <v>963</v>
      </c>
      <c r="C1525" s="203" t="s">
        <v>2143</v>
      </c>
      <c r="D1525" s="204">
        <v>1</v>
      </c>
      <c r="E1525" s="204" t="s">
        <v>235</v>
      </c>
      <c r="F1525" s="205">
        <v>2.791020099775618</v>
      </c>
    </row>
    <row r="1526" spans="1:6">
      <c r="A1526" s="210">
        <v>173949113</v>
      </c>
      <c r="B1526" s="202" t="s">
        <v>966</v>
      </c>
      <c r="C1526" s="203" t="s">
        <v>2143</v>
      </c>
      <c r="D1526" s="204">
        <v>1</v>
      </c>
      <c r="E1526" s="204" t="s">
        <v>235</v>
      </c>
      <c r="F1526" s="205">
        <v>2.477272569053147</v>
      </c>
    </row>
    <row r="1527" spans="1:6">
      <c r="A1527" s="210">
        <v>173949114</v>
      </c>
      <c r="B1527" s="202" t="s">
        <v>967</v>
      </c>
      <c r="C1527" s="203" t="s">
        <v>2143</v>
      </c>
      <c r="D1527" s="204">
        <v>1</v>
      </c>
      <c r="E1527" s="204" t="s">
        <v>235</v>
      </c>
      <c r="F1527" s="205">
        <v>14.087508197798414</v>
      </c>
    </row>
    <row r="1528" spans="1:6">
      <c r="A1528" s="210">
        <v>173949115</v>
      </c>
      <c r="B1528" s="202" t="s">
        <v>964</v>
      </c>
      <c r="C1528" s="203" t="s">
        <v>2143</v>
      </c>
      <c r="D1528" s="204">
        <v>1</v>
      </c>
      <c r="E1528" s="204" t="s">
        <v>235</v>
      </c>
      <c r="F1528" s="205">
        <v>4.4878645944858651</v>
      </c>
    </row>
    <row r="1529" spans="1:6">
      <c r="A1529" s="210">
        <v>173949116</v>
      </c>
      <c r="B1529" s="202" t="s">
        <v>968</v>
      </c>
      <c r="C1529" s="203" t="s">
        <v>2143</v>
      </c>
      <c r="D1529" s="204">
        <v>1</v>
      </c>
      <c r="E1529" s="204" t="s">
        <v>235</v>
      </c>
      <c r="F1529" s="205">
        <v>3.0082977963293756</v>
      </c>
    </row>
    <row r="1530" spans="1:6">
      <c r="A1530" s="210">
        <v>173949117</v>
      </c>
      <c r="B1530" s="202" t="s">
        <v>965</v>
      </c>
      <c r="C1530" s="203" t="s">
        <v>2143</v>
      </c>
      <c r="D1530" s="204">
        <v>1</v>
      </c>
      <c r="E1530" s="204" t="s">
        <v>235</v>
      </c>
      <c r="F1530" s="205">
        <v>5.0773713783190848</v>
      </c>
    </row>
    <row r="1531" spans="1:6">
      <c r="A1531" s="210">
        <v>173949118</v>
      </c>
      <c r="B1531" s="202" t="s">
        <v>969</v>
      </c>
      <c r="C1531" s="203" t="s">
        <v>2143</v>
      </c>
      <c r="D1531" s="204">
        <v>1</v>
      </c>
      <c r="E1531" s="204" t="s">
        <v>235</v>
      </c>
      <c r="F1531" s="205">
        <v>2.1088770663226639</v>
      </c>
    </row>
    <row r="1532" spans="1:6">
      <c r="A1532" s="210">
        <v>173949119</v>
      </c>
      <c r="B1532" s="202" t="s">
        <v>5925</v>
      </c>
      <c r="C1532" s="203" t="s">
        <v>2143</v>
      </c>
      <c r="D1532" s="204">
        <v>1</v>
      </c>
      <c r="E1532" s="204" t="s">
        <v>235</v>
      </c>
      <c r="F1532" s="205">
        <v>2.538717232856837</v>
      </c>
    </row>
    <row r="1533" spans="1:6">
      <c r="A1533" s="210">
        <v>173949120</v>
      </c>
      <c r="B1533" s="202" t="s">
        <v>5926</v>
      </c>
      <c r="C1533" s="203" t="s">
        <v>2143</v>
      </c>
      <c r="D1533" s="204">
        <v>1</v>
      </c>
      <c r="E1533" s="204" t="s">
        <v>235</v>
      </c>
      <c r="F1533" s="205">
        <v>1.9404946327783141</v>
      </c>
    </row>
    <row r="1534" spans="1:6">
      <c r="A1534" s="210">
        <v>173949121</v>
      </c>
      <c r="B1534" s="202" t="s">
        <v>5927</v>
      </c>
      <c r="C1534" s="203" t="s">
        <v>2143</v>
      </c>
      <c r="D1534" s="204">
        <v>1</v>
      </c>
      <c r="E1534" s="204" t="s">
        <v>235</v>
      </c>
      <c r="F1534" s="205">
        <v>3.0816789609206263</v>
      </c>
    </row>
    <row r="1535" spans="1:6">
      <c r="A1535" s="210">
        <v>173949122</v>
      </c>
      <c r="B1535" s="202" t="s">
        <v>5928</v>
      </c>
      <c r="C1535" s="203" t="s">
        <v>2143</v>
      </c>
      <c r="D1535" s="204">
        <v>1</v>
      </c>
      <c r="E1535" s="204" t="s">
        <v>235</v>
      </c>
      <c r="F1535" s="205">
        <v>1.0846669951259509</v>
      </c>
    </row>
    <row r="1536" spans="1:6">
      <c r="A1536" s="210">
        <v>173949123</v>
      </c>
      <c r="B1536" s="202" t="s">
        <v>5929</v>
      </c>
      <c r="C1536" s="203" t="s">
        <v>2143</v>
      </c>
      <c r="D1536" s="204">
        <v>1</v>
      </c>
      <c r="E1536" s="204" t="s">
        <v>235</v>
      </c>
      <c r="F1536" s="205">
        <v>1.0846669951259509</v>
      </c>
    </row>
    <row r="1537" spans="1:6">
      <c r="A1537" s="210">
        <v>173949640</v>
      </c>
      <c r="B1537" s="202" t="s">
        <v>5930</v>
      </c>
      <c r="C1537" s="203" t="s">
        <v>5553</v>
      </c>
      <c r="D1537" s="204">
        <v>1</v>
      </c>
      <c r="E1537" s="204" t="s">
        <v>235</v>
      </c>
      <c r="F1537" s="205">
        <v>0</v>
      </c>
    </row>
    <row r="1538" spans="1:6">
      <c r="A1538" s="210">
        <v>173949802</v>
      </c>
      <c r="B1538" s="202" t="s">
        <v>3666</v>
      </c>
      <c r="C1538" s="203" t="s">
        <v>2143</v>
      </c>
      <c r="D1538" s="204">
        <v>1</v>
      </c>
      <c r="E1538" s="204" t="s">
        <v>279</v>
      </c>
      <c r="F1538" s="205">
        <v>0.1983586890912708</v>
      </c>
    </row>
    <row r="1539" spans="1:6">
      <c r="A1539" s="210">
        <v>174100000</v>
      </c>
      <c r="B1539" s="202" t="s">
        <v>3668</v>
      </c>
      <c r="C1539" s="203" t="s">
        <v>2143</v>
      </c>
      <c r="D1539" s="204">
        <v>1</v>
      </c>
      <c r="E1539" s="204" t="s">
        <v>235</v>
      </c>
      <c r="F1539" s="205">
        <v>8.4487935340609788</v>
      </c>
    </row>
    <row r="1540" spans="1:6">
      <c r="A1540" s="210">
        <v>174100940</v>
      </c>
      <c r="B1540" s="202" t="s">
        <v>5931</v>
      </c>
      <c r="C1540" s="203" t="s">
        <v>5553</v>
      </c>
      <c r="D1540" s="204">
        <v>1</v>
      </c>
      <c r="E1540" s="204" t="s">
        <v>235</v>
      </c>
      <c r="F1540" s="205">
        <v>0</v>
      </c>
    </row>
    <row r="1541" spans="1:6">
      <c r="A1541" s="210">
        <v>174111000</v>
      </c>
      <c r="B1541" s="202" t="s">
        <v>970</v>
      </c>
      <c r="C1541" s="203" t="s">
        <v>2143</v>
      </c>
      <c r="D1541" s="204">
        <v>1</v>
      </c>
      <c r="E1541" s="204" t="s">
        <v>235</v>
      </c>
      <c r="F1541" s="205">
        <v>6.2736419539410253</v>
      </c>
    </row>
    <row r="1542" spans="1:6">
      <c r="A1542" s="210">
        <v>174112000</v>
      </c>
      <c r="B1542" s="202" t="s">
        <v>971</v>
      </c>
      <c r="C1542" s="203" t="s">
        <v>2143</v>
      </c>
      <c r="D1542" s="204">
        <v>1</v>
      </c>
      <c r="E1542" s="204" t="s">
        <v>235</v>
      </c>
      <c r="F1542" s="205">
        <v>3.1339904916637806</v>
      </c>
    </row>
    <row r="1543" spans="1:6">
      <c r="A1543" s="210">
        <v>174113000</v>
      </c>
      <c r="B1543" s="202" t="s">
        <v>3672</v>
      </c>
      <c r="C1543" s="203" t="s">
        <v>2143</v>
      </c>
      <c r="D1543" s="204">
        <v>1</v>
      </c>
      <c r="E1543" s="204" t="s">
        <v>235</v>
      </c>
      <c r="F1543" s="205">
        <v>10.108633262810249</v>
      </c>
    </row>
    <row r="1544" spans="1:6">
      <c r="A1544" s="210">
        <v>174200000</v>
      </c>
      <c r="B1544" s="202" t="s">
        <v>3674</v>
      </c>
      <c r="C1544" s="203" t="s">
        <v>2143</v>
      </c>
      <c r="D1544" s="204">
        <v>1</v>
      </c>
      <c r="E1544" s="204" t="s">
        <v>2013</v>
      </c>
      <c r="F1544" s="205">
        <v>1.8936948922653785E-2</v>
      </c>
    </row>
    <row r="1545" spans="1:6">
      <c r="A1545" s="210">
        <v>174211000</v>
      </c>
      <c r="B1545" s="202" t="s">
        <v>972</v>
      </c>
      <c r="C1545" s="203" t="s">
        <v>2143</v>
      </c>
      <c r="D1545" s="204">
        <v>1</v>
      </c>
      <c r="E1545" s="204" t="s">
        <v>235</v>
      </c>
      <c r="F1545" s="205">
        <v>17.473021521888025</v>
      </c>
    </row>
    <row r="1546" spans="1:6">
      <c r="A1546" s="210">
        <v>174211200</v>
      </c>
      <c r="B1546" s="202" t="s">
        <v>552</v>
      </c>
      <c r="C1546" s="203" t="s">
        <v>2143</v>
      </c>
      <c r="D1546" s="204">
        <v>1</v>
      </c>
      <c r="E1546" s="204" t="s">
        <v>235</v>
      </c>
      <c r="F1546" s="205">
        <v>7.9831675428210813</v>
      </c>
    </row>
    <row r="1547" spans="1:6">
      <c r="A1547" s="210">
        <v>174212000</v>
      </c>
      <c r="B1547" s="202" t="s">
        <v>974</v>
      </c>
      <c r="C1547" s="203" t="s">
        <v>2143</v>
      </c>
      <c r="D1547" s="204">
        <v>1</v>
      </c>
      <c r="E1547" s="204" t="s">
        <v>235</v>
      </c>
      <c r="F1547" s="205">
        <v>7.1508232367319309</v>
      </c>
    </row>
    <row r="1548" spans="1:6">
      <c r="A1548" s="210">
        <v>174213000</v>
      </c>
      <c r="B1548" s="202" t="s">
        <v>975</v>
      </c>
      <c r="C1548" s="203" t="s">
        <v>2143</v>
      </c>
      <c r="D1548" s="204">
        <v>1</v>
      </c>
      <c r="E1548" s="204" t="s">
        <v>235</v>
      </c>
      <c r="F1548" s="205">
        <v>5.5944142440838442</v>
      </c>
    </row>
    <row r="1549" spans="1:6">
      <c r="A1549" s="210">
        <v>174213200</v>
      </c>
      <c r="B1549" s="202" t="s">
        <v>553</v>
      </c>
      <c r="C1549" s="203" t="s">
        <v>2143</v>
      </c>
      <c r="D1549" s="204">
        <v>1</v>
      </c>
      <c r="E1549" s="204" t="s">
        <v>235</v>
      </c>
      <c r="F1549" s="205">
        <v>6.6899569916885619</v>
      </c>
    </row>
    <row r="1550" spans="1:6">
      <c r="A1550" s="210">
        <v>174214000</v>
      </c>
      <c r="B1550" s="202" t="s">
        <v>976</v>
      </c>
      <c r="C1550" s="203" t="s">
        <v>2143</v>
      </c>
      <c r="D1550" s="204">
        <v>1</v>
      </c>
      <c r="E1550" s="204" t="s">
        <v>235</v>
      </c>
      <c r="F1550" s="205">
        <v>5.1770850994980835</v>
      </c>
    </row>
    <row r="1551" spans="1:6">
      <c r="A1551" s="210">
        <v>174214100</v>
      </c>
      <c r="B1551" s="202" t="s">
        <v>980</v>
      </c>
      <c r="C1551" s="203" t="s">
        <v>2143</v>
      </c>
      <c r="D1551" s="204">
        <v>1</v>
      </c>
      <c r="E1551" s="204" t="s">
        <v>235</v>
      </c>
      <c r="F1551" s="205">
        <v>5.5701928740400968</v>
      </c>
    </row>
    <row r="1552" spans="1:6">
      <c r="A1552" s="210">
        <v>174215000</v>
      </c>
      <c r="B1552" s="202" t="s">
        <v>977</v>
      </c>
      <c r="C1552" s="203" t="s">
        <v>2143</v>
      </c>
      <c r="D1552" s="204">
        <v>1</v>
      </c>
      <c r="E1552" s="204" t="s">
        <v>235</v>
      </c>
      <c r="F1552" s="205">
        <v>9.1129958025695892</v>
      </c>
    </row>
    <row r="1553" spans="1:6">
      <c r="A1553" s="210">
        <v>174216000</v>
      </c>
      <c r="B1553" s="202" t="s">
        <v>978</v>
      </c>
      <c r="C1553" s="203" t="s">
        <v>2143</v>
      </c>
      <c r="D1553" s="204">
        <v>1</v>
      </c>
      <c r="E1553" s="204" t="s">
        <v>235</v>
      </c>
      <c r="F1553" s="205">
        <v>6.0838989338872365</v>
      </c>
    </row>
    <row r="1554" spans="1:6">
      <c r="A1554" s="210">
        <v>174219000</v>
      </c>
      <c r="B1554" s="202" t="s">
        <v>979</v>
      </c>
      <c r="C1554" s="203" t="s">
        <v>2143</v>
      </c>
      <c r="D1554" s="204">
        <v>1</v>
      </c>
      <c r="E1554" s="204" t="s">
        <v>2013</v>
      </c>
      <c r="F1554" s="205">
        <v>1.5496509028811351E-2</v>
      </c>
    </row>
    <row r="1555" spans="1:6">
      <c r="A1555" s="210">
        <v>175100000</v>
      </c>
      <c r="B1555" s="202" t="s">
        <v>3683</v>
      </c>
      <c r="C1555" s="203" t="s">
        <v>2143</v>
      </c>
      <c r="D1555" s="204">
        <v>1</v>
      </c>
      <c r="E1555" s="204" t="s">
        <v>235</v>
      </c>
      <c r="F1555" s="205">
        <v>2.8430460064308822</v>
      </c>
    </row>
    <row r="1556" spans="1:6">
      <c r="A1556" s="210">
        <v>175111000</v>
      </c>
      <c r="B1556" s="202" t="s">
        <v>3685</v>
      </c>
      <c r="C1556" s="203" t="s">
        <v>2143</v>
      </c>
      <c r="D1556" s="204">
        <v>1</v>
      </c>
      <c r="E1556" s="204" t="s">
        <v>235</v>
      </c>
      <c r="F1556" s="205">
        <v>2.6795223866323501</v>
      </c>
    </row>
    <row r="1557" spans="1:6">
      <c r="A1557" s="210">
        <v>175111200</v>
      </c>
      <c r="B1557" s="202" t="s">
        <v>5932</v>
      </c>
      <c r="C1557" s="203" t="s">
        <v>2143</v>
      </c>
      <c r="D1557" s="204">
        <v>1</v>
      </c>
      <c r="E1557" s="204" t="s">
        <v>235</v>
      </c>
      <c r="F1557" s="205">
        <v>0.53025105155880814</v>
      </c>
    </row>
    <row r="1558" spans="1:6">
      <c r="A1558" s="210">
        <v>175111201</v>
      </c>
      <c r="B1558" s="202" t="s">
        <v>981</v>
      </c>
      <c r="C1558" s="203" t="s">
        <v>2143</v>
      </c>
      <c r="D1558" s="204">
        <v>1</v>
      </c>
      <c r="E1558" s="204" t="s">
        <v>235</v>
      </c>
      <c r="F1558" s="205">
        <v>3.3407306430986399</v>
      </c>
    </row>
    <row r="1559" spans="1:6">
      <c r="A1559" s="210">
        <v>175112000</v>
      </c>
      <c r="B1559" s="202" t="s">
        <v>982</v>
      </c>
      <c r="C1559" s="203" t="s">
        <v>2143</v>
      </c>
      <c r="D1559" s="204">
        <v>1</v>
      </c>
      <c r="E1559" s="204" t="s">
        <v>235</v>
      </c>
      <c r="F1559" s="205">
        <v>2.8658157942211444</v>
      </c>
    </row>
    <row r="1560" spans="1:6">
      <c r="A1560" s="210">
        <v>175113000</v>
      </c>
      <c r="B1560" s="202" t="s">
        <v>3688</v>
      </c>
      <c r="C1560" s="203" t="s">
        <v>2143</v>
      </c>
      <c r="D1560" s="204">
        <v>1</v>
      </c>
      <c r="E1560" s="204" t="s">
        <v>235</v>
      </c>
      <c r="F1560" s="205">
        <v>2.7248623134528822</v>
      </c>
    </row>
    <row r="1561" spans="1:6">
      <c r="A1561" s="210">
        <v>175114000</v>
      </c>
      <c r="B1561" s="202" t="s">
        <v>3690</v>
      </c>
      <c r="C1561" s="203" t="s">
        <v>2143</v>
      </c>
      <c r="D1561" s="204">
        <v>1</v>
      </c>
      <c r="E1561" s="204" t="s">
        <v>235</v>
      </c>
      <c r="F1561" s="205">
        <v>3.0959898511966708</v>
      </c>
    </row>
    <row r="1562" spans="1:6">
      <c r="A1562" s="210">
        <v>175115000</v>
      </c>
      <c r="B1562" s="202" t="s">
        <v>3692</v>
      </c>
      <c r="C1562" s="203" t="s">
        <v>2143</v>
      </c>
      <c r="D1562" s="204">
        <v>1</v>
      </c>
      <c r="E1562" s="204" t="s">
        <v>235</v>
      </c>
      <c r="F1562" s="205">
        <v>4.2423932139535294</v>
      </c>
    </row>
    <row r="1563" spans="1:6">
      <c r="A1563" s="210">
        <v>175115200</v>
      </c>
      <c r="B1563" s="202" t="s">
        <v>5933</v>
      </c>
      <c r="C1563" s="203" t="s">
        <v>2143</v>
      </c>
      <c r="D1563" s="204">
        <v>1</v>
      </c>
      <c r="E1563" s="204" t="s">
        <v>235</v>
      </c>
      <c r="F1563" s="205">
        <v>5.7146271445441892</v>
      </c>
    </row>
    <row r="1564" spans="1:6">
      <c r="A1564" s="210">
        <v>175119000</v>
      </c>
      <c r="B1564" s="202" t="s">
        <v>298</v>
      </c>
      <c r="C1564" s="203" t="s">
        <v>2143</v>
      </c>
      <c r="D1564" s="204">
        <v>1</v>
      </c>
      <c r="E1564" s="204" t="s">
        <v>235</v>
      </c>
      <c r="F1564" s="205">
        <v>2.5754616109867738</v>
      </c>
    </row>
    <row r="1565" spans="1:6">
      <c r="A1565" s="210">
        <v>175200000</v>
      </c>
      <c r="B1565" s="202" t="s">
        <v>3695</v>
      </c>
      <c r="C1565" s="203" t="s">
        <v>2143</v>
      </c>
      <c r="D1565" s="204">
        <v>1</v>
      </c>
      <c r="E1565" s="204" t="s">
        <v>235</v>
      </c>
      <c r="F1565" s="205">
        <v>1.3827357443060246</v>
      </c>
    </row>
    <row r="1566" spans="1:6">
      <c r="A1566" s="210">
        <v>175200200</v>
      </c>
      <c r="B1566" s="202" t="s">
        <v>5934</v>
      </c>
      <c r="C1566" s="203" t="s">
        <v>2143</v>
      </c>
      <c r="D1566" s="204">
        <v>1</v>
      </c>
      <c r="E1566" s="204" t="s">
        <v>235</v>
      </c>
      <c r="F1566" s="205">
        <v>1.101750159620656</v>
      </c>
    </row>
    <row r="1567" spans="1:6">
      <c r="A1567" s="210">
        <v>175211000</v>
      </c>
      <c r="B1567" s="202" t="s">
        <v>3697</v>
      </c>
      <c r="C1567" s="203" t="s">
        <v>2143</v>
      </c>
      <c r="D1567" s="204">
        <v>1</v>
      </c>
      <c r="E1567" s="204" t="s">
        <v>235</v>
      </c>
      <c r="F1567" s="205">
        <v>2.7930891854371742</v>
      </c>
    </row>
    <row r="1568" spans="1:6">
      <c r="A1568" s="210">
        <v>175212000</v>
      </c>
      <c r="B1568" s="202" t="s">
        <v>3699</v>
      </c>
      <c r="C1568" s="203" t="s">
        <v>2143</v>
      </c>
      <c r="D1568" s="204">
        <v>1</v>
      </c>
      <c r="E1568" s="204" t="s">
        <v>235</v>
      </c>
      <c r="F1568" s="205">
        <v>2.0694369594317781</v>
      </c>
    </row>
    <row r="1569" spans="1:6">
      <c r="A1569" s="210">
        <v>175219000</v>
      </c>
      <c r="B1569" s="202" t="s">
        <v>983</v>
      </c>
      <c r="C1569" s="203" t="s">
        <v>2143</v>
      </c>
      <c r="D1569" s="204">
        <v>1</v>
      </c>
      <c r="E1569" s="204" t="s">
        <v>235</v>
      </c>
      <c r="F1569" s="205">
        <v>2.3615215963984793</v>
      </c>
    </row>
    <row r="1570" spans="1:6">
      <c r="A1570" s="210">
        <v>175219200</v>
      </c>
      <c r="B1570" s="202" t="s">
        <v>984</v>
      </c>
      <c r="C1570" s="203" t="s">
        <v>2143</v>
      </c>
      <c r="D1570" s="204">
        <v>1</v>
      </c>
      <c r="E1570" s="204" t="s">
        <v>235</v>
      </c>
      <c r="F1570" s="205">
        <v>3.4809503751180557</v>
      </c>
    </row>
    <row r="1571" spans="1:6">
      <c r="A1571" s="210">
        <v>175219201</v>
      </c>
      <c r="B1571" s="202" t="s">
        <v>985</v>
      </c>
      <c r="C1571" s="203" t="s">
        <v>2143</v>
      </c>
      <c r="D1571" s="204">
        <v>1</v>
      </c>
      <c r="E1571" s="204" t="s">
        <v>235</v>
      </c>
      <c r="F1571" s="205">
        <v>2.6577819381901069</v>
      </c>
    </row>
    <row r="1572" spans="1:6">
      <c r="A1572" s="210">
        <v>175221000</v>
      </c>
      <c r="B1572" s="202" t="s">
        <v>986</v>
      </c>
      <c r="C1572" s="203" t="s">
        <v>2143</v>
      </c>
      <c r="D1572" s="204">
        <v>1</v>
      </c>
      <c r="E1572" s="204" t="s">
        <v>235</v>
      </c>
      <c r="F1572" s="205">
        <v>1.5112050993031576</v>
      </c>
    </row>
    <row r="1573" spans="1:6">
      <c r="A1573" s="210">
        <v>175222000</v>
      </c>
      <c r="B1573" s="202" t="s">
        <v>987</v>
      </c>
      <c r="C1573" s="203" t="s">
        <v>2143</v>
      </c>
      <c r="D1573" s="204">
        <v>1</v>
      </c>
      <c r="E1573" s="204" t="s">
        <v>235</v>
      </c>
      <c r="F1573" s="205">
        <v>0.6950505830484135</v>
      </c>
    </row>
    <row r="1574" spans="1:6">
      <c r="A1574" s="210">
        <v>175223000</v>
      </c>
      <c r="B1574" s="202" t="s">
        <v>988</v>
      </c>
      <c r="C1574" s="203" t="s">
        <v>2143</v>
      </c>
      <c r="D1574" s="204">
        <v>1</v>
      </c>
      <c r="E1574" s="204" t="s">
        <v>235</v>
      </c>
      <c r="F1574" s="205">
        <v>1.7145961463061024</v>
      </c>
    </row>
    <row r="1575" spans="1:6">
      <c r="A1575" s="210">
        <v>175224000</v>
      </c>
      <c r="B1575" s="202" t="s">
        <v>3705</v>
      </c>
      <c r="C1575" s="203" t="s">
        <v>2143</v>
      </c>
      <c r="D1575" s="204">
        <v>1</v>
      </c>
      <c r="E1575" s="204" t="s">
        <v>235</v>
      </c>
      <c r="F1575" s="205">
        <v>0.96232563328133369</v>
      </c>
    </row>
    <row r="1576" spans="1:6">
      <c r="A1576" s="210">
        <v>175225000</v>
      </c>
      <c r="B1576" s="202" t="s">
        <v>989</v>
      </c>
      <c r="C1576" s="203" t="s">
        <v>2143</v>
      </c>
      <c r="D1576" s="204">
        <v>1</v>
      </c>
      <c r="E1576" s="204" t="s">
        <v>235</v>
      </c>
      <c r="F1576" s="205">
        <v>0.81788348891136309</v>
      </c>
    </row>
    <row r="1577" spans="1:6">
      <c r="A1577" s="210">
        <v>175300000</v>
      </c>
      <c r="B1577" s="202" t="s">
        <v>3708</v>
      </c>
      <c r="C1577" s="203" t="s">
        <v>2143</v>
      </c>
      <c r="D1577" s="204">
        <v>1</v>
      </c>
      <c r="E1577" s="204" t="s">
        <v>235</v>
      </c>
      <c r="F1577" s="205">
        <v>3.9276363658793345</v>
      </c>
    </row>
    <row r="1578" spans="1:6">
      <c r="A1578" s="210">
        <v>175311000</v>
      </c>
      <c r="B1578" s="202" t="s">
        <v>990</v>
      </c>
      <c r="C1578" s="203" t="s">
        <v>2143</v>
      </c>
      <c r="D1578" s="204">
        <v>1</v>
      </c>
      <c r="E1578" s="204" t="s">
        <v>235</v>
      </c>
      <c r="F1578" s="205">
        <v>3.581223197949591</v>
      </c>
    </row>
    <row r="1579" spans="1:6">
      <c r="A1579" s="210">
        <v>175312000</v>
      </c>
      <c r="B1579" s="202" t="s">
        <v>991</v>
      </c>
      <c r="C1579" s="203" t="s">
        <v>2143</v>
      </c>
      <c r="D1579" s="204">
        <v>1</v>
      </c>
      <c r="E1579" s="204" t="s">
        <v>235</v>
      </c>
      <c r="F1579" s="205">
        <v>3.7966510259760948</v>
      </c>
    </row>
    <row r="1580" spans="1:6">
      <c r="A1580" s="210">
        <v>175313000</v>
      </c>
      <c r="B1580" s="202" t="s">
        <v>992</v>
      </c>
      <c r="C1580" s="203" t="s">
        <v>2143</v>
      </c>
      <c r="D1580" s="204">
        <v>1</v>
      </c>
      <c r="E1580" s="204" t="s">
        <v>235</v>
      </c>
      <c r="F1580" s="205">
        <v>4.1323721641111941</v>
      </c>
    </row>
    <row r="1581" spans="1:6">
      <c r="A1581" s="210">
        <v>175319000</v>
      </c>
      <c r="B1581" s="202" t="s">
        <v>993</v>
      </c>
      <c r="C1581" s="203" t="s">
        <v>2143</v>
      </c>
      <c r="D1581" s="204">
        <v>1</v>
      </c>
      <c r="E1581" s="204" t="s">
        <v>235</v>
      </c>
      <c r="F1581" s="205">
        <v>4.5051828485218577</v>
      </c>
    </row>
    <row r="1582" spans="1:6">
      <c r="A1582" s="210">
        <v>175400000</v>
      </c>
      <c r="B1582" s="202" t="s">
        <v>3714</v>
      </c>
      <c r="C1582" s="203" t="s">
        <v>2143</v>
      </c>
      <c r="D1582" s="204">
        <v>1</v>
      </c>
      <c r="E1582" s="204" t="s">
        <v>235</v>
      </c>
      <c r="F1582" s="205">
        <v>4.5769137071120944</v>
      </c>
    </row>
    <row r="1583" spans="1:6">
      <c r="A1583" s="210">
        <v>175411000</v>
      </c>
      <c r="B1583" s="202" t="s">
        <v>994</v>
      </c>
      <c r="C1583" s="203" t="s">
        <v>2143</v>
      </c>
      <c r="D1583" s="204">
        <v>1</v>
      </c>
      <c r="E1583" s="204" t="s">
        <v>235</v>
      </c>
      <c r="F1583" s="205">
        <v>4.9361288451341725</v>
      </c>
    </row>
    <row r="1584" spans="1:6">
      <c r="A1584" s="210">
        <v>175411200</v>
      </c>
      <c r="B1584" s="202" t="s">
        <v>5935</v>
      </c>
      <c r="C1584" s="203" t="s">
        <v>2143</v>
      </c>
      <c r="D1584" s="204">
        <v>1</v>
      </c>
      <c r="E1584" s="204" t="s">
        <v>235</v>
      </c>
      <c r="F1584" s="205">
        <v>4.2344333409000106</v>
      </c>
    </row>
    <row r="1585" spans="1:6">
      <c r="A1585" s="210">
        <v>175412000</v>
      </c>
      <c r="B1585" s="202" t="s">
        <v>995</v>
      </c>
      <c r="C1585" s="203" t="s">
        <v>2143</v>
      </c>
      <c r="D1585" s="204">
        <v>1</v>
      </c>
      <c r="E1585" s="204" t="s">
        <v>235</v>
      </c>
      <c r="F1585" s="205">
        <v>5.0572452252252367</v>
      </c>
    </row>
    <row r="1586" spans="1:6">
      <c r="A1586" s="210">
        <v>175413000</v>
      </c>
      <c r="B1586" s="202" t="s">
        <v>996</v>
      </c>
      <c r="C1586" s="203" t="s">
        <v>2143</v>
      </c>
      <c r="D1586" s="204">
        <v>1</v>
      </c>
      <c r="E1586" s="204" t="s">
        <v>235</v>
      </c>
      <c r="F1586" s="205">
        <v>5.4871042085991721</v>
      </c>
    </row>
    <row r="1587" spans="1:6">
      <c r="A1587" s="210">
        <v>175414000</v>
      </c>
      <c r="B1587" s="202" t="s">
        <v>997</v>
      </c>
      <c r="C1587" s="203" t="s">
        <v>2143</v>
      </c>
      <c r="D1587" s="204">
        <v>1</v>
      </c>
      <c r="E1587" s="204" t="s">
        <v>235</v>
      </c>
      <c r="F1587" s="205">
        <v>5.2887034282846699</v>
      </c>
    </row>
    <row r="1588" spans="1:6">
      <c r="A1588" s="210">
        <v>175414200</v>
      </c>
      <c r="B1588" s="202" t="s">
        <v>5936</v>
      </c>
      <c r="C1588" s="203" t="s">
        <v>2143</v>
      </c>
      <c r="D1588" s="204">
        <v>1</v>
      </c>
      <c r="E1588" s="204" t="s">
        <v>235</v>
      </c>
      <c r="F1588" s="205">
        <v>4.8771049055482436</v>
      </c>
    </row>
    <row r="1589" spans="1:6">
      <c r="A1589" s="210">
        <v>175414201</v>
      </c>
      <c r="B1589" s="202" t="s">
        <v>5937</v>
      </c>
      <c r="C1589" s="203" t="s">
        <v>2143</v>
      </c>
      <c r="D1589" s="204">
        <v>1</v>
      </c>
      <c r="E1589" s="204" t="s">
        <v>235</v>
      </c>
      <c r="F1589" s="205">
        <v>4.454577510388007</v>
      </c>
    </row>
    <row r="1590" spans="1:6">
      <c r="A1590" s="210">
        <v>175414202</v>
      </c>
      <c r="B1590" s="202" t="s">
        <v>5938</v>
      </c>
      <c r="C1590" s="203" t="s">
        <v>2143</v>
      </c>
      <c r="D1590" s="204">
        <v>1</v>
      </c>
      <c r="E1590" s="204" t="s">
        <v>235</v>
      </c>
      <c r="F1590" s="205">
        <v>4.0214033630481962</v>
      </c>
    </row>
    <row r="1591" spans="1:6">
      <c r="A1591" s="210">
        <v>175414203</v>
      </c>
      <c r="B1591" s="202" t="s">
        <v>5939</v>
      </c>
      <c r="C1591" s="203" t="s">
        <v>2143</v>
      </c>
      <c r="D1591" s="204">
        <v>1</v>
      </c>
      <c r="E1591" s="204" t="s">
        <v>235</v>
      </c>
      <c r="F1591" s="205">
        <v>6.0296655144071396</v>
      </c>
    </row>
    <row r="1592" spans="1:6">
      <c r="A1592" s="210">
        <v>175414204</v>
      </c>
      <c r="B1592" s="202" t="s">
        <v>5940</v>
      </c>
      <c r="C1592" s="203" t="s">
        <v>2143</v>
      </c>
      <c r="D1592" s="204">
        <v>1</v>
      </c>
      <c r="E1592" s="204" t="s">
        <v>235</v>
      </c>
      <c r="F1592" s="205">
        <v>3.667752075580883</v>
      </c>
    </row>
    <row r="1593" spans="1:6">
      <c r="A1593" s="210">
        <v>175414205</v>
      </c>
      <c r="B1593" s="202" t="s">
        <v>5941</v>
      </c>
      <c r="C1593" s="203" t="s">
        <v>2143</v>
      </c>
      <c r="D1593" s="204">
        <v>1</v>
      </c>
      <c r="E1593" s="204" t="s">
        <v>235</v>
      </c>
      <c r="F1593" s="205">
        <v>1.2957784157731922</v>
      </c>
    </row>
    <row r="1594" spans="1:6">
      <c r="A1594" s="210">
        <v>175414206</v>
      </c>
      <c r="B1594" s="202" t="s">
        <v>5942</v>
      </c>
      <c r="C1594" s="203" t="s">
        <v>2143</v>
      </c>
      <c r="D1594" s="204">
        <v>1</v>
      </c>
      <c r="E1594" s="204" t="s">
        <v>235</v>
      </c>
      <c r="F1594" s="205">
        <v>5.6319776597815752</v>
      </c>
    </row>
    <row r="1595" spans="1:6">
      <c r="A1595" s="210">
        <v>175414207</v>
      </c>
      <c r="B1595" s="202" t="s">
        <v>5943</v>
      </c>
      <c r="C1595" s="203" t="s">
        <v>2143</v>
      </c>
      <c r="D1595" s="204">
        <v>1</v>
      </c>
      <c r="E1595" s="204" t="s">
        <v>235</v>
      </c>
      <c r="F1595" s="205">
        <v>4.7219514639467297</v>
      </c>
    </row>
    <row r="1596" spans="1:6">
      <c r="A1596" s="210">
        <v>175414208</v>
      </c>
      <c r="B1596" s="202" t="s">
        <v>5944</v>
      </c>
      <c r="C1596" s="203" t="s">
        <v>2143</v>
      </c>
      <c r="D1596" s="204">
        <v>1</v>
      </c>
      <c r="E1596" s="204" t="s">
        <v>235</v>
      </c>
      <c r="F1596" s="205">
        <v>3.9631766686113634</v>
      </c>
    </row>
    <row r="1597" spans="1:6">
      <c r="A1597" s="210">
        <v>175414209</v>
      </c>
      <c r="B1597" s="202" t="s">
        <v>5945</v>
      </c>
      <c r="C1597" s="203" t="s">
        <v>2143</v>
      </c>
      <c r="D1597" s="204">
        <v>1</v>
      </c>
      <c r="E1597" s="204" t="s">
        <v>235</v>
      </c>
      <c r="F1597" s="205">
        <v>4.6994659762251523</v>
      </c>
    </row>
    <row r="1598" spans="1:6">
      <c r="A1598" s="210">
        <v>175415000</v>
      </c>
      <c r="B1598" s="202" t="s">
        <v>998</v>
      </c>
      <c r="C1598" s="203" t="s">
        <v>2143</v>
      </c>
      <c r="D1598" s="204">
        <v>1</v>
      </c>
      <c r="E1598" s="204" t="s">
        <v>235</v>
      </c>
      <c r="F1598" s="205">
        <v>5.2094433919574303</v>
      </c>
    </row>
    <row r="1599" spans="1:6">
      <c r="A1599" s="210">
        <v>175415200</v>
      </c>
      <c r="B1599" s="202" t="s">
        <v>5946</v>
      </c>
      <c r="C1599" s="203" t="s">
        <v>2143</v>
      </c>
      <c r="D1599" s="204">
        <v>1</v>
      </c>
      <c r="E1599" s="204" t="s">
        <v>235</v>
      </c>
      <c r="F1599" s="205">
        <v>3.3197630990822331</v>
      </c>
    </row>
    <row r="1600" spans="1:6">
      <c r="A1600" s="210">
        <v>175415201</v>
      </c>
      <c r="B1600" s="202" t="s">
        <v>5947</v>
      </c>
      <c r="C1600" s="203" t="s">
        <v>2143</v>
      </c>
      <c r="D1600" s="204">
        <v>1</v>
      </c>
      <c r="E1600" s="204" t="s">
        <v>235</v>
      </c>
      <c r="F1600" s="205">
        <v>2.2900720296857395</v>
      </c>
    </row>
    <row r="1601" spans="1:6">
      <c r="A1601" s="210">
        <v>175415202</v>
      </c>
      <c r="B1601" s="202" t="s">
        <v>5948</v>
      </c>
      <c r="C1601" s="203" t="s">
        <v>2143</v>
      </c>
      <c r="D1601" s="204">
        <v>1</v>
      </c>
      <c r="E1601" s="204" t="s">
        <v>235</v>
      </c>
      <c r="F1601" s="205">
        <v>2.1238695105414056</v>
      </c>
    </row>
    <row r="1602" spans="1:6">
      <c r="A1602" s="210">
        <v>175415203</v>
      </c>
      <c r="B1602" s="202" t="s">
        <v>5949</v>
      </c>
      <c r="C1602" s="203" t="s">
        <v>2143</v>
      </c>
      <c r="D1602" s="204">
        <v>1</v>
      </c>
      <c r="E1602" s="204" t="s">
        <v>235</v>
      </c>
      <c r="F1602" s="205">
        <v>2.3480865273659965</v>
      </c>
    </row>
    <row r="1603" spans="1:6">
      <c r="A1603" s="210">
        <v>175415204</v>
      </c>
      <c r="B1603" s="202" t="s">
        <v>5950</v>
      </c>
      <c r="C1603" s="203" t="s">
        <v>2143</v>
      </c>
      <c r="D1603" s="204">
        <v>1</v>
      </c>
      <c r="E1603" s="204" t="s">
        <v>235</v>
      </c>
      <c r="F1603" s="205">
        <v>1.5068736582097464</v>
      </c>
    </row>
    <row r="1604" spans="1:6">
      <c r="A1604" s="210">
        <v>175415205</v>
      </c>
      <c r="B1604" s="202" t="s">
        <v>5951</v>
      </c>
      <c r="C1604" s="203" t="s">
        <v>2143</v>
      </c>
      <c r="D1604" s="204">
        <v>1</v>
      </c>
      <c r="E1604" s="204" t="s">
        <v>235</v>
      </c>
      <c r="F1604" s="205">
        <v>3.9365317761835703</v>
      </c>
    </row>
    <row r="1605" spans="1:6">
      <c r="A1605" s="210">
        <v>175416000</v>
      </c>
      <c r="B1605" s="202" t="s">
        <v>999</v>
      </c>
      <c r="C1605" s="203" t="s">
        <v>2143</v>
      </c>
      <c r="D1605" s="204">
        <v>1</v>
      </c>
      <c r="E1605" s="204" t="s">
        <v>235</v>
      </c>
      <c r="F1605" s="205">
        <v>8.6737330114983564</v>
      </c>
    </row>
    <row r="1606" spans="1:6">
      <c r="A1606" s="210">
        <v>175416200</v>
      </c>
      <c r="B1606" s="202" t="s">
        <v>5952</v>
      </c>
      <c r="C1606" s="203" t="s">
        <v>2143</v>
      </c>
      <c r="D1606" s="204">
        <v>1</v>
      </c>
      <c r="E1606" s="204" t="s">
        <v>235</v>
      </c>
      <c r="F1606" s="205">
        <v>4.7382154623380437</v>
      </c>
    </row>
    <row r="1607" spans="1:6">
      <c r="A1607" s="210">
        <v>175416201</v>
      </c>
      <c r="B1607" s="202" t="s">
        <v>1000</v>
      </c>
      <c r="C1607" s="203" t="s">
        <v>2143</v>
      </c>
      <c r="D1607" s="204">
        <v>1</v>
      </c>
      <c r="E1607" s="204" t="s">
        <v>235</v>
      </c>
      <c r="F1607" s="205">
        <v>5.5692136950638984</v>
      </c>
    </row>
    <row r="1608" spans="1:6">
      <c r="A1608" s="210">
        <v>175417000</v>
      </c>
      <c r="B1608" s="202" t="s">
        <v>1001</v>
      </c>
      <c r="C1608" s="203" t="s">
        <v>2143</v>
      </c>
      <c r="D1608" s="204">
        <v>1</v>
      </c>
      <c r="E1608" s="204" t="s">
        <v>235</v>
      </c>
      <c r="F1608" s="205">
        <v>1.9484156387476221</v>
      </c>
    </row>
    <row r="1609" spans="1:6">
      <c r="A1609" s="210">
        <v>175419000</v>
      </c>
      <c r="B1609" s="202" t="s">
        <v>3723</v>
      </c>
      <c r="C1609" s="203" t="s">
        <v>2143</v>
      </c>
      <c r="D1609" s="204">
        <v>1</v>
      </c>
      <c r="E1609" s="204" t="s">
        <v>235</v>
      </c>
      <c r="F1609" s="205">
        <v>5.2270090483390224</v>
      </c>
    </row>
    <row r="1610" spans="1:6">
      <c r="A1610" s="210">
        <v>175419200</v>
      </c>
      <c r="B1610" s="202" t="s">
        <v>1002</v>
      </c>
      <c r="C1610" s="203" t="s">
        <v>2143</v>
      </c>
      <c r="D1610" s="204">
        <v>1</v>
      </c>
      <c r="E1610" s="204" t="s">
        <v>235</v>
      </c>
      <c r="F1610" s="205">
        <v>11.526160054784754</v>
      </c>
    </row>
    <row r="1611" spans="1:6">
      <c r="A1611" s="210">
        <v>175500000</v>
      </c>
      <c r="B1611" s="202" t="s">
        <v>3725</v>
      </c>
      <c r="C1611" s="203" t="s">
        <v>2143</v>
      </c>
      <c r="D1611" s="204">
        <v>1</v>
      </c>
      <c r="E1611" s="204" t="s">
        <v>235</v>
      </c>
      <c r="F1611" s="205">
        <v>4.6321530272276181</v>
      </c>
    </row>
    <row r="1612" spans="1:6">
      <c r="A1612" s="210">
        <v>175511000</v>
      </c>
      <c r="B1612" s="202" t="s">
        <v>1003</v>
      </c>
      <c r="C1612" s="203" t="s">
        <v>2143</v>
      </c>
      <c r="D1612" s="204">
        <v>1</v>
      </c>
      <c r="E1612" s="204" t="s">
        <v>235</v>
      </c>
      <c r="F1612" s="205">
        <v>5.0975434003449394</v>
      </c>
    </row>
    <row r="1613" spans="1:6">
      <c r="A1613" s="210">
        <v>175512000</v>
      </c>
      <c r="B1613" s="202" t="s">
        <v>1004</v>
      </c>
      <c r="C1613" s="203" t="s">
        <v>2143</v>
      </c>
      <c r="D1613" s="204">
        <v>1</v>
      </c>
      <c r="E1613" s="204" t="s">
        <v>235</v>
      </c>
      <c r="F1613" s="205">
        <v>4.8330840812843601</v>
      </c>
    </row>
    <row r="1614" spans="1:6">
      <c r="A1614" s="210">
        <v>175513000</v>
      </c>
      <c r="B1614" s="202" t="s">
        <v>1005</v>
      </c>
      <c r="C1614" s="203" t="s">
        <v>2143</v>
      </c>
      <c r="D1614" s="204">
        <v>1</v>
      </c>
      <c r="E1614" s="204" t="s">
        <v>235</v>
      </c>
      <c r="F1614" s="205">
        <v>3.27468394496006</v>
      </c>
    </row>
    <row r="1615" spans="1:6">
      <c r="A1615" s="210">
        <v>175600000</v>
      </c>
      <c r="B1615" s="202" t="s">
        <v>3730</v>
      </c>
      <c r="C1615" s="203" t="s">
        <v>2143</v>
      </c>
      <c r="D1615" s="204">
        <v>1</v>
      </c>
      <c r="E1615" s="204" t="s">
        <v>2013</v>
      </c>
      <c r="F1615" s="205">
        <v>8.7964131285226347E-3</v>
      </c>
    </row>
    <row r="1616" spans="1:6">
      <c r="A1616" s="210">
        <v>175611000</v>
      </c>
      <c r="B1616" s="202" t="s">
        <v>1006</v>
      </c>
      <c r="C1616" s="203" t="s">
        <v>2143</v>
      </c>
      <c r="D1616" s="204">
        <v>1</v>
      </c>
      <c r="E1616" s="204" t="s">
        <v>235</v>
      </c>
      <c r="F1616" s="205">
        <v>0.71396746691526525</v>
      </c>
    </row>
    <row r="1617" spans="1:6">
      <c r="A1617" s="210">
        <v>175612000</v>
      </c>
      <c r="B1617" s="202" t="s">
        <v>1007</v>
      </c>
      <c r="C1617" s="203" t="s">
        <v>2143</v>
      </c>
      <c r="D1617" s="204">
        <v>1</v>
      </c>
      <c r="E1617" s="204" t="s">
        <v>235</v>
      </c>
      <c r="F1617" s="205">
        <v>1.8330359332978545</v>
      </c>
    </row>
    <row r="1618" spans="1:6">
      <c r="A1618" s="210">
        <v>175613000</v>
      </c>
      <c r="B1618" s="202" t="s">
        <v>1008</v>
      </c>
      <c r="C1618" s="203" t="s">
        <v>2143</v>
      </c>
      <c r="D1618" s="204">
        <v>1</v>
      </c>
      <c r="E1618" s="204" t="s">
        <v>235</v>
      </c>
      <c r="F1618" s="205">
        <v>1.994724061916219</v>
      </c>
    </row>
    <row r="1619" spans="1:6">
      <c r="A1619" s="210">
        <v>175619000</v>
      </c>
      <c r="B1619" s="202" t="s">
        <v>1009</v>
      </c>
      <c r="C1619" s="203" t="s">
        <v>2143</v>
      </c>
      <c r="D1619" s="204">
        <v>1</v>
      </c>
      <c r="E1619" s="204" t="s">
        <v>2013</v>
      </c>
      <c r="F1619" s="205">
        <v>1.1012055175697295E-2</v>
      </c>
    </row>
    <row r="1620" spans="1:6">
      <c r="A1620" s="210">
        <v>175700000</v>
      </c>
      <c r="B1620" s="202" t="s">
        <v>3735</v>
      </c>
      <c r="C1620" s="203" t="s">
        <v>2143</v>
      </c>
      <c r="D1620" s="204">
        <v>1</v>
      </c>
      <c r="E1620" s="204" t="s">
        <v>235</v>
      </c>
      <c r="F1620" s="205">
        <v>0.83942094615696705</v>
      </c>
    </row>
    <row r="1621" spans="1:6">
      <c r="A1621" s="210">
        <v>175711000</v>
      </c>
      <c r="B1621" s="202" t="s">
        <v>1010</v>
      </c>
      <c r="C1621" s="203" t="s">
        <v>2143</v>
      </c>
      <c r="D1621" s="204">
        <v>1</v>
      </c>
      <c r="E1621" s="204" t="s">
        <v>235</v>
      </c>
      <c r="F1621" s="205">
        <v>0.83942094615696705</v>
      </c>
    </row>
    <row r="1622" spans="1:6">
      <c r="A1622" s="210">
        <v>176100000</v>
      </c>
      <c r="B1622" s="202" t="s">
        <v>5953</v>
      </c>
      <c r="C1622" s="203" t="s">
        <v>2143</v>
      </c>
      <c r="D1622" s="204">
        <v>1</v>
      </c>
      <c r="E1622" s="204" t="s">
        <v>2013</v>
      </c>
      <c r="F1622" s="205">
        <v>9.3815980924471989E-3</v>
      </c>
    </row>
    <row r="1623" spans="1:6">
      <c r="A1623" s="210">
        <v>176111000</v>
      </c>
      <c r="B1623" s="202" t="s">
        <v>1011</v>
      </c>
      <c r="C1623" s="203" t="s">
        <v>2143</v>
      </c>
      <c r="D1623" s="204">
        <v>1</v>
      </c>
      <c r="E1623" s="204" t="s">
        <v>2013</v>
      </c>
      <c r="F1623" s="205">
        <v>9.3815980924471989E-3</v>
      </c>
    </row>
    <row r="1624" spans="1:6">
      <c r="A1624" s="210">
        <v>176200000</v>
      </c>
      <c r="B1624" s="202" t="s">
        <v>3738</v>
      </c>
      <c r="C1624" s="203" t="s">
        <v>2143</v>
      </c>
      <c r="D1624" s="204">
        <v>1</v>
      </c>
      <c r="E1624" s="204" t="s">
        <v>2013</v>
      </c>
      <c r="F1624" s="205">
        <v>3.5607345365912448E-3</v>
      </c>
    </row>
    <row r="1625" spans="1:6">
      <c r="A1625" s="210">
        <v>176211000</v>
      </c>
      <c r="B1625" s="202" t="s">
        <v>3740</v>
      </c>
      <c r="C1625" s="203" t="s">
        <v>2143</v>
      </c>
      <c r="D1625" s="204">
        <v>1</v>
      </c>
      <c r="E1625" s="204" t="s">
        <v>2013</v>
      </c>
      <c r="F1625" s="205">
        <v>3.5607345365912448E-3</v>
      </c>
    </row>
    <row r="1626" spans="1:6">
      <c r="A1626" s="210">
        <v>176300000</v>
      </c>
      <c r="B1626" s="202" t="s">
        <v>5954</v>
      </c>
      <c r="C1626" s="203" t="s">
        <v>2143</v>
      </c>
      <c r="D1626" s="204">
        <v>1</v>
      </c>
      <c r="E1626" s="204" t="s">
        <v>2013</v>
      </c>
      <c r="F1626" s="205">
        <v>3.7245729689429469E-3</v>
      </c>
    </row>
    <row r="1627" spans="1:6">
      <c r="A1627" s="210">
        <v>176311000</v>
      </c>
      <c r="B1627" s="202" t="s">
        <v>5955</v>
      </c>
      <c r="C1627" s="203" t="s">
        <v>2143</v>
      </c>
      <c r="D1627" s="204">
        <v>1</v>
      </c>
      <c r="E1627" s="204" t="s">
        <v>2013</v>
      </c>
      <c r="F1627" s="205">
        <v>3.7245729689429469E-3</v>
      </c>
    </row>
    <row r="1628" spans="1:6">
      <c r="A1628" s="210">
        <v>176400000</v>
      </c>
      <c r="B1628" s="202" t="s">
        <v>5956</v>
      </c>
      <c r="C1628" s="203" t="s">
        <v>2143</v>
      </c>
      <c r="D1628" s="204">
        <v>1</v>
      </c>
      <c r="E1628" s="204" t="s">
        <v>2013</v>
      </c>
      <c r="F1628" s="205">
        <v>4.2836778042638851E-3</v>
      </c>
    </row>
    <row r="1629" spans="1:6">
      <c r="A1629" s="210">
        <v>176411000</v>
      </c>
      <c r="B1629" s="202" t="s">
        <v>1012</v>
      </c>
      <c r="C1629" s="203" t="s">
        <v>2143</v>
      </c>
      <c r="D1629" s="204">
        <v>1</v>
      </c>
      <c r="E1629" s="204" t="s">
        <v>2013</v>
      </c>
      <c r="F1629" s="205">
        <v>4.2836778042638851E-3</v>
      </c>
    </row>
    <row r="1630" spans="1:6">
      <c r="A1630" s="210">
        <v>176500000</v>
      </c>
      <c r="B1630" s="202" t="s">
        <v>5957</v>
      </c>
      <c r="C1630" s="203" t="s">
        <v>2143</v>
      </c>
      <c r="D1630" s="204">
        <v>1</v>
      </c>
      <c r="E1630" s="204" t="s">
        <v>2013</v>
      </c>
      <c r="F1630" s="205">
        <v>6.5278265826190915E-3</v>
      </c>
    </row>
    <row r="1631" spans="1:6">
      <c r="A1631" s="210">
        <v>176511000</v>
      </c>
      <c r="B1631" s="202" t="s">
        <v>1013</v>
      </c>
      <c r="C1631" s="203" t="s">
        <v>2143</v>
      </c>
      <c r="D1631" s="204">
        <v>1</v>
      </c>
      <c r="E1631" s="204" t="s">
        <v>2013</v>
      </c>
      <c r="F1631" s="205">
        <v>6.5278265826190915E-3</v>
      </c>
    </row>
    <row r="1632" spans="1:6">
      <c r="A1632" s="210">
        <v>177100000</v>
      </c>
      <c r="B1632" s="202" t="s">
        <v>3742</v>
      </c>
      <c r="C1632" s="203" t="s">
        <v>2143</v>
      </c>
      <c r="D1632" s="204">
        <v>1</v>
      </c>
      <c r="E1632" s="204" t="s">
        <v>235</v>
      </c>
      <c r="F1632" s="205">
        <v>39.132750610289698</v>
      </c>
    </row>
    <row r="1633" spans="1:6">
      <c r="A1633" s="210">
        <v>177111000</v>
      </c>
      <c r="B1633" s="202" t="s">
        <v>3744</v>
      </c>
      <c r="C1633" s="203" t="s">
        <v>2143</v>
      </c>
      <c r="D1633" s="204">
        <v>1</v>
      </c>
      <c r="E1633" s="204" t="s">
        <v>235</v>
      </c>
      <c r="F1633" s="205">
        <v>57.490774812934291</v>
      </c>
    </row>
    <row r="1634" spans="1:6">
      <c r="A1634" s="210">
        <v>177112000</v>
      </c>
      <c r="B1634" s="202" t="s">
        <v>1014</v>
      </c>
      <c r="C1634" s="203" t="s">
        <v>2143</v>
      </c>
      <c r="D1634" s="204">
        <v>1</v>
      </c>
      <c r="E1634" s="204" t="s">
        <v>235</v>
      </c>
      <c r="F1634" s="205">
        <v>184.54620901388361</v>
      </c>
    </row>
    <row r="1635" spans="1:6">
      <c r="A1635" s="210">
        <v>177113000</v>
      </c>
      <c r="B1635" s="202" t="s">
        <v>1015</v>
      </c>
      <c r="C1635" s="203" t="s">
        <v>2143</v>
      </c>
      <c r="D1635" s="204">
        <v>1</v>
      </c>
      <c r="E1635" s="204" t="s">
        <v>235</v>
      </c>
      <c r="F1635" s="205">
        <v>195.93168272054461</v>
      </c>
    </row>
    <row r="1636" spans="1:6">
      <c r="A1636" s="210">
        <v>177114000</v>
      </c>
      <c r="B1636" s="202" t="s">
        <v>3748</v>
      </c>
      <c r="C1636" s="203" t="s">
        <v>2143</v>
      </c>
      <c r="D1636" s="204">
        <v>1</v>
      </c>
      <c r="E1636" s="204" t="s">
        <v>235</v>
      </c>
      <c r="F1636" s="205">
        <v>431.10191052305487</v>
      </c>
    </row>
    <row r="1637" spans="1:6">
      <c r="A1637" s="210">
        <v>177115000</v>
      </c>
      <c r="B1637" s="202" t="s">
        <v>1016</v>
      </c>
      <c r="C1637" s="203" t="s">
        <v>2143</v>
      </c>
      <c r="D1637" s="204">
        <v>1</v>
      </c>
      <c r="E1637" s="204" t="s">
        <v>235</v>
      </c>
      <c r="F1637" s="205">
        <v>119.37062390610791</v>
      </c>
    </row>
    <row r="1638" spans="1:6">
      <c r="A1638" s="210">
        <v>177116000</v>
      </c>
      <c r="B1638" s="202" t="s">
        <v>1017</v>
      </c>
      <c r="C1638" s="203" t="s">
        <v>2143</v>
      </c>
      <c r="D1638" s="204">
        <v>1</v>
      </c>
      <c r="E1638" s="204" t="s">
        <v>235</v>
      </c>
      <c r="F1638" s="205">
        <v>20.512763164145529</v>
      </c>
    </row>
    <row r="1639" spans="1:6">
      <c r="A1639" s="210">
        <v>177117000</v>
      </c>
      <c r="B1639" s="202" t="s">
        <v>1018</v>
      </c>
      <c r="C1639" s="203" t="s">
        <v>2143</v>
      </c>
      <c r="D1639" s="204">
        <v>1</v>
      </c>
      <c r="E1639" s="204" t="s">
        <v>235</v>
      </c>
      <c r="F1639" s="205">
        <v>33.565776902451859</v>
      </c>
    </row>
    <row r="1640" spans="1:6">
      <c r="A1640" s="210">
        <v>177119000</v>
      </c>
      <c r="B1640" s="202" t="s">
        <v>1019</v>
      </c>
      <c r="C1640" s="203" t="s">
        <v>2143</v>
      </c>
      <c r="D1640" s="204">
        <v>1</v>
      </c>
      <c r="E1640" s="204" t="s">
        <v>235</v>
      </c>
      <c r="F1640" s="205">
        <v>21.805065598642454</v>
      </c>
    </row>
    <row r="1641" spans="1:6">
      <c r="A1641" s="210">
        <v>177200000</v>
      </c>
      <c r="B1641" s="202" t="s">
        <v>3754</v>
      </c>
      <c r="C1641" s="203" t="s">
        <v>2143</v>
      </c>
      <c r="D1641" s="204">
        <v>1</v>
      </c>
      <c r="E1641" s="204" t="s">
        <v>235</v>
      </c>
      <c r="F1641" s="205">
        <v>4.8702598902456771</v>
      </c>
    </row>
    <row r="1642" spans="1:6">
      <c r="A1642" s="210">
        <v>177211000</v>
      </c>
      <c r="B1642" s="202" t="s">
        <v>3756</v>
      </c>
      <c r="C1642" s="203" t="s">
        <v>2143</v>
      </c>
      <c r="D1642" s="204">
        <v>1</v>
      </c>
      <c r="E1642" s="204" t="s">
        <v>235</v>
      </c>
      <c r="F1642" s="205">
        <v>1.656113919433809</v>
      </c>
    </row>
    <row r="1643" spans="1:6">
      <c r="A1643" s="210">
        <v>177212000</v>
      </c>
      <c r="B1643" s="202" t="s">
        <v>1020</v>
      </c>
      <c r="C1643" s="203" t="s">
        <v>2143</v>
      </c>
      <c r="D1643" s="204">
        <v>1</v>
      </c>
      <c r="E1643" s="204" t="s">
        <v>235</v>
      </c>
      <c r="F1643" s="205">
        <v>9.6229255924467019</v>
      </c>
    </row>
    <row r="1644" spans="1:6">
      <c r="A1644" s="210">
        <v>177213000</v>
      </c>
      <c r="B1644" s="202" t="s">
        <v>1021</v>
      </c>
      <c r="C1644" s="203" t="s">
        <v>2143</v>
      </c>
      <c r="D1644" s="204">
        <v>1</v>
      </c>
      <c r="E1644" s="204" t="s">
        <v>235</v>
      </c>
      <c r="F1644" s="205">
        <v>17.557450892863223</v>
      </c>
    </row>
    <row r="1645" spans="1:6">
      <c r="A1645" s="210">
        <v>177219000</v>
      </c>
      <c r="B1645" s="202" t="s">
        <v>1022</v>
      </c>
      <c r="C1645" s="203" t="s">
        <v>2143</v>
      </c>
      <c r="D1645" s="204">
        <v>1</v>
      </c>
      <c r="E1645" s="204" t="s">
        <v>235</v>
      </c>
      <c r="F1645" s="205">
        <v>12.502567293474117</v>
      </c>
    </row>
    <row r="1646" spans="1:6">
      <c r="A1646" s="210">
        <v>177900000</v>
      </c>
      <c r="B1646" s="202" t="s">
        <v>5958</v>
      </c>
      <c r="C1646" s="203" t="s">
        <v>2143</v>
      </c>
      <c r="D1646" s="204">
        <v>1</v>
      </c>
      <c r="E1646" s="204" t="s">
        <v>2013</v>
      </c>
      <c r="F1646" s="205">
        <v>5.9420708946180956E-3</v>
      </c>
    </row>
    <row r="1647" spans="1:6">
      <c r="A1647" s="210">
        <v>177919000</v>
      </c>
      <c r="B1647" s="202" t="s">
        <v>1023</v>
      </c>
      <c r="C1647" s="203" t="s">
        <v>2143</v>
      </c>
      <c r="D1647" s="204">
        <v>1</v>
      </c>
      <c r="E1647" s="204" t="s">
        <v>2013</v>
      </c>
      <c r="F1647" s="205">
        <v>5.7742967987455584E-3</v>
      </c>
    </row>
    <row r="1648" spans="1:6">
      <c r="A1648" s="210">
        <v>177921000</v>
      </c>
      <c r="B1648" s="202" t="s">
        <v>1024</v>
      </c>
      <c r="C1648" s="203" t="s">
        <v>2143</v>
      </c>
      <c r="D1648" s="204">
        <v>1</v>
      </c>
      <c r="E1648" s="204" t="s">
        <v>2013</v>
      </c>
      <c r="F1648" s="205">
        <v>6.1440634003351539E-3</v>
      </c>
    </row>
    <row r="1649" spans="1:6">
      <c r="A1649" s="210">
        <v>179100000</v>
      </c>
      <c r="B1649" s="202" t="s">
        <v>3761</v>
      </c>
      <c r="C1649" s="203" t="s">
        <v>2143</v>
      </c>
      <c r="D1649" s="204">
        <v>1</v>
      </c>
      <c r="E1649" s="204" t="s">
        <v>2013</v>
      </c>
      <c r="F1649" s="205">
        <v>3.0688089614027542E-2</v>
      </c>
    </row>
    <row r="1650" spans="1:6">
      <c r="A1650" s="210">
        <v>179111000</v>
      </c>
      <c r="B1650" s="202" t="s">
        <v>1025</v>
      </c>
      <c r="C1650" s="203" t="s">
        <v>2143</v>
      </c>
      <c r="D1650" s="204">
        <v>1</v>
      </c>
      <c r="E1650" s="204" t="s">
        <v>235</v>
      </c>
      <c r="F1650" s="205">
        <v>6.601115935384585</v>
      </c>
    </row>
    <row r="1651" spans="1:6">
      <c r="A1651" s="210">
        <v>179119000</v>
      </c>
      <c r="B1651" s="202" t="s">
        <v>1026</v>
      </c>
      <c r="C1651" s="203" t="s">
        <v>2143</v>
      </c>
      <c r="D1651" s="204">
        <v>1</v>
      </c>
      <c r="E1651" s="204" t="s">
        <v>2013</v>
      </c>
      <c r="F1651" s="205">
        <v>1.0738207844546715E-2</v>
      </c>
    </row>
    <row r="1652" spans="1:6">
      <c r="A1652" s="210">
        <v>179121000</v>
      </c>
      <c r="B1652" s="202" t="s">
        <v>1027</v>
      </c>
      <c r="C1652" s="203" t="s">
        <v>2143</v>
      </c>
      <c r="D1652" s="204">
        <v>1</v>
      </c>
      <c r="E1652" s="204" t="s">
        <v>235</v>
      </c>
      <c r="F1652" s="205">
        <v>6.6259485198119226</v>
      </c>
    </row>
    <row r="1653" spans="1:6">
      <c r="A1653" s="210">
        <v>179200000</v>
      </c>
      <c r="B1653" s="202" t="s">
        <v>3765</v>
      </c>
      <c r="C1653" s="203" t="s">
        <v>2143</v>
      </c>
      <c r="D1653" s="204">
        <v>1</v>
      </c>
      <c r="E1653" s="204" t="s">
        <v>235</v>
      </c>
      <c r="F1653" s="205">
        <v>15.452140217416478</v>
      </c>
    </row>
    <row r="1654" spans="1:6">
      <c r="A1654" s="210">
        <v>179211000</v>
      </c>
      <c r="B1654" s="202" t="s">
        <v>1028</v>
      </c>
      <c r="C1654" s="203" t="s">
        <v>2143</v>
      </c>
      <c r="D1654" s="204">
        <v>1</v>
      </c>
      <c r="E1654" s="204" t="s">
        <v>235</v>
      </c>
      <c r="F1654" s="205">
        <v>16.003399169388572</v>
      </c>
    </row>
    <row r="1655" spans="1:6">
      <c r="A1655" s="210">
        <v>179211200</v>
      </c>
      <c r="B1655" s="202" t="s">
        <v>5959</v>
      </c>
      <c r="C1655" s="203" t="s">
        <v>2143</v>
      </c>
      <c r="D1655" s="204">
        <v>1</v>
      </c>
      <c r="E1655" s="204" t="s">
        <v>235</v>
      </c>
      <c r="F1655" s="205">
        <v>2.8257319858149317</v>
      </c>
    </row>
    <row r="1656" spans="1:6">
      <c r="A1656" s="210">
        <v>179211201</v>
      </c>
      <c r="B1656" s="202" t="s">
        <v>5960</v>
      </c>
      <c r="C1656" s="203" t="s">
        <v>2143</v>
      </c>
      <c r="D1656" s="204">
        <v>1</v>
      </c>
      <c r="E1656" s="204" t="s">
        <v>235</v>
      </c>
      <c r="F1656" s="205">
        <v>3.8519016957489338</v>
      </c>
    </row>
    <row r="1657" spans="1:6">
      <c r="A1657" s="210">
        <v>179221000</v>
      </c>
      <c r="B1657" s="202" t="s">
        <v>1029</v>
      </c>
      <c r="C1657" s="203" t="s">
        <v>2143</v>
      </c>
      <c r="D1657" s="204">
        <v>1</v>
      </c>
      <c r="E1657" s="204" t="s">
        <v>235</v>
      </c>
      <c r="F1657" s="205">
        <v>13.883377794823016</v>
      </c>
    </row>
    <row r="1658" spans="1:6">
      <c r="A1658" s="210">
        <v>179221200</v>
      </c>
      <c r="B1658" s="202" t="s">
        <v>5961</v>
      </c>
      <c r="C1658" s="203" t="s">
        <v>2143</v>
      </c>
      <c r="D1658" s="204">
        <v>1</v>
      </c>
      <c r="E1658" s="204" t="s">
        <v>235</v>
      </c>
      <c r="F1658" s="205">
        <v>10.434710525003281</v>
      </c>
    </row>
    <row r="1659" spans="1:6">
      <c r="A1659" s="210">
        <v>179229000</v>
      </c>
      <c r="B1659" s="202" t="s">
        <v>1030</v>
      </c>
      <c r="C1659" s="203" t="s">
        <v>2143</v>
      </c>
      <c r="D1659" s="204">
        <v>1</v>
      </c>
      <c r="E1659" s="204" t="s">
        <v>235</v>
      </c>
      <c r="F1659" s="205">
        <v>15.580254972809678</v>
      </c>
    </row>
    <row r="1660" spans="1:6">
      <c r="A1660" s="210">
        <v>179229200</v>
      </c>
      <c r="B1660" s="202" t="s">
        <v>5962</v>
      </c>
      <c r="C1660" s="203" t="s">
        <v>2143</v>
      </c>
      <c r="D1660" s="204">
        <v>1</v>
      </c>
      <c r="E1660" s="204" t="s">
        <v>235</v>
      </c>
      <c r="F1660" s="205">
        <v>5.9961200876418834</v>
      </c>
    </row>
    <row r="1661" spans="1:6">
      <c r="A1661" s="210">
        <v>179300000</v>
      </c>
      <c r="B1661" s="202" t="s">
        <v>3770</v>
      </c>
      <c r="C1661" s="203" t="s">
        <v>2143</v>
      </c>
      <c r="D1661" s="204">
        <v>1</v>
      </c>
      <c r="E1661" s="204" t="s">
        <v>235</v>
      </c>
      <c r="F1661" s="205">
        <v>22.987535891055732</v>
      </c>
    </row>
    <row r="1662" spans="1:6">
      <c r="A1662" s="210">
        <v>179311000</v>
      </c>
      <c r="B1662" s="202" t="s">
        <v>1031</v>
      </c>
      <c r="C1662" s="203" t="s">
        <v>2143</v>
      </c>
      <c r="D1662" s="204">
        <v>1</v>
      </c>
      <c r="E1662" s="204" t="s">
        <v>235</v>
      </c>
      <c r="F1662" s="205">
        <v>19.762576445555339</v>
      </c>
    </row>
    <row r="1663" spans="1:6">
      <c r="A1663" s="210">
        <v>179312000</v>
      </c>
      <c r="B1663" s="202" t="s">
        <v>1032</v>
      </c>
      <c r="C1663" s="203" t="s">
        <v>2143</v>
      </c>
      <c r="D1663" s="204">
        <v>1</v>
      </c>
      <c r="E1663" s="204" t="s">
        <v>235</v>
      </c>
      <c r="F1663" s="205">
        <v>38.106264261222655</v>
      </c>
    </row>
    <row r="1664" spans="1:6">
      <c r="A1664" s="210">
        <v>179313000</v>
      </c>
      <c r="B1664" s="202" t="s">
        <v>1033</v>
      </c>
      <c r="C1664" s="203" t="s">
        <v>2143</v>
      </c>
      <c r="D1664" s="204">
        <v>1</v>
      </c>
      <c r="E1664" s="204" t="s">
        <v>235</v>
      </c>
      <c r="F1664" s="205">
        <v>20.168173415511088</v>
      </c>
    </row>
    <row r="1665" spans="1:6">
      <c r="A1665" s="210">
        <v>179400000</v>
      </c>
      <c r="B1665" s="202" t="s">
        <v>3775</v>
      </c>
      <c r="C1665" s="203" t="s">
        <v>2143</v>
      </c>
      <c r="D1665" s="204">
        <v>1</v>
      </c>
      <c r="E1665" s="204" t="s">
        <v>2013</v>
      </c>
      <c r="F1665" s="205">
        <v>1.5963968536689729E-2</v>
      </c>
    </row>
    <row r="1666" spans="1:6">
      <c r="A1666" s="210">
        <v>179411000</v>
      </c>
      <c r="B1666" s="202" t="s">
        <v>3777</v>
      </c>
      <c r="C1666" s="203" t="s">
        <v>2143</v>
      </c>
      <c r="D1666" s="204">
        <v>1</v>
      </c>
      <c r="E1666" s="204" t="s">
        <v>235</v>
      </c>
      <c r="F1666" s="205">
        <v>8.3604362126027425</v>
      </c>
    </row>
    <row r="1667" spans="1:6">
      <c r="A1667" s="210">
        <v>179412000</v>
      </c>
      <c r="B1667" s="202" t="s">
        <v>3779</v>
      </c>
      <c r="C1667" s="203" t="s">
        <v>2143</v>
      </c>
      <c r="D1667" s="204">
        <v>1</v>
      </c>
      <c r="E1667" s="204" t="s">
        <v>235</v>
      </c>
      <c r="F1667" s="205">
        <v>5.5841697628622864</v>
      </c>
    </row>
    <row r="1668" spans="1:6">
      <c r="A1668" s="210">
        <v>179412200</v>
      </c>
      <c r="B1668" s="202" t="s">
        <v>1034</v>
      </c>
      <c r="C1668" s="203" t="s">
        <v>2143</v>
      </c>
      <c r="D1668" s="204">
        <v>1</v>
      </c>
      <c r="E1668" s="204" t="s">
        <v>235</v>
      </c>
      <c r="F1668" s="205">
        <v>1.1186850684485821</v>
      </c>
    </row>
    <row r="1669" spans="1:6">
      <c r="A1669" s="210">
        <v>179412201</v>
      </c>
      <c r="B1669" s="202" t="s">
        <v>1035</v>
      </c>
      <c r="C1669" s="203" t="s">
        <v>2143</v>
      </c>
      <c r="D1669" s="204">
        <v>1</v>
      </c>
      <c r="E1669" s="204" t="s">
        <v>235</v>
      </c>
      <c r="F1669" s="205">
        <v>1.0503410433679445</v>
      </c>
    </row>
    <row r="1670" spans="1:6">
      <c r="A1670" s="210">
        <v>179412202</v>
      </c>
      <c r="B1670" s="202" t="s">
        <v>1036</v>
      </c>
      <c r="C1670" s="203" t="s">
        <v>2143</v>
      </c>
      <c r="D1670" s="204">
        <v>1</v>
      </c>
      <c r="E1670" s="204" t="s">
        <v>235</v>
      </c>
      <c r="F1670" s="205">
        <v>1.2811610250316372</v>
      </c>
    </row>
    <row r="1671" spans="1:6">
      <c r="A1671" s="210">
        <v>179412203</v>
      </c>
      <c r="B1671" s="202" t="s">
        <v>5963</v>
      </c>
      <c r="C1671" s="203" t="s">
        <v>2143</v>
      </c>
      <c r="D1671" s="204">
        <v>1</v>
      </c>
      <c r="E1671" s="204" t="s">
        <v>235</v>
      </c>
      <c r="F1671" s="205">
        <v>2.5723184209405865</v>
      </c>
    </row>
    <row r="1672" spans="1:6">
      <c r="A1672" s="210">
        <v>179412204</v>
      </c>
      <c r="B1672" s="202" t="s">
        <v>1037</v>
      </c>
      <c r="C1672" s="203" t="s">
        <v>2143</v>
      </c>
      <c r="D1672" s="204">
        <v>1</v>
      </c>
      <c r="E1672" s="204" t="s">
        <v>235</v>
      </c>
      <c r="F1672" s="205">
        <v>1.3965985648395181</v>
      </c>
    </row>
    <row r="1673" spans="1:6">
      <c r="A1673" s="210">
        <v>179412205</v>
      </c>
      <c r="B1673" s="202" t="s">
        <v>5964</v>
      </c>
      <c r="C1673" s="203" t="s">
        <v>2143</v>
      </c>
      <c r="D1673" s="204">
        <v>1</v>
      </c>
      <c r="E1673" s="204" t="s">
        <v>235</v>
      </c>
      <c r="F1673" s="205">
        <v>1.8712471595962668</v>
      </c>
    </row>
    <row r="1674" spans="1:6">
      <c r="A1674" s="210">
        <v>179412206</v>
      </c>
      <c r="B1674" s="202" t="s">
        <v>5965</v>
      </c>
      <c r="C1674" s="203" t="s">
        <v>2143</v>
      </c>
      <c r="D1674" s="204">
        <v>1</v>
      </c>
      <c r="E1674" s="204" t="s">
        <v>235</v>
      </c>
      <c r="F1674" s="205">
        <v>2.2401864112976084</v>
      </c>
    </row>
    <row r="1675" spans="1:6">
      <c r="A1675" s="210">
        <v>179419000</v>
      </c>
      <c r="B1675" s="202" t="s">
        <v>1038</v>
      </c>
      <c r="C1675" s="203" t="s">
        <v>2143</v>
      </c>
      <c r="D1675" s="204">
        <v>1</v>
      </c>
      <c r="E1675" s="204" t="s">
        <v>2013</v>
      </c>
      <c r="F1675" s="205">
        <v>1.2427949284813954E-2</v>
      </c>
    </row>
    <row r="1676" spans="1:6">
      <c r="A1676" s="210">
        <v>179500000</v>
      </c>
      <c r="B1676" s="202" t="s">
        <v>3782</v>
      </c>
      <c r="C1676" s="203" t="s">
        <v>2143</v>
      </c>
      <c r="D1676" s="204">
        <v>1</v>
      </c>
      <c r="E1676" s="204" t="s">
        <v>2013</v>
      </c>
      <c r="F1676" s="205">
        <v>1.6252228862570748E-2</v>
      </c>
    </row>
    <row r="1677" spans="1:6">
      <c r="A1677" s="210">
        <v>179511000</v>
      </c>
      <c r="B1677" s="202" t="s">
        <v>3784</v>
      </c>
      <c r="C1677" s="203" t="s">
        <v>2143</v>
      </c>
      <c r="D1677" s="204">
        <v>1</v>
      </c>
      <c r="E1677" s="204" t="s">
        <v>425</v>
      </c>
      <c r="F1677" s="205">
        <v>5.9146832924275303</v>
      </c>
    </row>
    <row r="1678" spans="1:6">
      <c r="A1678" s="210">
        <v>179512000</v>
      </c>
      <c r="B1678" s="202" t="s">
        <v>1039</v>
      </c>
      <c r="C1678" s="203" t="s">
        <v>2143</v>
      </c>
      <c r="D1678" s="204">
        <v>1</v>
      </c>
      <c r="E1678" s="204" t="s">
        <v>2144</v>
      </c>
      <c r="F1678" s="205">
        <v>5.4871126695748673</v>
      </c>
    </row>
    <row r="1679" spans="1:6">
      <c r="A1679" s="210">
        <v>179513000</v>
      </c>
      <c r="B1679" s="202" t="s">
        <v>1040</v>
      </c>
      <c r="C1679" s="203" t="s">
        <v>2143</v>
      </c>
      <c r="D1679" s="204">
        <v>1</v>
      </c>
      <c r="E1679" s="204" t="s">
        <v>425</v>
      </c>
      <c r="F1679" s="205">
        <v>2.0572137780969877</v>
      </c>
    </row>
    <row r="1680" spans="1:6">
      <c r="A1680" s="210">
        <v>179514000</v>
      </c>
      <c r="B1680" s="202" t="s">
        <v>3788</v>
      </c>
      <c r="C1680" s="203" t="s">
        <v>2143</v>
      </c>
      <c r="D1680" s="204">
        <v>1</v>
      </c>
      <c r="E1680" s="204" t="s">
        <v>425</v>
      </c>
      <c r="F1680" s="205">
        <v>0.3184688312065419</v>
      </c>
    </row>
    <row r="1681" spans="1:6">
      <c r="A1681" s="210">
        <v>179515000</v>
      </c>
      <c r="B1681" s="202" t="s">
        <v>1041</v>
      </c>
      <c r="C1681" s="203" t="s">
        <v>2143</v>
      </c>
      <c r="D1681" s="204">
        <v>1</v>
      </c>
      <c r="E1681" s="204" t="s">
        <v>2013</v>
      </c>
      <c r="F1681" s="205">
        <v>1.2049711826554841E-2</v>
      </c>
    </row>
    <row r="1682" spans="1:6">
      <c r="A1682" s="210">
        <v>179516000</v>
      </c>
      <c r="B1682" s="202" t="s">
        <v>5966</v>
      </c>
      <c r="C1682" s="203" t="s">
        <v>2143</v>
      </c>
      <c r="D1682" s="204">
        <v>1</v>
      </c>
      <c r="E1682" s="204" t="s">
        <v>2013</v>
      </c>
      <c r="F1682" s="205">
        <v>1.8756979032409915E-2</v>
      </c>
    </row>
    <row r="1683" spans="1:6">
      <c r="A1683" s="210">
        <v>179600000</v>
      </c>
      <c r="B1683" s="202" t="s">
        <v>5967</v>
      </c>
      <c r="C1683" s="203" t="s">
        <v>2143</v>
      </c>
      <c r="D1683" s="204">
        <v>1</v>
      </c>
      <c r="E1683" s="204" t="s">
        <v>2013</v>
      </c>
      <c r="F1683" s="205">
        <v>1.5204443640808684E-2</v>
      </c>
    </row>
    <row r="1684" spans="1:6">
      <c r="A1684" s="210">
        <v>179611000</v>
      </c>
      <c r="B1684" s="202" t="s">
        <v>3790</v>
      </c>
      <c r="C1684" s="203" t="s">
        <v>2143</v>
      </c>
      <c r="D1684" s="204">
        <v>1</v>
      </c>
      <c r="E1684" s="204" t="s">
        <v>2013</v>
      </c>
      <c r="F1684" s="205">
        <v>1.5796101401752728E-2</v>
      </c>
    </row>
    <row r="1685" spans="1:6">
      <c r="A1685" s="210">
        <v>179612000</v>
      </c>
      <c r="B1685" s="202" t="s">
        <v>1042</v>
      </c>
      <c r="C1685" s="203" t="s">
        <v>2143</v>
      </c>
      <c r="D1685" s="204">
        <v>1</v>
      </c>
      <c r="E1685" s="204" t="s">
        <v>2013</v>
      </c>
      <c r="F1685" s="205">
        <v>1.1695125676160611E-2</v>
      </c>
    </row>
    <row r="1686" spans="1:6">
      <c r="A1686" s="210">
        <v>179700000</v>
      </c>
      <c r="B1686" s="202" t="s">
        <v>5968</v>
      </c>
      <c r="C1686" s="203" t="s">
        <v>2143</v>
      </c>
      <c r="D1686" s="204">
        <v>1</v>
      </c>
      <c r="E1686" s="204" t="s">
        <v>2013</v>
      </c>
      <c r="F1686" s="205">
        <v>1.0463153577583841E-2</v>
      </c>
    </row>
    <row r="1687" spans="1:6">
      <c r="A1687" s="210">
        <v>179711000</v>
      </c>
      <c r="B1687" s="202" t="s">
        <v>5969</v>
      </c>
      <c r="C1687" s="203" t="s">
        <v>2143</v>
      </c>
      <c r="D1687" s="204">
        <v>1</v>
      </c>
      <c r="E1687" s="204" t="s">
        <v>2013</v>
      </c>
      <c r="F1687" s="205">
        <v>1.0463153577583841E-2</v>
      </c>
    </row>
    <row r="1688" spans="1:6">
      <c r="A1688" s="210">
        <v>179900000</v>
      </c>
      <c r="B1688" s="202" t="s">
        <v>3793</v>
      </c>
      <c r="C1688" s="203" t="s">
        <v>2143</v>
      </c>
      <c r="D1688" s="204">
        <v>1</v>
      </c>
      <c r="E1688" s="204" t="s">
        <v>2013</v>
      </c>
      <c r="F1688" s="205">
        <v>1.2624018735690485E-2</v>
      </c>
    </row>
    <row r="1689" spans="1:6">
      <c r="A1689" s="210">
        <v>179911000</v>
      </c>
      <c r="B1689" s="202" t="s">
        <v>3795</v>
      </c>
      <c r="C1689" s="203" t="s">
        <v>2143</v>
      </c>
      <c r="D1689" s="204">
        <v>1</v>
      </c>
      <c r="E1689" s="204" t="s">
        <v>235</v>
      </c>
      <c r="F1689" s="205">
        <v>3.6017454029001708</v>
      </c>
    </row>
    <row r="1690" spans="1:6">
      <c r="A1690" s="210">
        <v>179912000</v>
      </c>
      <c r="B1690" s="202" t="s">
        <v>1043</v>
      </c>
      <c r="C1690" s="203" t="s">
        <v>2143</v>
      </c>
      <c r="D1690" s="204">
        <v>1</v>
      </c>
      <c r="E1690" s="204" t="s">
        <v>235</v>
      </c>
      <c r="F1690" s="205">
        <v>0.98319494875619384</v>
      </c>
    </row>
    <row r="1691" spans="1:6">
      <c r="A1691" s="210">
        <v>179919000</v>
      </c>
      <c r="B1691" s="202" t="s">
        <v>1044</v>
      </c>
      <c r="C1691" s="203" t="s">
        <v>2143</v>
      </c>
      <c r="D1691" s="204">
        <v>1</v>
      </c>
      <c r="E1691" s="204" t="s">
        <v>2013</v>
      </c>
      <c r="F1691" s="205">
        <v>1.2906400726894319E-2</v>
      </c>
    </row>
    <row r="1692" spans="1:6">
      <c r="A1692" s="210">
        <v>179919100</v>
      </c>
      <c r="B1692" s="202" t="s">
        <v>5970</v>
      </c>
      <c r="C1692" s="203" t="s">
        <v>2143</v>
      </c>
      <c r="D1692" s="204">
        <v>1</v>
      </c>
      <c r="E1692" s="204" t="s">
        <v>278</v>
      </c>
      <c r="F1692" s="205">
        <v>485.67748677091191</v>
      </c>
    </row>
    <row r="1693" spans="1:6">
      <c r="A1693" s="210">
        <v>179919200</v>
      </c>
      <c r="B1693" s="202" t="s">
        <v>3801</v>
      </c>
      <c r="C1693" s="203" t="s">
        <v>2143</v>
      </c>
      <c r="D1693" s="204">
        <v>1</v>
      </c>
      <c r="E1693" s="204" t="s">
        <v>278</v>
      </c>
      <c r="F1693" s="205">
        <v>3.282488359659367</v>
      </c>
    </row>
    <row r="1694" spans="1:6">
      <c r="A1694" s="210">
        <v>181100000</v>
      </c>
      <c r="B1694" s="202" t="s">
        <v>3803</v>
      </c>
      <c r="C1694" s="203" t="s">
        <v>2143</v>
      </c>
      <c r="D1694" s="204">
        <v>1</v>
      </c>
      <c r="E1694" s="204" t="s">
        <v>2013</v>
      </c>
      <c r="F1694" s="205">
        <v>6.3099384780527417E-3</v>
      </c>
    </row>
    <row r="1695" spans="1:6">
      <c r="A1695" s="210">
        <v>181111000</v>
      </c>
      <c r="B1695" s="202" t="s">
        <v>106</v>
      </c>
      <c r="C1695" s="203" t="s">
        <v>2143</v>
      </c>
      <c r="D1695" s="204">
        <v>1</v>
      </c>
      <c r="E1695" s="204" t="s">
        <v>400</v>
      </c>
      <c r="F1695" s="205">
        <v>0.55893329637395883</v>
      </c>
    </row>
    <row r="1696" spans="1:6">
      <c r="A1696" s="210">
        <v>181111102</v>
      </c>
      <c r="B1696" s="202" t="s">
        <v>1250</v>
      </c>
      <c r="C1696" s="203" t="s">
        <v>2143</v>
      </c>
      <c r="D1696" s="204">
        <v>1</v>
      </c>
      <c r="E1696" s="204" t="s">
        <v>235</v>
      </c>
      <c r="F1696" s="205">
        <v>6.3966810198377626</v>
      </c>
    </row>
    <row r="1697" spans="1:6">
      <c r="A1697" s="210">
        <v>181111801</v>
      </c>
      <c r="B1697" s="202" t="s">
        <v>3806</v>
      </c>
      <c r="C1697" s="203" t="s">
        <v>2143</v>
      </c>
      <c r="D1697" s="204">
        <v>1</v>
      </c>
      <c r="E1697" s="204" t="s">
        <v>279</v>
      </c>
      <c r="F1697" s="205">
        <v>8.3254117259754984E-2</v>
      </c>
    </row>
    <row r="1698" spans="1:6">
      <c r="A1698" s="210">
        <v>181112000</v>
      </c>
      <c r="B1698" s="202" t="s">
        <v>105</v>
      </c>
      <c r="C1698" s="203" t="s">
        <v>2143</v>
      </c>
      <c r="D1698" s="204">
        <v>1</v>
      </c>
      <c r="E1698" s="204" t="s">
        <v>400</v>
      </c>
      <c r="F1698" s="205">
        <v>0.34473635446515127</v>
      </c>
    </row>
    <row r="1699" spans="1:6">
      <c r="A1699" s="210">
        <v>181112801</v>
      </c>
      <c r="B1699" s="202" t="s">
        <v>3809</v>
      </c>
      <c r="C1699" s="203" t="s">
        <v>2143</v>
      </c>
      <c r="D1699" s="204">
        <v>1</v>
      </c>
      <c r="E1699" s="204" t="s">
        <v>279</v>
      </c>
      <c r="F1699" s="205">
        <v>8.0924218094386921E-2</v>
      </c>
    </row>
    <row r="1700" spans="1:6">
      <c r="A1700" s="210">
        <v>181113000</v>
      </c>
      <c r="B1700" s="202" t="s">
        <v>1045</v>
      </c>
      <c r="C1700" s="203" t="s">
        <v>2143</v>
      </c>
      <c r="D1700" s="204">
        <v>1</v>
      </c>
      <c r="E1700" s="204" t="s">
        <v>400</v>
      </c>
      <c r="F1700" s="205">
        <v>0.33028254549574626</v>
      </c>
    </row>
    <row r="1701" spans="1:6">
      <c r="A1701" s="210">
        <v>181113801</v>
      </c>
      <c r="B1701" s="202" t="s">
        <v>3812</v>
      </c>
      <c r="C1701" s="203" t="s">
        <v>2143</v>
      </c>
      <c r="D1701" s="204">
        <v>1</v>
      </c>
      <c r="E1701" s="204" t="s">
        <v>279</v>
      </c>
      <c r="F1701" s="205">
        <v>7.6099521857814045E-2</v>
      </c>
    </row>
    <row r="1702" spans="1:6">
      <c r="A1702" s="210">
        <v>181114000</v>
      </c>
      <c r="B1702" s="202" t="s">
        <v>107</v>
      </c>
      <c r="C1702" s="203" t="s">
        <v>2143</v>
      </c>
      <c r="D1702" s="204">
        <v>1</v>
      </c>
      <c r="E1702" s="204" t="s">
        <v>400</v>
      </c>
      <c r="F1702" s="205">
        <v>0.33028380979140692</v>
      </c>
    </row>
    <row r="1703" spans="1:6">
      <c r="A1703" s="210">
        <v>181114801</v>
      </c>
      <c r="B1703" s="202" t="s">
        <v>3815</v>
      </c>
      <c r="C1703" s="203" t="s">
        <v>2143</v>
      </c>
      <c r="D1703" s="204">
        <v>1</v>
      </c>
      <c r="E1703" s="204" t="s">
        <v>279</v>
      </c>
      <c r="F1703" s="205">
        <v>7.6832890764042511E-2</v>
      </c>
    </row>
    <row r="1704" spans="1:6">
      <c r="A1704" s="210">
        <v>181114874</v>
      </c>
      <c r="B1704" s="202" t="s">
        <v>3817</v>
      </c>
      <c r="C1704" s="203" t="s">
        <v>2143</v>
      </c>
      <c r="D1704" s="204">
        <v>1</v>
      </c>
      <c r="E1704" s="204" t="s">
        <v>279</v>
      </c>
      <c r="F1704" s="205">
        <v>7.7024088519204836E-2</v>
      </c>
    </row>
    <row r="1705" spans="1:6">
      <c r="A1705" s="210">
        <v>181115000</v>
      </c>
      <c r="B1705" s="202" t="s">
        <v>45</v>
      </c>
      <c r="C1705" s="203" t="s">
        <v>2143</v>
      </c>
      <c r="D1705" s="204">
        <v>1</v>
      </c>
      <c r="E1705" s="204" t="s">
        <v>400</v>
      </c>
      <c r="F1705" s="205">
        <v>0.37062506839704074</v>
      </c>
    </row>
    <row r="1706" spans="1:6">
      <c r="A1706" s="210">
        <v>181115801</v>
      </c>
      <c r="B1706" s="202" t="s">
        <v>3820</v>
      </c>
      <c r="C1706" s="203" t="s">
        <v>2143</v>
      </c>
      <c r="D1706" s="204">
        <v>1</v>
      </c>
      <c r="E1706" s="204" t="s">
        <v>279</v>
      </c>
      <c r="F1706" s="205">
        <v>7.8397581285688883E-2</v>
      </c>
    </row>
    <row r="1707" spans="1:6">
      <c r="A1707" s="210">
        <v>181115874</v>
      </c>
      <c r="B1707" s="202" t="s">
        <v>3822</v>
      </c>
      <c r="C1707" s="203" t="s">
        <v>2143</v>
      </c>
      <c r="D1707" s="204">
        <v>1</v>
      </c>
      <c r="E1707" s="204" t="s">
        <v>279</v>
      </c>
      <c r="F1707" s="205">
        <v>7.8597172624394918E-2</v>
      </c>
    </row>
    <row r="1708" spans="1:6">
      <c r="A1708" s="210">
        <v>181115875</v>
      </c>
      <c r="B1708" s="202" t="s">
        <v>3824</v>
      </c>
      <c r="C1708" s="203" t="s">
        <v>2143</v>
      </c>
      <c r="D1708" s="204">
        <v>1</v>
      </c>
      <c r="E1708" s="204" t="s">
        <v>279</v>
      </c>
      <c r="F1708" s="205">
        <v>7.9027002597822249E-2</v>
      </c>
    </row>
    <row r="1709" spans="1:6">
      <c r="A1709" s="210">
        <v>181116000</v>
      </c>
      <c r="B1709" s="202" t="s">
        <v>109</v>
      </c>
      <c r="C1709" s="203" t="s">
        <v>2143</v>
      </c>
      <c r="D1709" s="204">
        <v>1</v>
      </c>
      <c r="E1709" s="204" t="s">
        <v>400</v>
      </c>
      <c r="F1709" s="205">
        <v>0.44503524840252034</v>
      </c>
    </row>
    <row r="1710" spans="1:6">
      <c r="A1710" s="210">
        <v>181116103</v>
      </c>
      <c r="B1710" s="202" t="s">
        <v>5971</v>
      </c>
      <c r="C1710" s="203" t="s">
        <v>2143</v>
      </c>
      <c r="D1710" s="204">
        <v>1</v>
      </c>
      <c r="E1710" s="204" t="s">
        <v>235</v>
      </c>
      <c r="F1710" s="205">
        <v>2.5521180035181059</v>
      </c>
    </row>
    <row r="1711" spans="1:6">
      <c r="A1711" s="210">
        <v>181116801</v>
      </c>
      <c r="B1711" s="202" t="s">
        <v>3827</v>
      </c>
      <c r="C1711" s="203" t="s">
        <v>2143</v>
      </c>
      <c r="D1711" s="204">
        <v>1</v>
      </c>
      <c r="E1711" s="204" t="s">
        <v>279</v>
      </c>
      <c r="F1711" s="205">
        <v>8.0681967538387772E-2</v>
      </c>
    </row>
    <row r="1712" spans="1:6">
      <c r="A1712" s="210">
        <v>181117000</v>
      </c>
      <c r="B1712" s="202" t="s">
        <v>110</v>
      </c>
      <c r="C1712" s="203" t="s">
        <v>2143</v>
      </c>
      <c r="D1712" s="204">
        <v>1</v>
      </c>
      <c r="E1712" s="204" t="s">
        <v>400</v>
      </c>
      <c r="F1712" s="205">
        <v>0.46042315639325149</v>
      </c>
    </row>
    <row r="1713" spans="1:6">
      <c r="A1713" s="210">
        <v>181117801</v>
      </c>
      <c r="B1713" s="202" t="s">
        <v>3830</v>
      </c>
      <c r="C1713" s="203" t="s">
        <v>2143</v>
      </c>
      <c r="D1713" s="204">
        <v>1</v>
      </c>
      <c r="E1713" s="204" t="s">
        <v>279</v>
      </c>
      <c r="F1713" s="205">
        <v>8.2901122759494225E-2</v>
      </c>
    </row>
    <row r="1714" spans="1:6">
      <c r="A1714" s="210">
        <v>181118000</v>
      </c>
      <c r="B1714" s="202" t="s">
        <v>111</v>
      </c>
      <c r="C1714" s="203" t="s">
        <v>2143</v>
      </c>
      <c r="D1714" s="204">
        <v>1</v>
      </c>
      <c r="E1714" s="204" t="s">
        <v>400</v>
      </c>
      <c r="F1714" s="205">
        <v>0.41722507902965794</v>
      </c>
    </row>
    <row r="1715" spans="1:6">
      <c r="A1715" s="210">
        <v>181118801</v>
      </c>
      <c r="B1715" s="202" t="s">
        <v>3833</v>
      </c>
      <c r="C1715" s="203" t="s">
        <v>2143</v>
      </c>
      <c r="D1715" s="204">
        <v>1</v>
      </c>
      <c r="E1715" s="204" t="s">
        <v>279</v>
      </c>
      <c r="F1715" s="205">
        <v>8.1462146991456624E-2</v>
      </c>
    </row>
    <row r="1716" spans="1:6">
      <c r="A1716" s="210">
        <v>181121000</v>
      </c>
      <c r="B1716" s="202" t="s">
        <v>3835</v>
      </c>
      <c r="C1716" s="203" t="s">
        <v>2143</v>
      </c>
      <c r="D1716" s="204">
        <v>1</v>
      </c>
      <c r="E1716" s="204" t="s">
        <v>400</v>
      </c>
      <c r="F1716" s="205">
        <v>0.61060267495039511</v>
      </c>
    </row>
    <row r="1717" spans="1:6">
      <c r="A1717" s="210">
        <v>181121200</v>
      </c>
      <c r="B1717" s="202" t="s">
        <v>1046</v>
      </c>
      <c r="C1717" s="203" t="s">
        <v>2143</v>
      </c>
      <c r="D1717" s="204">
        <v>1</v>
      </c>
      <c r="E1717" s="204" t="s">
        <v>400</v>
      </c>
      <c r="F1717" s="205">
        <v>0.80231484178222379</v>
      </c>
    </row>
    <row r="1718" spans="1:6">
      <c r="A1718" s="210">
        <v>181122000</v>
      </c>
      <c r="B1718" s="202" t="s">
        <v>1047</v>
      </c>
      <c r="C1718" s="203" t="s">
        <v>2143</v>
      </c>
      <c r="D1718" s="204">
        <v>1</v>
      </c>
      <c r="E1718" s="204" t="s">
        <v>235</v>
      </c>
      <c r="F1718" s="205">
        <v>0.35817929673860177</v>
      </c>
    </row>
    <row r="1719" spans="1:6">
      <c r="A1719" s="210">
        <v>181123000</v>
      </c>
      <c r="B1719" s="202" t="s">
        <v>1048</v>
      </c>
      <c r="C1719" s="203" t="s">
        <v>2143</v>
      </c>
      <c r="D1719" s="204">
        <v>1</v>
      </c>
      <c r="E1719" s="204" t="s">
        <v>235</v>
      </c>
      <c r="F1719" s="205">
        <v>0.30106534111949113</v>
      </c>
    </row>
    <row r="1720" spans="1:6">
      <c r="A1720" s="210">
        <v>181124000</v>
      </c>
      <c r="B1720" s="202" t="s">
        <v>1049</v>
      </c>
      <c r="C1720" s="203" t="s">
        <v>2143</v>
      </c>
      <c r="D1720" s="204">
        <v>1</v>
      </c>
      <c r="E1720" s="204" t="s">
        <v>235</v>
      </c>
      <c r="F1720" s="205">
        <v>0.84185702612105118</v>
      </c>
    </row>
    <row r="1721" spans="1:6">
      <c r="A1721" s="210">
        <v>181124105</v>
      </c>
      <c r="B1721" s="202" t="s">
        <v>5972</v>
      </c>
      <c r="C1721" s="203" t="s">
        <v>2143</v>
      </c>
      <c r="D1721" s="204">
        <v>1</v>
      </c>
      <c r="E1721" s="204" t="s">
        <v>235</v>
      </c>
      <c r="F1721" s="205">
        <v>6.1442909690975736</v>
      </c>
    </row>
    <row r="1722" spans="1:6">
      <c r="A1722" s="210">
        <v>181124106</v>
      </c>
      <c r="B1722" s="202" t="s">
        <v>5973</v>
      </c>
      <c r="C1722" s="203" t="s">
        <v>2143</v>
      </c>
      <c r="D1722" s="204">
        <v>1</v>
      </c>
      <c r="E1722" s="204" t="s">
        <v>235</v>
      </c>
      <c r="F1722" s="205">
        <v>1.6472763843934621</v>
      </c>
    </row>
    <row r="1723" spans="1:6">
      <c r="A1723" s="210">
        <v>181124801</v>
      </c>
      <c r="B1723" s="202" t="s">
        <v>3840</v>
      </c>
      <c r="C1723" s="203" t="s">
        <v>2143</v>
      </c>
      <c r="D1723" s="204">
        <v>1</v>
      </c>
      <c r="E1723" s="204" t="s">
        <v>279</v>
      </c>
      <c r="F1723" s="205">
        <v>7.5605323324633031E-2</v>
      </c>
    </row>
    <row r="1724" spans="1:6">
      <c r="A1724" s="210">
        <v>181124876</v>
      </c>
      <c r="B1724" s="202" t="s">
        <v>3842</v>
      </c>
      <c r="C1724" s="203" t="s">
        <v>2143</v>
      </c>
      <c r="D1724" s="204">
        <v>1</v>
      </c>
      <c r="E1724" s="204" t="s">
        <v>279</v>
      </c>
      <c r="F1724" s="205">
        <v>7.5791267911788959E-2</v>
      </c>
    </row>
    <row r="1725" spans="1:6">
      <c r="A1725" s="210">
        <v>181125000</v>
      </c>
      <c r="B1725" s="202" t="s">
        <v>3844</v>
      </c>
      <c r="C1725" s="203" t="s">
        <v>2143</v>
      </c>
      <c r="D1725" s="204">
        <v>1</v>
      </c>
      <c r="E1725" s="204" t="s">
        <v>400</v>
      </c>
      <c r="F1725" s="205">
        <v>0.34477717381424061</v>
      </c>
    </row>
    <row r="1726" spans="1:6">
      <c r="A1726" s="210">
        <v>181125801</v>
      </c>
      <c r="B1726" s="202" t="s">
        <v>3846</v>
      </c>
      <c r="C1726" s="203" t="s">
        <v>2143</v>
      </c>
      <c r="D1726" s="204">
        <v>1</v>
      </c>
      <c r="E1726" s="204" t="s">
        <v>279</v>
      </c>
      <c r="F1726" s="205">
        <v>7.9728576150964001E-2</v>
      </c>
    </row>
    <row r="1727" spans="1:6">
      <c r="A1727" s="210">
        <v>181126000</v>
      </c>
      <c r="B1727" s="202" t="s">
        <v>1050</v>
      </c>
      <c r="C1727" s="203" t="s">
        <v>2143</v>
      </c>
      <c r="D1727" s="204">
        <v>1</v>
      </c>
      <c r="E1727" s="204" t="s">
        <v>278</v>
      </c>
      <c r="F1727" s="205">
        <v>0.71304580813174667</v>
      </c>
    </row>
    <row r="1728" spans="1:6">
      <c r="A1728" s="210">
        <v>181126101</v>
      </c>
      <c r="B1728" s="202" t="s">
        <v>5974</v>
      </c>
      <c r="C1728" s="203" t="s">
        <v>2143</v>
      </c>
      <c r="D1728" s="204">
        <v>1</v>
      </c>
      <c r="E1728" s="204" t="s">
        <v>235</v>
      </c>
      <c r="F1728" s="205">
        <v>0.68294656107646912</v>
      </c>
    </row>
    <row r="1729" spans="1:6">
      <c r="A1729" s="210">
        <v>181126801</v>
      </c>
      <c r="B1729" s="202" t="s">
        <v>3849</v>
      </c>
      <c r="C1729" s="203" t="s">
        <v>2143</v>
      </c>
      <c r="D1729" s="204">
        <v>1</v>
      </c>
      <c r="E1729" s="204" t="s">
        <v>279</v>
      </c>
      <c r="F1729" s="205">
        <v>4.5471399855728123E-2</v>
      </c>
    </row>
    <row r="1730" spans="1:6">
      <c r="A1730" s="210">
        <v>181126802</v>
      </c>
      <c r="B1730" s="202" t="s">
        <v>3851</v>
      </c>
      <c r="C1730" s="203" t="s">
        <v>2143</v>
      </c>
      <c r="D1730" s="204">
        <v>1</v>
      </c>
      <c r="E1730" s="204" t="s">
        <v>279</v>
      </c>
      <c r="F1730" s="205">
        <v>7.0225309551575507E-2</v>
      </c>
    </row>
    <row r="1731" spans="1:6">
      <c r="A1731" s="210">
        <v>181126941</v>
      </c>
      <c r="B1731" s="202" t="s">
        <v>5975</v>
      </c>
      <c r="C1731" s="203" t="s">
        <v>5553</v>
      </c>
      <c r="D1731" s="204">
        <v>1</v>
      </c>
      <c r="E1731" s="204" t="s">
        <v>278</v>
      </c>
      <c r="F1731" s="205">
        <v>0</v>
      </c>
    </row>
    <row r="1732" spans="1:6">
      <c r="A1732" s="210">
        <v>182100000</v>
      </c>
      <c r="B1732" s="202" t="s">
        <v>3853</v>
      </c>
      <c r="C1732" s="203" t="s">
        <v>2143</v>
      </c>
      <c r="D1732" s="204">
        <v>1</v>
      </c>
      <c r="E1732" s="204" t="s">
        <v>400</v>
      </c>
      <c r="F1732" s="205">
        <v>0.812174256423284</v>
      </c>
    </row>
    <row r="1733" spans="1:6">
      <c r="A1733" s="210">
        <v>182111000</v>
      </c>
      <c r="B1733" s="202" t="s">
        <v>3855</v>
      </c>
      <c r="C1733" s="203" t="s">
        <v>2143</v>
      </c>
      <c r="D1733" s="204">
        <v>1</v>
      </c>
      <c r="E1733" s="204" t="s">
        <v>400</v>
      </c>
      <c r="F1733" s="205">
        <v>0.812174256423284</v>
      </c>
    </row>
    <row r="1734" spans="1:6">
      <c r="A1734" s="210">
        <v>182200000</v>
      </c>
      <c r="B1734" s="202" t="s">
        <v>3857</v>
      </c>
      <c r="C1734" s="203" t="s">
        <v>2143</v>
      </c>
      <c r="D1734" s="204">
        <v>1</v>
      </c>
      <c r="E1734" s="204" t="s">
        <v>235</v>
      </c>
      <c r="F1734" s="205">
        <v>1.1368527822972536</v>
      </c>
    </row>
    <row r="1735" spans="1:6">
      <c r="A1735" s="210">
        <v>182211000</v>
      </c>
      <c r="B1735" s="202" t="s">
        <v>3859</v>
      </c>
      <c r="C1735" s="203" t="s">
        <v>2143</v>
      </c>
      <c r="D1735" s="204">
        <v>1</v>
      </c>
      <c r="E1735" s="204" t="s">
        <v>235</v>
      </c>
      <c r="F1735" s="205">
        <v>1.1368527822972536</v>
      </c>
    </row>
    <row r="1736" spans="1:6">
      <c r="A1736" s="210">
        <v>183100000</v>
      </c>
      <c r="B1736" s="202" t="s">
        <v>3861</v>
      </c>
      <c r="C1736" s="203" t="s">
        <v>2143</v>
      </c>
      <c r="D1736" s="204">
        <v>1</v>
      </c>
      <c r="E1736" s="204" t="s">
        <v>2013</v>
      </c>
      <c r="F1736" s="205">
        <v>3.5313039133078122E-2</v>
      </c>
    </row>
    <row r="1737" spans="1:6">
      <c r="A1737" s="210">
        <v>183111000</v>
      </c>
      <c r="B1737" s="202" t="s">
        <v>1051</v>
      </c>
      <c r="C1737" s="203" t="s">
        <v>2143</v>
      </c>
      <c r="D1737" s="204">
        <v>1</v>
      </c>
      <c r="E1737" s="204" t="s">
        <v>235</v>
      </c>
      <c r="F1737" s="205">
        <v>0.87637041308479768</v>
      </c>
    </row>
    <row r="1738" spans="1:6">
      <c r="A1738" s="210">
        <v>183111101</v>
      </c>
      <c r="B1738" s="202" t="s">
        <v>3864</v>
      </c>
      <c r="C1738" s="203" t="s">
        <v>2143</v>
      </c>
      <c r="D1738" s="204">
        <v>1</v>
      </c>
      <c r="E1738" s="204" t="s">
        <v>235</v>
      </c>
      <c r="F1738" s="205">
        <v>1.1736859755678661</v>
      </c>
    </row>
    <row r="1739" spans="1:6">
      <c r="A1739" s="210">
        <v>183111801</v>
      </c>
      <c r="B1739" s="202" t="s">
        <v>3866</v>
      </c>
      <c r="C1739" s="203" t="s">
        <v>2143</v>
      </c>
      <c r="D1739" s="204">
        <v>1</v>
      </c>
      <c r="E1739" s="204" t="s">
        <v>279</v>
      </c>
      <c r="F1739" s="205">
        <v>0.13776219246682272</v>
      </c>
    </row>
    <row r="1740" spans="1:6">
      <c r="A1740" s="210">
        <v>183111803</v>
      </c>
      <c r="B1740" s="202" t="s">
        <v>3868</v>
      </c>
      <c r="C1740" s="203" t="s">
        <v>2143</v>
      </c>
      <c r="D1740" s="204">
        <v>1</v>
      </c>
      <c r="E1740" s="204" t="s">
        <v>279</v>
      </c>
      <c r="F1740" s="205">
        <v>0.1478750176312536</v>
      </c>
    </row>
    <row r="1741" spans="1:6">
      <c r="A1741" s="210">
        <v>183112000</v>
      </c>
      <c r="B1741" s="202" t="s">
        <v>3870</v>
      </c>
      <c r="C1741" s="203" t="s">
        <v>2143</v>
      </c>
      <c r="D1741" s="204">
        <v>1</v>
      </c>
      <c r="E1741" s="204" t="s">
        <v>278</v>
      </c>
      <c r="F1741" s="205">
        <v>0.25516909707618429</v>
      </c>
    </row>
    <row r="1742" spans="1:6">
      <c r="A1742" s="210">
        <v>183112640</v>
      </c>
      <c r="B1742" s="202" t="s">
        <v>5976</v>
      </c>
      <c r="C1742" s="203" t="s">
        <v>5553</v>
      </c>
      <c r="D1742" s="204">
        <v>1</v>
      </c>
      <c r="E1742" s="204" t="s">
        <v>278</v>
      </c>
      <c r="F1742" s="205">
        <v>0</v>
      </c>
    </row>
    <row r="1743" spans="1:6">
      <c r="A1743" s="210">
        <v>183112801</v>
      </c>
      <c r="B1743" s="202" t="s">
        <v>3872</v>
      </c>
      <c r="C1743" s="203" t="s">
        <v>2143</v>
      </c>
      <c r="D1743" s="204">
        <v>1</v>
      </c>
      <c r="E1743" s="204" t="s">
        <v>279</v>
      </c>
      <c r="F1743" s="205">
        <v>4.0337100458259556E-2</v>
      </c>
    </row>
    <row r="1744" spans="1:6">
      <c r="A1744" s="210">
        <v>183112802</v>
      </c>
      <c r="B1744" s="202" t="s">
        <v>3874</v>
      </c>
      <c r="C1744" s="203" t="s">
        <v>2143</v>
      </c>
      <c r="D1744" s="204">
        <v>1</v>
      </c>
      <c r="E1744" s="204" t="s">
        <v>279</v>
      </c>
      <c r="F1744" s="205">
        <v>0.25699999928474426</v>
      </c>
    </row>
    <row r="1745" spans="1:6">
      <c r="A1745" s="210">
        <v>183112803</v>
      </c>
      <c r="B1745" s="202" t="s">
        <v>3876</v>
      </c>
      <c r="C1745" s="203" t="s">
        <v>2143</v>
      </c>
      <c r="D1745" s="204">
        <v>1</v>
      </c>
      <c r="E1745" s="204" t="s">
        <v>279</v>
      </c>
      <c r="F1745" s="205">
        <v>0.18500000238418579</v>
      </c>
    </row>
    <row r="1746" spans="1:6">
      <c r="A1746" s="210">
        <v>183112804</v>
      </c>
      <c r="B1746" s="202" t="s">
        <v>3878</v>
      </c>
      <c r="C1746" s="203" t="s">
        <v>2143</v>
      </c>
      <c r="D1746" s="204">
        <v>1</v>
      </c>
      <c r="E1746" s="204" t="s">
        <v>279</v>
      </c>
      <c r="F1746" s="205">
        <v>0.18549349904060364</v>
      </c>
    </row>
    <row r="1747" spans="1:6">
      <c r="A1747" s="210">
        <v>183112940</v>
      </c>
      <c r="B1747" s="202" t="s">
        <v>5977</v>
      </c>
      <c r="C1747" s="203" t="s">
        <v>5553</v>
      </c>
      <c r="D1747" s="204">
        <v>1</v>
      </c>
      <c r="E1747" s="204" t="s">
        <v>278</v>
      </c>
      <c r="F1747" s="205">
        <v>0</v>
      </c>
    </row>
    <row r="1748" spans="1:6">
      <c r="A1748" s="210">
        <v>183113000</v>
      </c>
      <c r="B1748" s="202" t="s">
        <v>2026</v>
      </c>
      <c r="C1748" s="203" t="s">
        <v>2143</v>
      </c>
      <c r="D1748" s="204">
        <v>1</v>
      </c>
      <c r="E1748" s="204" t="s">
        <v>235</v>
      </c>
      <c r="F1748" s="205">
        <v>0.87637041308479768</v>
      </c>
    </row>
    <row r="1749" spans="1:6">
      <c r="A1749" s="210">
        <v>183113801</v>
      </c>
      <c r="B1749" s="202" t="s">
        <v>3881</v>
      </c>
      <c r="C1749" s="203" t="s">
        <v>2143</v>
      </c>
      <c r="D1749" s="204">
        <v>1</v>
      </c>
      <c r="E1749" s="204" t="s">
        <v>279</v>
      </c>
      <c r="F1749" s="205">
        <v>0.10017529940045586</v>
      </c>
    </row>
    <row r="1750" spans="1:6">
      <c r="A1750" s="210">
        <v>183114000</v>
      </c>
      <c r="B1750" s="202" t="s">
        <v>1052</v>
      </c>
      <c r="C1750" s="203" t="s">
        <v>2143</v>
      </c>
      <c r="D1750" s="204">
        <v>1</v>
      </c>
      <c r="E1750" s="204" t="s">
        <v>235</v>
      </c>
      <c r="F1750" s="205">
        <v>3.6179573626839163</v>
      </c>
    </row>
    <row r="1751" spans="1:6">
      <c r="A1751" s="210">
        <v>184100000</v>
      </c>
      <c r="B1751" s="202" t="s">
        <v>5978</v>
      </c>
      <c r="C1751" s="203" t="s">
        <v>2143</v>
      </c>
      <c r="D1751" s="204">
        <v>1</v>
      </c>
      <c r="E1751" s="204" t="s">
        <v>2013</v>
      </c>
      <c r="F1751" s="205">
        <v>1.6304081835799355E-2</v>
      </c>
    </row>
    <row r="1752" spans="1:6">
      <c r="A1752" s="210">
        <v>184111000</v>
      </c>
      <c r="B1752" s="202" t="s">
        <v>5979</v>
      </c>
      <c r="C1752" s="203" t="s">
        <v>2143</v>
      </c>
      <c r="D1752" s="204">
        <v>1</v>
      </c>
      <c r="E1752" s="204" t="s">
        <v>2013</v>
      </c>
      <c r="F1752" s="205">
        <v>1.6304081835799355E-2</v>
      </c>
    </row>
    <row r="1753" spans="1:6">
      <c r="A1753" s="210">
        <v>184111200</v>
      </c>
      <c r="B1753" s="202" t="s">
        <v>5980</v>
      </c>
      <c r="C1753" s="203" t="s">
        <v>2143</v>
      </c>
      <c r="D1753" s="204">
        <v>1</v>
      </c>
      <c r="E1753" s="204" t="s">
        <v>235</v>
      </c>
      <c r="F1753" s="205">
        <v>0.37829131952401579</v>
      </c>
    </row>
    <row r="1754" spans="1:6">
      <c r="A1754" s="210">
        <v>189100000</v>
      </c>
      <c r="B1754" s="202" t="s">
        <v>3884</v>
      </c>
      <c r="C1754" s="203" t="s">
        <v>2143</v>
      </c>
      <c r="D1754" s="204">
        <v>1</v>
      </c>
      <c r="E1754" s="204" t="s">
        <v>2013</v>
      </c>
      <c r="F1754" s="205">
        <v>1.5646389267082922E-2</v>
      </c>
    </row>
    <row r="1755" spans="1:6">
      <c r="A1755" s="210">
        <v>189111000</v>
      </c>
      <c r="B1755" s="202" t="s">
        <v>1053</v>
      </c>
      <c r="C1755" s="203" t="s">
        <v>2143</v>
      </c>
      <c r="D1755" s="204">
        <v>1</v>
      </c>
      <c r="E1755" s="204" t="s">
        <v>2013</v>
      </c>
      <c r="F1755" s="205">
        <v>1.5646389267082922E-2</v>
      </c>
    </row>
    <row r="1756" spans="1:6">
      <c r="A1756" s="210">
        <v>189111801</v>
      </c>
      <c r="B1756" s="202" t="s">
        <v>3887</v>
      </c>
      <c r="C1756" s="203" t="s">
        <v>2143</v>
      </c>
      <c r="D1756" s="204">
        <v>1</v>
      </c>
      <c r="E1756" s="204" t="s">
        <v>279</v>
      </c>
      <c r="F1756" s="205">
        <v>0.20847662124184377</v>
      </c>
    </row>
    <row r="1757" spans="1:6">
      <c r="A1757" s="210">
        <v>189900000</v>
      </c>
      <c r="B1757" s="202" t="s">
        <v>3889</v>
      </c>
      <c r="C1757" s="203" t="s">
        <v>2143</v>
      </c>
      <c r="D1757" s="204">
        <v>1</v>
      </c>
      <c r="E1757" s="204" t="s">
        <v>235</v>
      </c>
      <c r="F1757" s="205">
        <v>0.23519266843651523</v>
      </c>
    </row>
    <row r="1758" spans="1:6">
      <c r="A1758" s="210">
        <v>189911000</v>
      </c>
      <c r="B1758" s="202" t="s">
        <v>1054</v>
      </c>
      <c r="C1758" s="203" t="s">
        <v>2143</v>
      </c>
      <c r="D1758" s="204">
        <v>1</v>
      </c>
      <c r="E1758" s="204" t="s">
        <v>235</v>
      </c>
      <c r="F1758" s="205">
        <v>9.4337140028889332E-3</v>
      </c>
    </row>
    <row r="1759" spans="1:6">
      <c r="A1759" s="210">
        <v>189919000</v>
      </c>
      <c r="B1759" s="202" t="s">
        <v>3892</v>
      </c>
      <c r="C1759" s="203" t="s">
        <v>2143</v>
      </c>
      <c r="D1759" s="204">
        <v>1</v>
      </c>
      <c r="E1759" s="204" t="s">
        <v>235</v>
      </c>
      <c r="F1759" s="205">
        <v>0.32152551824619424</v>
      </c>
    </row>
    <row r="1760" spans="1:6">
      <c r="A1760" s="210">
        <v>189919100</v>
      </c>
      <c r="B1760" s="202" t="s">
        <v>3894</v>
      </c>
      <c r="C1760" s="203" t="s">
        <v>2143</v>
      </c>
      <c r="D1760" s="204">
        <v>1</v>
      </c>
      <c r="E1760" s="204" t="s">
        <v>235</v>
      </c>
      <c r="F1760" s="205">
        <v>0.6829465610751646</v>
      </c>
    </row>
    <row r="1761" spans="1:6">
      <c r="A1761" s="210">
        <v>189919101</v>
      </c>
      <c r="B1761" s="202" t="s">
        <v>5981</v>
      </c>
      <c r="C1761" s="203" t="s">
        <v>2143</v>
      </c>
      <c r="D1761" s="204">
        <v>1</v>
      </c>
      <c r="E1761" s="204" t="s">
        <v>235</v>
      </c>
      <c r="F1761" s="205">
        <v>0.68294656107646912</v>
      </c>
    </row>
    <row r="1762" spans="1:6">
      <c r="A1762" s="210">
        <v>189919102</v>
      </c>
      <c r="B1762" s="202" t="s">
        <v>5982</v>
      </c>
      <c r="C1762" s="203" t="s">
        <v>2143</v>
      </c>
      <c r="D1762" s="204">
        <v>1</v>
      </c>
      <c r="E1762" s="204" t="s">
        <v>235</v>
      </c>
      <c r="F1762" s="205">
        <v>3.3771892138416999</v>
      </c>
    </row>
    <row r="1763" spans="1:6">
      <c r="A1763" s="210">
        <v>189919104</v>
      </c>
      <c r="B1763" s="202" t="s">
        <v>5983</v>
      </c>
      <c r="C1763" s="203" t="s">
        <v>2143</v>
      </c>
      <c r="D1763" s="204">
        <v>1</v>
      </c>
      <c r="E1763" s="204" t="s">
        <v>235</v>
      </c>
      <c r="F1763" s="205">
        <v>3.1385758561952866</v>
      </c>
    </row>
    <row r="1764" spans="1:6">
      <c r="A1764" s="210">
        <v>189919107</v>
      </c>
      <c r="B1764" s="202" t="s">
        <v>5984</v>
      </c>
      <c r="C1764" s="203" t="s">
        <v>2143</v>
      </c>
      <c r="D1764" s="204">
        <v>1</v>
      </c>
      <c r="E1764" s="204" t="s">
        <v>235</v>
      </c>
      <c r="F1764" s="205">
        <v>4.7819644853721792</v>
      </c>
    </row>
    <row r="1765" spans="1:6">
      <c r="A1765" s="210">
        <v>189919109</v>
      </c>
      <c r="B1765" s="202" t="s">
        <v>5985</v>
      </c>
      <c r="C1765" s="203" t="s">
        <v>2143</v>
      </c>
      <c r="D1765" s="204">
        <v>1</v>
      </c>
      <c r="E1765" s="204" t="s">
        <v>235</v>
      </c>
      <c r="F1765" s="205">
        <v>3.8912968896599742</v>
      </c>
    </row>
    <row r="1766" spans="1:6">
      <c r="A1766" s="210">
        <v>189919801</v>
      </c>
      <c r="B1766" s="202" t="s">
        <v>3896</v>
      </c>
      <c r="C1766" s="203" t="s">
        <v>2143</v>
      </c>
      <c r="D1766" s="204">
        <v>1</v>
      </c>
      <c r="E1766" s="204" t="s">
        <v>279</v>
      </c>
      <c r="F1766" s="205">
        <v>0.11597225246390751</v>
      </c>
    </row>
    <row r="1767" spans="1:6">
      <c r="A1767" s="210">
        <v>190000640</v>
      </c>
      <c r="B1767" s="202" t="s">
        <v>5986</v>
      </c>
      <c r="C1767" s="203" t="s">
        <v>5553</v>
      </c>
      <c r="D1767" s="204">
        <v>1</v>
      </c>
      <c r="E1767" s="204" t="s">
        <v>235</v>
      </c>
      <c r="F1767" s="205">
        <v>0</v>
      </c>
    </row>
    <row r="1768" spans="1:6">
      <c r="A1768" s="210">
        <v>191100000</v>
      </c>
      <c r="B1768" s="202" t="s">
        <v>3898</v>
      </c>
      <c r="C1768" s="203" t="s">
        <v>2143</v>
      </c>
      <c r="D1768" s="204">
        <v>1</v>
      </c>
      <c r="E1768" s="204" t="s">
        <v>235</v>
      </c>
      <c r="F1768" s="205">
        <v>4.7651719730441009</v>
      </c>
    </row>
    <row r="1769" spans="1:6">
      <c r="A1769" s="210">
        <v>191111000</v>
      </c>
      <c r="B1769" s="202" t="s">
        <v>3900</v>
      </c>
      <c r="C1769" s="203" t="s">
        <v>2143</v>
      </c>
      <c r="D1769" s="204">
        <v>1</v>
      </c>
      <c r="E1769" s="204" t="s">
        <v>235</v>
      </c>
      <c r="F1769" s="205">
        <v>4.2096535614667374</v>
      </c>
    </row>
    <row r="1770" spans="1:6">
      <c r="A1770" s="210">
        <v>191111200</v>
      </c>
      <c r="B1770" s="202" t="s">
        <v>5987</v>
      </c>
      <c r="C1770" s="203" t="s">
        <v>2143</v>
      </c>
      <c r="D1770" s="204">
        <v>1</v>
      </c>
      <c r="E1770" s="204" t="s">
        <v>235</v>
      </c>
      <c r="F1770" s="205">
        <v>4.0064520535801531</v>
      </c>
    </row>
    <row r="1771" spans="1:6">
      <c r="A1771" s="210">
        <v>191112000</v>
      </c>
      <c r="B1771" s="202" t="s">
        <v>3902</v>
      </c>
      <c r="C1771" s="203" t="s">
        <v>2143</v>
      </c>
      <c r="D1771" s="204">
        <v>1</v>
      </c>
      <c r="E1771" s="204" t="s">
        <v>235</v>
      </c>
      <c r="F1771" s="205">
        <v>4.0411662327577398</v>
      </c>
    </row>
    <row r="1772" spans="1:6">
      <c r="A1772" s="210">
        <v>191113000</v>
      </c>
      <c r="B1772" s="202" t="s">
        <v>299</v>
      </c>
      <c r="C1772" s="203" t="s">
        <v>2143</v>
      </c>
      <c r="D1772" s="204">
        <v>1</v>
      </c>
      <c r="E1772" s="204" t="s">
        <v>235</v>
      </c>
      <c r="F1772" s="205">
        <v>6.324040187384516</v>
      </c>
    </row>
    <row r="1773" spans="1:6">
      <c r="A1773" s="210">
        <v>191114000</v>
      </c>
      <c r="B1773" s="202" t="s">
        <v>300</v>
      </c>
      <c r="C1773" s="203" t="s">
        <v>2143</v>
      </c>
      <c r="D1773" s="204">
        <v>1</v>
      </c>
      <c r="E1773" s="204" t="s">
        <v>235</v>
      </c>
      <c r="F1773" s="205">
        <v>4.9706415490973646</v>
      </c>
    </row>
    <row r="1774" spans="1:6">
      <c r="A1774" s="210">
        <v>191115000</v>
      </c>
      <c r="B1774" s="202" t="s">
        <v>1055</v>
      </c>
      <c r="C1774" s="203" t="s">
        <v>2143</v>
      </c>
      <c r="D1774" s="204">
        <v>1</v>
      </c>
      <c r="E1774" s="204" t="s">
        <v>235</v>
      </c>
      <c r="F1774" s="205">
        <v>4.6924837920241353</v>
      </c>
    </row>
    <row r="1775" spans="1:6">
      <c r="A1775" s="210">
        <v>191200000</v>
      </c>
      <c r="B1775" s="202" t="s">
        <v>3907</v>
      </c>
      <c r="C1775" s="203" t="s">
        <v>2143</v>
      </c>
      <c r="D1775" s="204">
        <v>1</v>
      </c>
      <c r="E1775" s="204" t="s">
        <v>235</v>
      </c>
      <c r="F1775" s="205">
        <v>3.8515573928710536</v>
      </c>
    </row>
    <row r="1776" spans="1:6">
      <c r="A1776" s="210">
        <v>191211000</v>
      </c>
      <c r="B1776" s="202" t="s">
        <v>1056</v>
      </c>
      <c r="C1776" s="203" t="s">
        <v>2143</v>
      </c>
      <c r="D1776" s="204">
        <v>1</v>
      </c>
      <c r="E1776" s="204" t="s">
        <v>235</v>
      </c>
      <c r="F1776" s="205">
        <v>3.8775108047063087</v>
      </c>
    </row>
    <row r="1777" spans="1:6">
      <c r="A1777" s="210">
        <v>191211200</v>
      </c>
      <c r="B1777" s="202" t="s">
        <v>5988</v>
      </c>
      <c r="C1777" s="203" t="s">
        <v>2143</v>
      </c>
      <c r="D1777" s="204">
        <v>1</v>
      </c>
      <c r="E1777" s="204" t="s">
        <v>235</v>
      </c>
      <c r="F1777" s="205">
        <v>3.6170781344256122</v>
      </c>
    </row>
    <row r="1778" spans="1:6">
      <c r="A1778" s="210">
        <v>191212000</v>
      </c>
      <c r="B1778" s="202" t="s">
        <v>1057</v>
      </c>
      <c r="C1778" s="203" t="s">
        <v>2143</v>
      </c>
      <c r="D1778" s="204">
        <v>1</v>
      </c>
      <c r="E1778" s="204" t="s">
        <v>235</v>
      </c>
      <c r="F1778" s="205">
        <v>3.5510941976534904</v>
      </c>
    </row>
    <row r="1779" spans="1:6">
      <c r="A1779" s="210">
        <v>191300000</v>
      </c>
      <c r="B1779" s="202" t="s">
        <v>3911</v>
      </c>
      <c r="C1779" s="203" t="s">
        <v>2143</v>
      </c>
      <c r="D1779" s="204">
        <v>1</v>
      </c>
      <c r="E1779" s="204" t="s">
        <v>235</v>
      </c>
      <c r="F1779" s="205">
        <v>4.4335616870064367</v>
      </c>
    </row>
    <row r="1780" spans="1:6">
      <c r="A1780" s="210">
        <v>191311000</v>
      </c>
      <c r="B1780" s="202" t="s">
        <v>3913</v>
      </c>
      <c r="C1780" s="203" t="s">
        <v>2143</v>
      </c>
      <c r="D1780" s="204">
        <v>1</v>
      </c>
      <c r="E1780" s="204" t="s">
        <v>235</v>
      </c>
      <c r="F1780" s="205">
        <v>4.4335616870064367</v>
      </c>
    </row>
    <row r="1781" spans="1:6">
      <c r="A1781" s="210">
        <v>191400000</v>
      </c>
      <c r="B1781" s="202" t="s">
        <v>3915</v>
      </c>
      <c r="C1781" s="203" t="s">
        <v>2143</v>
      </c>
      <c r="D1781" s="204">
        <v>1</v>
      </c>
      <c r="E1781" s="204" t="s">
        <v>235</v>
      </c>
      <c r="F1781" s="205">
        <v>4.2805138648681682</v>
      </c>
    </row>
    <row r="1782" spans="1:6">
      <c r="A1782" s="210">
        <v>191411000</v>
      </c>
      <c r="B1782" s="202" t="s">
        <v>1058</v>
      </c>
      <c r="C1782" s="203" t="s">
        <v>2143</v>
      </c>
      <c r="D1782" s="204">
        <v>1</v>
      </c>
      <c r="E1782" s="204" t="s">
        <v>235</v>
      </c>
      <c r="F1782" s="205">
        <v>4.6392264729717629</v>
      </c>
    </row>
    <row r="1783" spans="1:6">
      <c r="A1783" s="210">
        <v>191419000</v>
      </c>
      <c r="B1783" s="202" t="s">
        <v>1059</v>
      </c>
      <c r="C1783" s="203" t="s">
        <v>2143</v>
      </c>
      <c r="D1783" s="204">
        <v>1</v>
      </c>
      <c r="E1783" s="204" t="s">
        <v>235</v>
      </c>
      <c r="F1783" s="205">
        <v>4.0058405815335529</v>
      </c>
    </row>
    <row r="1784" spans="1:6">
      <c r="A1784" s="210">
        <v>191419200</v>
      </c>
      <c r="B1784" s="202" t="s">
        <v>5989</v>
      </c>
      <c r="C1784" s="203" t="s">
        <v>2143</v>
      </c>
      <c r="D1784" s="204">
        <v>1</v>
      </c>
      <c r="E1784" s="204" t="s">
        <v>235</v>
      </c>
      <c r="F1784" s="205">
        <v>5.2469319871254436</v>
      </c>
    </row>
    <row r="1785" spans="1:6">
      <c r="A1785" s="210">
        <v>191500000</v>
      </c>
      <c r="B1785" s="202" t="s">
        <v>5990</v>
      </c>
      <c r="C1785" s="203" t="s">
        <v>2143</v>
      </c>
      <c r="D1785" s="204">
        <v>1</v>
      </c>
      <c r="E1785" s="204" t="s">
        <v>2013</v>
      </c>
      <c r="F1785" s="205">
        <v>4.8011920892037877E-3</v>
      </c>
    </row>
    <row r="1786" spans="1:6">
      <c r="A1786" s="210">
        <v>191511000</v>
      </c>
      <c r="B1786" s="202" t="s">
        <v>5991</v>
      </c>
      <c r="C1786" s="203" t="s">
        <v>2143</v>
      </c>
      <c r="D1786" s="204">
        <v>1</v>
      </c>
      <c r="E1786" s="204" t="s">
        <v>2013</v>
      </c>
      <c r="F1786" s="205">
        <v>4.8011920892037877E-3</v>
      </c>
    </row>
    <row r="1787" spans="1:6">
      <c r="A1787" s="210">
        <v>192100000</v>
      </c>
      <c r="B1787" s="202" t="s">
        <v>3919</v>
      </c>
      <c r="C1787" s="203" t="s">
        <v>2143</v>
      </c>
      <c r="D1787" s="204">
        <v>1</v>
      </c>
      <c r="E1787" s="204" t="s">
        <v>235</v>
      </c>
      <c r="F1787" s="205">
        <v>4.0329704031620235</v>
      </c>
    </row>
    <row r="1788" spans="1:6">
      <c r="A1788" s="210">
        <v>192100100</v>
      </c>
      <c r="B1788" s="202" t="s">
        <v>1060</v>
      </c>
      <c r="C1788" s="203" t="s">
        <v>2143</v>
      </c>
      <c r="D1788" s="204">
        <v>1</v>
      </c>
      <c r="E1788" s="204" t="s">
        <v>235</v>
      </c>
      <c r="F1788" s="205">
        <v>5.9328188249371374</v>
      </c>
    </row>
    <row r="1789" spans="1:6">
      <c r="A1789" s="210">
        <v>192111000</v>
      </c>
      <c r="B1789" s="202" t="s">
        <v>3921</v>
      </c>
      <c r="C1789" s="203" t="s">
        <v>2143</v>
      </c>
      <c r="D1789" s="204">
        <v>1</v>
      </c>
      <c r="E1789" s="204" t="s">
        <v>235</v>
      </c>
      <c r="F1789" s="205">
        <v>3.7657282323881529</v>
      </c>
    </row>
    <row r="1790" spans="1:6">
      <c r="A1790" s="210">
        <v>192112000</v>
      </c>
      <c r="B1790" s="202" t="s">
        <v>3923</v>
      </c>
      <c r="C1790" s="203" t="s">
        <v>2143</v>
      </c>
      <c r="D1790" s="204">
        <v>1</v>
      </c>
      <c r="E1790" s="204" t="s">
        <v>235</v>
      </c>
      <c r="F1790" s="205">
        <v>4.7539237989589571</v>
      </c>
    </row>
    <row r="1791" spans="1:6">
      <c r="A1791" s="210">
        <v>192112200</v>
      </c>
      <c r="B1791" s="202" t="s">
        <v>1061</v>
      </c>
      <c r="C1791" s="203" t="s">
        <v>2143</v>
      </c>
      <c r="D1791" s="204">
        <v>1</v>
      </c>
      <c r="E1791" s="204" t="s">
        <v>235</v>
      </c>
      <c r="F1791" s="205">
        <v>4.2388614354979506</v>
      </c>
    </row>
    <row r="1792" spans="1:6">
      <c r="A1792" s="210">
        <v>192113000</v>
      </c>
      <c r="B1792" s="202" t="s">
        <v>3926</v>
      </c>
      <c r="C1792" s="203" t="s">
        <v>2143</v>
      </c>
      <c r="D1792" s="204">
        <v>1</v>
      </c>
      <c r="E1792" s="204" t="s">
        <v>235</v>
      </c>
      <c r="F1792" s="205">
        <v>4.018425818928673</v>
      </c>
    </row>
    <row r="1793" spans="1:6">
      <c r="A1793" s="210">
        <v>192191700</v>
      </c>
      <c r="B1793" s="202" t="s">
        <v>5992</v>
      </c>
      <c r="C1793" s="203" t="s">
        <v>2143</v>
      </c>
      <c r="D1793" s="204">
        <v>1</v>
      </c>
      <c r="E1793" s="204" t="s">
        <v>235</v>
      </c>
      <c r="F1793" s="205">
        <v>2.6245067888093536</v>
      </c>
    </row>
    <row r="1794" spans="1:6">
      <c r="A1794" s="210">
        <v>192200000</v>
      </c>
      <c r="B1794" s="202" t="s">
        <v>3928</v>
      </c>
      <c r="C1794" s="203" t="s">
        <v>2143</v>
      </c>
      <c r="D1794" s="204">
        <v>1</v>
      </c>
      <c r="E1794" s="204" t="s">
        <v>235</v>
      </c>
      <c r="F1794" s="205">
        <v>3.5627119988954621</v>
      </c>
    </row>
    <row r="1795" spans="1:6">
      <c r="A1795" s="210">
        <v>192211000</v>
      </c>
      <c r="B1795" s="202" t="s">
        <v>3930</v>
      </c>
      <c r="C1795" s="203" t="s">
        <v>2143</v>
      </c>
      <c r="D1795" s="204">
        <v>1</v>
      </c>
      <c r="E1795" s="204" t="s">
        <v>235</v>
      </c>
      <c r="F1795" s="205">
        <v>3.5627119988954621</v>
      </c>
    </row>
    <row r="1796" spans="1:6">
      <c r="A1796" s="210">
        <v>192300000</v>
      </c>
      <c r="B1796" s="202" t="s">
        <v>3932</v>
      </c>
      <c r="C1796" s="203" t="s">
        <v>2143</v>
      </c>
      <c r="D1796" s="204">
        <v>1</v>
      </c>
      <c r="E1796" s="204" t="s">
        <v>2013</v>
      </c>
      <c r="F1796" s="205">
        <v>1.2115667650228121E-2</v>
      </c>
    </row>
    <row r="1797" spans="1:6">
      <c r="A1797" s="210">
        <v>192311000</v>
      </c>
      <c r="B1797" s="202" t="s">
        <v>1062</v>
      </c>
      <c r="C1797" s="203" t="s">
        <v>2143</v>
      </c>
      <c r="D1797" s="204">
        <v>1</v>
      </c>
      <c r="E1797" s="204" t="s">
        <v>425</v>
      </c>
      <c r="F1797" s="205">
        <v>8.5854909649700026</v>
      </c>
    </row>
    <row r="1798" spans="1:6">
      <c r="A1798" s="210">
        <v>192319000</v>
      </c>
      <c r="B1798" s="202" t="s">
        <v>1063</v>
      </c>
      <c r="C1798" s="203" t="s">
        <v>2143</v>
      </c>
      <c r="D1798" s="204">
        <v>1</v>
      </c>
      <c r="E1798" s="204" t="s">
        <v>235</v>
      </c>
      <c r="F1798" s="205">
        <v>4.2131494445705817</v>
      </c>
    </row>
    <row r="1799" spans="1:6">
      <c r="A1799" s="210">
        <v>192400000</v>
      </c>
      <c r="B1799" s="202" t="s">
        <v>3936</v>
      </c>
      <c r="C1799" s="203" t="s">
        <v>2143</v>
      </c>
      <c r="D1799" s="204">
        <v>1</v>
      </c>
      <c r="E1799" s="204" t="s">
        <v>235</v>
      </c>
      <c r="F1799" s="205">
        <v>10.011751842691538</v>
      </c>
    </row>
    <row r="1800" spans="1:6">
      <c r="A1800" s="210">
        <v>192411000</v>
      </c>
      <c r="B1800" s="202" t="s">
        <v>1064</v>
      </c>
      <c r="C1800" s="203" t="s">
        <v>2143</v>
      </c>
      <c r="D1800" s="204">
        <v>1</v>
      </c>
      <c r="E1800" s="204" t="s">
        <v>235</v>
      </c>
      <c r="F1800" s="205">
        <v>10.011751842691538</v>
      </c>
    </row>
    <row r="1801" spans="1:6">
      <c r="A1801" s="210">
        <v>192500000</v>
      </c>
      <c r="B1801" s="202" t="s">
        <v>5993</v>
      </c>
      <c r="C1801" s="203" t="s">
        <v>2143</v>
      </c>
      <c r="D1801" s="204">
        <v>1</v>
      </c>
      <c r="E1801" s="204" t="s">
        <v>2013</v>
      </c>
      <c r="F1801" s="205">
        <v>7.0201478368683698E-3</v>
      </c>
    </row>
    <row r="1802" spans="1:6">
      <c r="A1802" s="210">
        <v>192511000</v>
      </c>
      <c r="B1802" s="202" t="s">
        <v>5994</v>
      </c>
      <c r="C1802" s="203" t="s">
        <v>2143</v>
      </c>
      <c r="D1802" s="204">
        <v>1</v>
      </c>
      <c r="E1802" s="204" t="s">
        <v>2013</v>
      </c>
      <c r="F1802" s="205">
        <v>7.0201478368683698E-3</v>
      </c>
    </row>
    <row r="1803" spans="1:6">
      <c r="A1803" s="210">
        <v>192511100</v>
      </c>
      <c r="B1803" s="202" t="s">
        <v>3939</v>
      </c>
      <c r="C1803" s="203" t="s">
        <v>2143</v>
      </c>
      <c r="D1803" s="204">
        <v>1</v>
      </c>
      <c r="E1803" s="204" t="s">
        <v>235</v>
      </c>
      <c r="F1803" s="205">
        <v>2.5563407767018655</v>
      </c>
    </row>
    <row r="1804" spans="1:6">
      <c r="A1804" s="210">
        <v>192511101</v>
      </c>
      <c r="B1804" s="202" t="s">
        <v>3941</v>
      </c>
      <c r="C1804" s="203" t="s">
        <v>2143</v>
      </c>
      <c r="D1804" s="204">
        <v>1</v>
      </c>
      <c r="E1804" s="204" t="s">
        <v>235</v>
      </c>
      <c r="F1804" s="205">
        <v>4.6247900121564669</v>
      </c>
    </row>
    <row r="1805" spans="1:6">
      <c r="A1805" s="210">
        <v>192511200</v>
      </c>
      <c r="B1805" s="202" t="s">
        <v>1065</v>
      </c>
      <c r="C1805" s="203" t="s">
        <v>2143</v>
      </c>
      <c r="D1805" s="204">
        <v>1</v>
      </c>
      <c r="E1805" s="204" t="s">
        <v>425</v>
      </c>
      <c r="F1805" s="205">
        <v>9.2370851505488183E-2</v>
      </c>
    </row>
    <row r="1806" spans="1:6">
      <c r="A1806" s="210">
        <v>192591700</v>
      </c>
      <c r="B1806" s="202" t="s">
        <v>5995</v>
      </c>
      <c r="C1806" s="203" t="s">
        <v>2143</v>
      </c>
      <c r="D1806" s="204">
        <v>1</v>
      </c>
      <c r="E1806" s="204" t="s">
        <v>235</v>
      </c>
      <c r="F1806" s="205">
        <v>0.61287157548924176</v>
      </c>
    </row>
    <row r="1807" spans="1:6">
      <c r="A1807" s="210">
        <v>193100000</v>
      </c>
      <c r="B1807" s="202" t="s">
        <v>3943</v>
      </c>
      <c r="C1807" s="203" t="s">
        <v>2143</v>
      </c>
      <c r="D1807" s="204">
        <v>1</v>
      </c>
      <c r="E1807" s="204" t="s">
        <v>235</v>
      </c>
      <c r="F1807" s="205">
        <v>4.7074850814054159</v>
      </c>
    </row>
    <row r="1808" spans="1:6">
      <c r="A1808" s="210">
        <v>193111000</v>
      </c>
      <c r="B1808" s="202" t="s">
        <v>1066</v>
      </c>
      <c r="C1808" s="203" t="s">
        <v>2143</v>
      </c>
      <c r="D1808" s="204">
        <v>1</v>
      </c>
      <c r="E1808" s="204" t="s">
        <v>235</v>
      </c>
      <c r="F1808" s="205">
        <v>4.7194461559341345</v>
      </c>
    </row>
    <row r="1809" spans="1:6">
      <c r="A1809" s="210">
        <v>193112000</v>
      </c>
      <c r="B1809" s="202" t="s">
        <v>3946</v>
      </c>
      <c r="C1809" s="203" t="s">
        <v>2143</v>
      </c>
      <c r="D1809" s="204">
        <v>1</v>
      </c>
      <c r="E1809" s="204" t="s">
        <v>235</v>
      </c>
      <c r="F1809" s="205">
        <v>4.764195409735315</v>
      </c>
    </row>
    <row r="1810" spans="1:6">
      <c r="A1810" s="210">
        <v>193113000</v>
      </c>
      <c r="B1810" s="202" t="s">
        <v>1067</v>
      </c>
      <c r="C1810" s="203" t="s">
        <v>2143</v>
      </c>
      <c r="D1810" s="204">
        <v>1</v>
      </c>
      <c r="E1810" s="204" t="s">
        <v>235</v>
      </c>
      <c r="F1810" s="205">
        <v>4.6713611210168517</v>
      </c>
    </row>
    <row r="1811" spans="1:6">
      <c r="A1811" s="210">
        <v>193119000</v>
      </c>
      <c r="B1811" s="202" t="s">
        <v>1068</v>
      </c>
      <c r="C1811" s="203" t="s">
        <v>2143</v>
      </c>
      <c r="D1811" s="204">
        <v>1</v>
      </c>
      <c r="E1811" s="204" t="s">
        <v>235</v>
      </c>
      <c r="F1811" s="205">
        <v>4.7020422550173926</v>
      </c>
    </row>
    <row r="1812" spans="1:6">
      <c r="A1812" s="210">
        <v>193200000</v>
      </c>
      <c r="B1812" s="202" t="s">
        <v>5996</v>
      </c>
      <c r="C1812" s="203" t="s">
        <v>2143</v>
      </c>
      <c r="D1812" s="204">
        <v>1</v>
      </c>
      <c r="E1812" s="204" t="s">
        <v>2013</v>
      </c>
      <c r="F1812" s="205">
        <v>2.5371512875741065E-3</v>
      </c>
    </row>
    <row r="1813" spans="1:6">
      <c r="A1813" s="210">
        <v>193211000</v>
      </c>
      <c r="B1813" s="202" t="s">
        <v>5997</v>
      </c>
      <c r="C1813" s="203" t="s">
        <v>2143</v>
      </c>
      <c r="D1813" s="204">
        <v>1</v>
      </c>
      <c r="E1813" s="204" t="s">
        <v>2013</v>
      </c>
      <c r="F1813" s="205">
        <v>2.5371512875741065E-3</v>
      </c>
    </row>
    <row r="1814" spans="1:6">
      <c r="A1814" s="210">
        <v>194100000</v>
      </c>
      <c r="B1814" s="202" t="s">
        <v>3950</v>
      </c>
      <c r="C1814" s="203" t="s">
        <v>2143</v>
      </c>
      <c r="D1814" s="204">
        <v>1</v>
      </c>
      <c r="E1814" s="204" t="s">
        <v>235</v>
      </c>
      <c r="F1814" s="205">
        <v>3.496469788882941</v>
      </c>
    </row>
    <row r="1815" spans="1:6">
      <c r="A1815" s="210">
        <v>194111000</v>
      </c>
      <c r="B1815" s="202" t="s">
        <v>3952</v>
      </c>
      <c r="C1815" s="203" t="s">
        <v>2143</v>
      </c>
      <c r="D1815" s="204">
        <v>1</v>
      </c>
      <c r="E1815" s="204" t="s">
        <v>235</v>
      </c>
      <c r="F1815" s="205">
        <v>3.496469788882941</v>
      </c>
    </row>
    <row r="1816" spans="1:6">
      <c r="A1816" s="210">
        <v>194111100</v>
      </c>
      <c r="B1816" s="202" t="s">
        <v>5998</v>
      </c>
      <c r="C1816" s="203" t="s">
        <v>2143</v>
      </c>
      <c r="D1816" s="204">
        <v>1</v>
      </c>
      <c r="E1816" s="204" t="s">
        <v>235</v>
      </c>
      <c r="F1816" s="205">
        <v>4.3477612551690639</v>
      </c>
    </row>
    <row r="1817" spans="1:6">
      <c r="A1817" s="210">
        <v>194111101</v>
      </c>
      <c r="B1817" s="202" t="s">
        <v>5999</v>
      </c>
      <c r="C1817" s="203" t="s">
        <v>2143</v>
      </c>
      <c r="D1817" s="204">
        <v>1</v>
      </c>
      <c r="E1817" s="204" t="s">
        <v>235</v>
      </c>
      <c r="F1817" s="205">
        <v>20.559259659646187</v>
      </c>
    </row>
    <row r="1818" spans="1:6">
      <c r="A1818" s="210">
        <v>194200000</v>
      </c>
      <c r="B1818" s="202" t="s">
        <v>3954</v>
      </c>
      <c r="C1818" s="203" t="s">
        <v>2143</v>
      </c>
      <c r="D1818" s="204">
        <v>1</v>
      </c>
      <c r="E1818" s="204" t="s">
        <v>235</v>
      </c>
      <c r="F1818" s="205">
        <v>5.2937803831835311</v>
      </c>
    </row>
    <row r="1819" spans="1:6">
      <c r="A1819" s="210">
        <v>194200100</v>
      </c>
      <c r="B1819" s="202" t="s">
        <v>6000</v>
      </c>
      <c r="C1819" s="203" t="s">
        <v>2143</v>
      </c>
      <c r="D1819" s="204">
        <v>1</v>
      </c>
      <c r="E1819" s="204" t="s">
        <v>235</v>
      </c>
      <c r="F1819" s="205">
        <v>4.3452363822295768</v>
      </c>
    </row>
    <row r="1820" spans="1:6">
      <c r="A1820" s="210">
        <v>194200200</v>
      </c>
      <c r="B1820" s="202" t="s">
        <v>1069</v>
      </c>
      <c r="C1820" s="203" t="s">
        <v>2143</v>
      </c>
      <c r="D1820" s="204">
        <v>1</v>
      </c>
      <c r="E1820" s="204" t="s">
        <v>235</v>
      </c>
      <c r="F1820" s="205">
        <v>3.6882496040492079</v>
      </c>
    </row>
    <row r="1821" spans="1:6">
      <c r="A1821" s="210">
        <v>194211000</v>
      </c>
      <c r="B1821" s="202" t="s">
        <v>3956</v>
      </c>
      <c r="C1821" s="203" t="s">
        <v>2143</v>
      </c>
      <c r="D1821" s="204">
        <v>1</v>
      </c>
      <c r="E1821" s="204" t="s">
        <v>235</v>
      </c>
      <c r="F1821" s="205">
        <v>5.3341423723759549</v>
      </c>
    </row>
    <row r="1822" spans="1:6">
      <c r="A1822" s="210">
        <v>194212000</v>
      </c>
      <c r="B1822" s="202" t="s">
        <v>3958</v>
      </c>
      <c r="C1822" s="203" t="s">
        <v>2143</v>
      </c>
      <c r="D1822" s="204">
        <v>1</v>
      </c>
      <c r="E1822" s="204" t="s">
        <v>235</v>
      </c>
      <c r="F1822" s="205">
        <v>5.4149205818375119</v>
      </c>
    </row>
    <row r="1823" spans="1:6">
      <c r="A1823" s="210">
        <v>194212200</v>
      </c>
      <c r="B1823" s="202" t="s">
        <v>1070</v>
      </c>
      <c r="C1823" s="203" t="s">
        <v>2143</v>
      </c>
      <c r="D1823" s="204">
        <v>1</v>
      </c>
      <c r="E1823" s="204" t="s">
        <v>235</v>
      </c>
      <c r="F1823" s="205">
        <v>3.8632065161770122</v>
      </c>
    </row>
    <row r="1824" spans="1:6">
      <c r="A1824" s="210">
        <v>194219000</v>
      </c>
      <c r="B1824" s="202" t="s">
        <v>1071</v>
      </c>
      <c r="C1824" s="203" t="s">
        <v>2143</v>
      </c>
      <c r="D1824" s="204">
        <v>1</v>
      </c>
      <c r="E1824" s="204" t="s">
        <v>235</v>
      </c>
      <c r="F1824" s="205">
        <v>5.1005443485616366</v>
      </c>
    </row>
    <row r="1825" spans="1:6">
      <c r="A1825" s="210">
        <v>194300000</v>
      </c>
      <c r="B1825" s="202" t="s">
        <v>3961</v>
      </c>
      <c r="C1825" s="203" t="s">
        <v>2143</v>
      </c>
      <c r="D1825" s="204">
        <v>1</v>
      </c>
      <c r="E1825" s="204" t="s">
        <v>235</v>
      </c>
      <c r="F1825" s="205">
        <v>4.3933402436300897</v>
      </c>
    </row>
    <row r="1826" spans="1:6">
      <c r="A1826" s="210">
        <v>194311000</v>
      </c>
      <c r="B1826" s="202" t="s">
        <v>1072</v>
      </c>
      <c r="C1826" s="203" t="s">
        <v>2143</v>
      </c>
      <c r="D1826" s="204">
        <v>1</v>
      </c>
      <c r="E1826" s="204" t="s">
        <v>235</v>
      </c>
      <c r="F1826" s="205">
        <v>4.3933402436300897</v>
      </c>
    </row>
    <row r="1827" spans="1:6">
      <c r="A1827" s="210">
        <v>194400000</v>
      </c>
      <c r="B1827" s="202" t="s">
        <v>3964</v>
      </c>
      <c r="C1827" s="203" t="s">
        <v>2143</v>
      </c>
      <c r="D1827" s="204">
        <v>1</v>
      </c>
      <c r="E1827" s="204" t="s">
        <v>235</v>
      </c>
      <c r="F1827" s="205">
        <v>5.7708627896165838</v>
      </c>
    </row>
    <row r="1828" spans="1:6">
      <c r="A1828" s="210">
        <v>194411000</v>
      </c>
      <c r="B1828" s="202" t="s">
        <v>1073</v>
      </c>
      <c r="C1828" s="203" t="s">
        <v>2143</v>
      </c>
      <c r="D1828" s="204">
        <v>1</v>
      </c>
      <c r="E1828" s="204" t="s">
        <v>235</v>
      </c>
      <c r="F1828" s="205">
        <v>4.5716395221547428</v>
      </c>
    </row>
    <row r="1829" spans="1:6">
      <c r="A1829" s="210">
        <v>194412000</v>
      </c>
      <c r="B1829" s="202" t="s">
        <v>1074</v>
      </c>
      <c r="C1829" s="203" t="s">
        <v>2143</v>
      </c>
      <c r="D1829" s="204">
        <v>1</v>
      </c>
      <c r="E1829" s="204" t="s">
        <v>235</v>
      </c>
      <c r="F1829" s="205">
        <v>23.436578482893601</v>
      </c>
    </row>
    <row r="1830" spans="1:6">
      <c r="A1830" s="210">
        <v>194419000</v>
      </c>
      <c r="B1830" s="202" t="s">
        <v>1075</v>
      </c>
      <c r="C1830" s="203" t="s">
        <v>2143</v>
      </c>
      <c r="D1830" s="204">
        <v>1</v>
      </c>
      <c r="E1830" s="204" t="s">
        <v>235</v>
      </c>
      <c r="F1830" s="205">
        <v>5.6766573205887916</v>
      </c>
    </row>
    <row r="1831" spans="1:6">
      <c r="A1831" s="210">
        <v>194500000</v>
      </c>
      <c r="B1831" s="202" t="s">
        <v>6001</v>
      </c>
      <c r="C1831" s="203" t="s">
        <v>2143</v>
      </c>
      <c r="D1831" s="204">
        <v>1</v>
      </c>
      <c r="E1831" s="204" t="s">
        <v>2013</v>
      </c>
      <c r="F1831" s="205">
        <v>4.9766677461285588E-3</v>
      </c>
    </row>
    <row r="1832" spans="1:6">
      <c r="A1832" s="210">
        <v>194511000</v>
      </c>
      <c r="B1832" s="202" t="s">
        <v>6002</v>
      </c>
      <c r="C1832" s="203" t="s">
        <v>2143</v>
      </c>
      <c r="D1832" s="204">
        <v>1</v>
      </c>
      <c r="E1832" s="204" t="s">
        <v>2013</v>
      </c>
      <c r="F1832" s="205">
        <v>4.9766677461285588E-3</v>
      </c>
    </row>
    <row r="1833" spans="1:6">
      <c r="A1833" s="210">
        <v>194511200</v>
      </c>
      <c r="B1833" s="202" t="s">
        <v>1076</v>
      </c>
      <c r="C1833" s="203" t="s">
        <v>2143</v>
      </c>
      <c r="D1833" s="204">
        <v>1</v>
      </c>
      <c r="E1833" s="204" t="s">
        <v>235</v>
      </c>
      <c r="F1833" s="205">
        <v>4.3440320787926217</v>
      </c>
    </row>
    <row r="1834" spans="1:6">
      <c r="A1834" s="210">
        <v>194591700</v>
      </c>
      <c r="B1834" s="202" t="s">
        <v>6003</v>
      </c>
      <c r="C1834" s="203" t="s">
        <v>2143</v>
      </c>
      <c r="D1834" s="204">
        <v>1</v>
      </c>
      <c r="E1834" s="204" t="s">
        <v>2144</v>
      </c>
      <c r="F1834" s="205">
        <v>6.9801474067060706E-3</v>
      </c>
    </row>
    <row r="1835" spans="1:6">
      <c r="A1835" s="210">
        <v>195100000</v>
      </c>
      <c r="B1835" s="202" t="s">
        <v>6004</v>
      </c>
      <c r="C1835" s="203" t="s">
        <v>2143</v>
      </c>
      <c r="D1835" s="204">
        <v>1</v>
      </c>
      <c r="E1835" s="204" t="s">
        <v>2013</v>
      </c>
      <c r="F1835" s="205">
        <v>2.0403052346262655E-3</v>
      </c>
    </row>
    <row r="1836" spans="1:6">
      <c r="A1836" s="210">
        <v>195111000</v>
      </c>
      <c r="B1836" s="202" t="s">
        <v>1077</v>
      </c>
      <c r="C1836" s="203" t="s">
        <v>2143</v>
      </c>
      <c r="D1836" s="204">
        <v>1</v>
      </c>
      <c r="E1836" s="204" t="s">
        <v>2013</v>
      </c>
      <c r="F1836" s="205">
        <v>2.1647445881613579E-3</v>
      </c>
    </row>
    <row r="1837" spans="1:6">
      <c r="A1837" s="210">
        <v>195112000</v>
      </c>
      <c r="B1837" s="202" t="s">
        <v>1078</v>
      </c>
      <c r="C1837" s="203" t="s">
        <v>2143</v>
      </c>
      <c r="D1837" s="204">
        <v>1</v>
      </c>
      <c r="E1837" s="204" t="s">
        <v>235</v>
      </c>
      <c r="F1837" s="205">
        <v>9.8162272819990071E-2</v>
      </c>
    </row>
    <row r="1838" spans="1:6">
      <c r="A1838" s="210">
        <v>195112100</v>
      </c>
      <c r="B1838" s="202" t="s">
        <v>1079</v>
      </c>
      <c r="C1838" s="203" t="s">
        <v>2143</v>
      </c>
      <c r="D1838" s="204">
        <v>1</v>
      </c>
      <c r="E1838" s="204" t="s">
        <v>235</v>
      </c>
      <c r="F1838" s="205">
        <v>0.40455937535561681</v>
      </c>
    </row>
    <row r="1839" spans="1:6">
      <c r="A1839" s="210">
        <v>195112102</v>
      </c>
      <c r="B1839" s="202" t="s">
        <v>6005</v>
      </c>
      <c r="C1839" s="203" t="s">
        <v>2143</v>
      </c>
      <c r="D1839" s="204">
        <v>1</v>
      </c>
      <c r="E1839" s="204" t="s">
        <v>235</v>
      </c>
      <c r="F1839" s="205">
        <v>2.4048619452719446</v>
      </c>
    </row>
    <row r="1840" spans="1:6">
      <c r="A1840" s="210">
        <v>195112103</v>
      </c>
      <c r="B1840" s="202" t="s">
        <v>6006</v>
      </c>
      <c r="C1840" s="203" t="s">
        <v>2143</v>
      </c>
      <c r="D1840" s="204">
        <v>1</v>
      </c>
      <c r="E1840" s="204" t="s">
        <v>235</v>
      </c>
      <c r="F1840" s="205">
        <v>2.4048619452719446</v>
      </c>
    </row>
    <row r="1841" spans="1:6">
      <c r="A1841" s="210">
        <v>195112104</v>
      </c>
      <c r="B1841" s="202" t="s">
        <v>1080</v>
      </c>
      <c r="C1841" s="203" t="s">
        <v>2143</v>
      </c>
      <c r="D1841" s="204">
        <v>1</v>
      </c>
      <c r="E1841" s="204" t="s">
        <v>235</v>
      </c>
      <c r="F1841" s="205">
        <v>1.274093852413833</v>
      </c>
    </row>
    <row r="1842" spans="1:6">
      <c r="A1842" s="210">
        <v>195112105</v>
      </c>
      <c r="B1842" s="202" t="s">
        <v>1081</v>
      </c>
      <c r="C1842" s="203" t="s">
        <v>2143</v>
      </c>
      <c r="D1842" s="204">
        <v>1</v>
      </c>
      <c r="E1842" s="204" t="s">
        <v>235</v>
      </c>
      <c r="F1842" s="205">
        <v>1.373476268259358</v>
      </c>
    </row>
    <row r="1843" spans="1:6">
      <c r="A1843" s="210">
        <v>195112109</v>
      </c>
      <c r="B1843" s="202" t="s">
        <v>6007</v>
      </c>
      <c r="C1843" s="203" t="s">
        <v>2143</v>
      </c>
      <c r="D1843" s="204">
        <v>1</v>
      </c>
      <c r="E1843" s="204" t="s">
        <v>235</v>
      </c>
      <c r="F1843" s="205">
        <v>0.17686280804718374</v>
      </c>
    </row>
    <row r="1844" spans="1:6">
      <c r="A1844" s="210">
        <v>195112110</v>
      </c>
      <c r="B1844" s="202" t="s">
        <v>6008</v>
      </c>
      <c r="C1844" s="203" t="s">
        <v>2143</v>
      </c>
      <c r="D1844" s="204">
        <v>1</v>
      </c>
      <c r="E1844" s="204" t="s">
        <v>235</v>
      </c>
      <c r="F1844" s="205">
        <v>0.34895848295074139</v>
      </c>
    </row>
    <row r="1845" spans="1:6">
      <c r="A1845" s="210">
        <v>195112111</v>
      </c>
      <c r="B1845" s="202" t="s">
        <v>6009</v>
      </c>
      <c r="C1845" s="203" t="s">
        <v>2143</v>
      </c>
      <c r="D1845" s="204">
        <v>1</v>
      </c>
      <c r="E1845" s="204" t="s">
        <v>235</v>
      </c>
      <c r="F1845" s="205">
        <v>0.37071473833192703</v>
      </c>
    </row>
    <row r="1846" spans="1:6">
      <c r="A1846" s="210">
        <v>195112201</v>
      </c>
      <c r="B1846" s="202" t="s">
        <v>6010</v>
      </c>
      <c r="C1846" s="203" t="s">
        <v>2143</v>
      </c>
      <c r="D1846" s="204">
        <v>1</v>
      </c>
      <c r="E1846" s="204" t="s">
        <v>235</v>
      </c>
      <c r="F1846" s="205">
        <v>0.46409231496706371</v>
      </c>
    </row>
    <row r="1847" spans="1:6">
      <c r="A1847" s="210">
        <v>195112202</v>
      </c>
      <c r="B1847" s="202" t="s">
        <v>6011</v>
      </c>
      <c r="C1847" s="203" t="s">
        <v>2143</v>
      </c>
      <c r="D1847" s="204">
        <v>1</v>
      </c>
      <c r="E1847" s="204" t="s">
        <v>235</v>
      </c>
      <c r="F1847" s="205">
        <v>0.43763540048306382</v>
      </c>
    </row>
    <row r="1848" spans="1:6">
      <c r="A1848" s="210">
        <v>195200000</v>
      </c>
      <c r="B1848" s="202" t="s">
        <v>3970</v>
      </c>
      <c r="C1848" s="203" t="s">
        <v>2143</v>
      </c>
      <c r="D1848" s="204">
        <v>1</v>
      </c>
      <c r="E1848" s="204" t="s">
        <v>235</v>
      </c>
      <c r="F1848" s="205">
        <v>0.42368546296405879</v>
      </c>
    </row>
    <row r="1849" spans="1:6">
      <c r="A1849" s="210">
        <v>195211000</v>
      </c>
      <c r="B1849" s="202" t="s">
        <v>1082</v>
      </c>
      <c r="C1849" s="203" t="s">
        <v>2143</v>
      </c>
      <c r="D1849" s="204">
        <v>1</v>
      </c>
      <c r="E1849" s="204" t="s">
        <v>235</v>
      </c>
      <c r="F1849" s="205">
        <v>0.42368546296405879</v>
      </c>
    </row>
    <row r="1850" spans="1:6">
      <c r="A1850" s="210">
        <v>195211100</v>
      </c>
      <c r="B1850" s="202" t="s">
        <v>1083</v>
      </c>
      <c r="C1850" s="203" t="s">
        <v>2143</v>
      </c>
      <c r="D1850" s="204">
        <v>1</v>
      </c>
      <c r="E1850" s="204" t="s">
        <v>2144</v>
      </c>
      <c r="F1850" s="205">
        <v>38.627941149874324</v>
      </c>
    </row>
    <row r="1851" spans="1:6">
      <c r="A1851" s="210">
        <v>195211101</v>
      </c>
      <c r="B1851" s="202" t="s">
        <v>1084</v>
      </c>
      <c r="C1851" s="203" t="s">
        <v>2143</v>
      </c>
      <c r="D1851" s="204">
        <v>1</v>
      </c>
      <c r="E1851" s="204" t="s">
        <v>235</v>
      </c>
      <c r="F1851" s="205">
        <v>0.96019484872384675</v>
      </c>
    </row>
    <row r="1852" spans="1:6">
      <c r="A1852" s="210">
        <v>195211102</v>
      </c>
      <c r="B1852" s="202" t="s">
        <v>1085</v>
      </c>
      <c r="C1852" s="203" t="s">
        <v>2143</v>
      </c>
      <c r="D1852" s="204">
        <v>1</v>
      </c>
      <c r="E1852" s="204" t="s">
        <v>2144</v>
      </c>
      <c r="F1852" s="205">
        <v>1.0370701467294133E-2</v>
      </c>
    </row>
    <row r="1853" spans="1:6">
      <c r="A1853" s="210">
        <v>195211103</v>
      </c>
      <c r="B1853" s="202" t="s">
        <v>6012</v>
      </c>
      <c r="C1853" s="203" t="s">
        <v>2143</v>
      </c>
      <c r="D1853" s="204">
        <v>1</v>
      </c>
      <c r="E1853" s="204" t="s">
        <v>2144</v>
      </c>
      <c r="F1853" s="205">
        <v>1.8004472781513365E-2</v>
      </c>
    </row>
    <row r="1854" spans="1:6">
      <c r="A1854" s="210">
        <v>195211104</v>
      </c>
      <c r="B1854" s="202" t="s">
        <v>1086</v>
      </c>
      <c r="C1854" s="203" t="s">
        <v>2143</v>
      </c>
      <c r="D1854" s="204">
        <v>1</v>
      </c>
      <c r="E1854" s="204" t="s">
        <v>235</v>
      </c>
      <c r="F1854" s="205">
        <v>0.80857846700584668</v>
      </c>
    </row>
    <row r="1855" spans="1:6">
      <c r="A1855" s="210">
        <v>195211105</v>
      </c>
      <c r="B1855" s="202" t="s">
        <v>1087</v>
      </c>
      <c r="C1855" s="203" t="s">
        <v>2143</v>
      </c>
      <c r="D1855" s="204">
        <v>1</v>
      </c>
      <c r="E1855" s="204" t="s">
        <v>425</v>
      </c>
      <c r="F1855" s="205">
        <v>6.4719401269809493</v>
      </c>
    </row>
    <row r="1856" spans="1:6">
      <c r="A1856" s="210">
        <v>195291700</v>
      </c>
      <c r="B1856" s="202" t="s">
        <v>6013</v>
      </c>
      <c r="C1856" s="203" t="s">
        <v>2143</v>
      </c>
      <c r="D1856" s="204">
        <v>1</v>
      </c>
      <c r="E1856" s="204" t="s">
        <v>2144</v>
      </c>
      <c r="F1856" s="205">
        <v>9.3507057213863884</v>
      </c>
    </row>
    <row r="1857" spans="1:6">
      <c r="A1857" s="210">
        <v>199100000</v>
      </c>
      <c r="B1857" s="202" t="s">
        <v>3973</v>
      </c>
      <c r="C1857" s="203" t="s">
        <v>2143</v>
      </c>
      <c r="D1857" s="204">
        <v>1</v>
      </c>
      <c r="E1857" s="204" t="s">
        <v>235</v>
      </c>
      <c r="F1857" s="205">
        <v>3.420990029400885</v>
      </c>
    </row>
    <row r="1858" spans="1:6">
      <c r="A1858" s="210">
        <v>199111000</v>
      </c>
      <c r="B1858" s="202" t="s">
        <v>1088</v>
      </c>
      <c r="C1858" s="203" t="s">
        <v>2143</v>
      </c>
      <c r="D1858" s="204">
        <v>1</v>
      </c>
      <c r="E1858" s="204" t="s">
        <v>235</v>
      </c>
      <c r="F1858" s="205">
        <v>3.420990029400885</v>
      </c>
    </row>
    <row r="1859" spans="1:6">
      <c r="A1859" s="210">
        <v>199200000</v>
      </c>
      <c r="B1859" s="202" t="s">
        <v>3976</v>
      </c>
      <c r="C1859" s="203" t="s">
        <v>2143</v>
      </c>
      <c r="D1859" s="204">
        <v>1</v>
      </c>
      <c r="E1859" s="204" t="s">
        <v>235</v>
      </c>
      <c r="F1859" s="205">
        <v>4.9243257983982085</v>
      </c>
    </row>
    <row r="1860" spans="1:6">
      <c r="A1860" s="210">
        <v>199211000</v>
      </c>
      <c r="B1860" s="202" t="s">
        <v>1089</v>
      </c>
      <c r="C1860" s="203" t="s">
        <v>2143</v>
      </c>
      <c r="D1860" s="204">
        <v>1</v>
      </c>
      <c r="E1860" s="204" t="s">
        <v>235</v>
      </c>
      <c r="F1860" s="205">
        <v>4.9068518958239471</v>
      </c>
    </row>
    <row r="1861" spans="1:6">
      <c r="A1861" s="210">
        <v>199212000</v>
      </c>
      <c r="B1861" s="202" t="s">
        <v>1090</v>
      </c>
      <c r="C1861" s="203" t="s">
        <v>2143</v>
      </c>
      <c r="D1861" s="204">
        <v>1</v>
      </c>
      <c r="E1861" s="204" t="s">
        <v>235</v>
      </c>
      <c r="F1861" s="205">
        <v>4.9333672986072994</v>
      </c>
    </row>
    <row r="1862" spans="1:6">
      <c r="A1862" s="210">
        <v>199219000</v>
      </c>
      <c r="B1862" s="202" t="s">
        <v>1091</v>
      </c>
      <c r="C1862" s="203" t="s">
        <v>2143</v>
      </c>
      <c r="D1862" s="204">
        <v>1</v>
      </c>
      <c r="E1862" s="204" t="s">
        <v>235</v>
      </c>
      <c r="F1862" s="205">
        <v>4.9507102949383412</v>
      </c>
    </row>
    <row r="1863" spans="1:6">
      <c r="A1863" s="210">
        <v>199700000</v>
      </c>
      <c r="B1863" s="202" t="s">
        <v>3981</v>
      </c>
      <c r="C1863" s="203" t="s">
        <v>2143</v>
      </c>
      <c r="D1863" s="204">
        <v>1</v>
      </c>
      <c r="E1863" s="204" t="s">
        <v>2013</v>
      </c>
      <c r="F1863" s="205">
        <v>7.6120641085559819E-3</v>
      </c>
    </row>
    <row r="1864" spans="1:6">
      <c r="A1864" s="210">
        <v>199711000</v>
      </c>
      <c r="B1864" s="202" t="s">
        <v>1092</v>
      </c>
      <c r="C1864" s="203" t="s">
        <v>2143</v>
      </c>
      <c r="D1864" s="204">
        <v>1</v>
      </c>
      <c r="E1864" s="204" t="s">
        <v>2013</v>
      </c>
      <c r="F1864" s="205">
        <v>1.2114281964050049E-2</v>
      </c>
    </row>
    <row r="1865" spans="1:6">
      <c r="A1865" s="210">
        <v>199719000</v>
      </c>
      <c r="B1865" s="202" t="s">
        <v>1093</v>
      </c>
      <c r="C1865" s="203" t="s">
        <v>2143</v>
      </c>
      <c r="D1865" s="204">
        <v>1</v>
      </c>
      <c r="E1865" s="204" t="s">
        <v>235</v>
      </c>
      <c r="F1865" s="205">
        <v>3.3825763415930177</v>
      </c>
    </row>
    <row r="1866" spans="1:6">
      <c r="A1866" s="210">
        <v>199800000</v>
      </c>
      <c r="B1866" s="202" t="s">
        <v>6014</v>
      </c>
      <c r="C1866" s="203" t="s">
        <v>2143</v>
      </c>
      <c r="D1866" s="204">
        <v>1</v>
      </c>
      <c r="E1866" s="204" t="s">
        <v>2013</v>
      </c>
      <c r="F1866" s="205">
        <v>4.37361709185653E-3</v>
      </c>
    </row>
    <row r="1867" spans="1:6">
      <c r="A1867" s="210">
        <v>199819000</v>
      </c>
      <c r="B1867" s="202" t="s">
        <v>6015</v>
      </c>
      <c r="C1867" s="203" t="s">
        <v>2143</v>
      </c>
      <c r="D1867" s="204">
        <v>1</v>
      </c>
      <c r="E1867" s="204" t="s">
        <v>2013</v>
      </c>
      <c r="F1867" s="205">
        <v>4.37361709185653E-3</v>
      </c>
    </row>
    <row r="1868" spans="1:6">
      <c r="A1868" s="210">
        <v>201100000</v>
      </c>
      <c r="B1868" s="202" t="s">
        <v>3984</v>
      </c>
      <c r="C1868" s="203" t="s">
        <v>2143</v>
      </c>
      <c r="D1868" s="204">
        <v>1</v>
      </c>
      <c r="E1868" s="204" t="s">
        <v>2144</v>
      </c>
      <c r="F1868" s="205">
        <v>55.484737863370931</v>
      </c>
    </row>
    <row r="1869" spans="1:6">
      <c r="A1869" s="210">
        <v>201111000</v>
      </c>
      <c r="B1869" s="202" t="s">
        <v>1094</v>
      </c>
      <c r="C1869" s="203" t="s">
        <v>2143</v>
      </c>
      <c r="D1869" s="204">
        <v>1</v>
      </c>
      <c r="E1869" s="204" t="s">
        <v>2144</v>
      </c>
      <c r="F1869" s="205">
        <v>234.63760556830184</v>
      </c>
    </row>
    <row r="1870" spans="1:6">
      <c r="A1870" s="210">
        <v>201112000</v>
      </c>
      <c r="B1870" s="202" t="s">
        <v>1095</v>
      </c>
      <c r="C1870" s="203" t="s">
        <v>2143</v>
      </c>
      <c r="D1870" s="204">
        <v>1</v>
      </c>
      <c r="E1870" s="204" t="s">
        <v>2144</v>
      </c>
      <c r="F1870" s="205">
        <v>54.564210790973753</v>
      </c>
    </row>
    <row r="1871" spans="1:6">
      <c r="A1871" s="210">
        <v>201113000</v>
      </c>
      <c r="B1871" s="202" t="s">
        <v>1096</v>
      </c>
      <c r="C1871" s="203" t="s">
        <v>2143</v>
      </c>
      <c r="D1871" s="204">
        <v>1</v>
      </c>
      <c r="E1871" s="204" t="s">
        <v>2144</v>
      </c>
      <c r="F1871" s="205">
        <v>40.028414937075937</v>
      </c>
    </row>
    <row r="1872" spans="1:6">
      <c r="A1872" s="210">
        <v>201114000</v>
      </c>
      <c r="B1872" s="202" t="s">
        <v>1097</v>
      </c>
      <c r="C1872" s="203" t="s">
        <v>2143</v>
      </c>
      <c r="D1872" s="204">
        <v>1</v>
      </c>
      <c r="E1872" s="204" t="s">
        <v>2144</v>
      </c>
      <c r="F1872" s="205">
        <v>17.05714070649358</v>
      </c>
    </row>
    <row r="1873" spans="1:6">
      <c r="A1873" s="210">
        <v>201115000</v>
      </c>
      <c r="B1873" s="202" t="s">
        <v>1098</v>
      </c>
      <c r="C1873" s="203" t="s">
        <v>2143</v>
      </c>
      <c r="D1873" s="204">
        <v>1</v>
      </c>
      <c r="E1873" s="204" t="s">
        <v>2144</v>
      </c>
      <c r="F1873" s="205">
        <v>630.16063579531919</v>
      </c>
    </row>
    <row r="1874" spans="1:6">
      <c r="A1874" s="210">
        <v>201116000</v>
      </c>
      <c r="B1874" s="202" t="s">
        <v>1099</v>
      </c>
      <c r="C1874" s="203" t="s">
        <v>2143</v>
      </c>
      <c r="D1874" s="204">
        <v>1</v>
      </c>
      <c r="E1874" s="204" t="s">
        <v>2144</v>
      </c>
      <c r="F1874" s="205">
        <v>4.0674975045084638</v>
      </c>
    </row>
    <row r="1875" spans="1:6">
      <c r="A1875" s="210">
        <v>201200000</v>
      </c>
      <c r="B1875" s="202" t="s">
        <v>3992</v>
      </c>
      <c r="C1875" s="203" t="s">
        <v>2143</v>
      </c>
      <c r="D1875" s="204">
        <v>1</v>
      </c>
      <c r="E1875" s="204" t="s">
        <v>2144</v>
      </c>
      <c r="F1875" s="205">
        <v>24.897024517779354</v>
      </c>
    </row>
    <row r="1876" spans="1:6">
      <c r="A1876" s="210">
        <v>201211000</v>
      </c>
      <c r="B1876" s="202" t="s">
        <v>1100</v>
      </c>
      <c r="C1876" s="203" t="s">
        <v>2143</v>
      </c>
      <c r="D1876" s="204">
        <v>1</v>
      </c>
      <c r="E1876" s="204" t="s">
        <v>2144</v>
      </c>
      <c r="F1876" s="205">
        <v>1.9648890626245508</v>
      </c>
    </row>
    <row r="1877" spans="1:6">
      <c r="A1877" s="210">
        <v>201219000</v>
      </c>
      <c r="B1877" s="202" t="s">
        <v>1101</v>
      </c>
      <c r="C1877" s="203" t="s">
        <v>2143</v>
      </c>
      <c r="D1877" s="204">
        <v>1</v>
      </c>
      <c r="E1877" s="204" t="s">
        <v>2144</v>
      </c>
      <c r="F1877" s="205">
        <v>38.156063884045444</v>
      </c>
    </row>
    <row r="1878" spans="1:6">
      <c r="A1878" s="210">
        <v>202100000</v>
      </c>
      <c r="B1878" s="202" t="s">
        <v>3996</v>
      </c>
      <c r="C1878" s="203" t="s">
        <v>2143</v>
      </c>
      <c r="D1878" s="204">
        <v>1</v>
      </c>
      <c r="E1878" s="204" t="s">
        <v>2013</v>
      </c>
      <c r="F1878" s="205">
        <v>2.5470330963783165E-3</v>
      </c>
    </row>
    <row r="1879" spans="1:6">
      <c r="A1879" s="210">
        <v>202111000</v>
      </c>
      <c r="B1879" s="202" t="s">
        <v>6016</v>
      </c>
      <c r="C1879" s="203" t="s">
        <v>2143</v>
      </c>
      <c r="D1879" s="204">
        <v>1</v>
      </c>
      <c r="E1879" s="204" t="s">
        <v>2144</v>
      </c>
      <c r="F1879" s="205">
        <v>4.1232174406075455</v>
      </c>
    </row>
    <row r="1880" spans="1:6">
      <c r="A1880" s="210">
        <v>202112000</v>
      </c>
      <c r="B1880" s="202" t="s">
        <v>6017</v>
      </c>
      <c r="C1880" s="203" t="s">
        <v>2143</v>
      </c>
      <c r="D1880" s="204">
        <v>1</v>
      </c>
      <c r="E1880" s="204" t="s">
        <v>2144</v>
      </c>
      <c r="F1880" s="205">
        <v>4.4451441103270559</v>
      </c>
    </row>
    <row r="1881" spans="1:6">
      <c r="A1881" s="210">
        <v>202113000</v>
      </c>
      <c r="B1881" s="202" t="s">
        <v>6018</v>
      </c>
      <c r="C1881" s="203" t="s">
        <v>2143</v>
      </c>
      <c r="D1881" s="204">
        <v>1</v>
      </c>
      <c r="E1881" s="204" t="s">
        <v>2144</v>
      </c>
      <c r="F1881" s="205">
        <v>4.8611398062377207</v>
      </c>
    </row>
    <row r="1882" spans="1:6">
      <c r="A1882" s="210">
        <v>202114000</v>
      </c>
      <c r="B1882" s="202" t="s">
        <v>6019</v>
      </c>
      <c r="C1882" s="203" t="s">
        <v>2143</v>
      </c>
      <c r="D1882" s="204">
        <v>1</v>
      </c>
      <c r="E1882" s="204" t="s">
        <v>2144</v>
      </c>
      <c r="F1882" s="205">
        <v>0.9890389616680435</v>
      </c>
    </row>
    <row r="1883" spans="1:6">
      <c r="A1883" s="210">
        <v>202115000</v>
      </c>
      <c r="B1883" s="202" t="s">
        <v>6020</v>
      </c>
      <c r="C1883" s="203" t="s">
        <v>2143</v>
      </c>
      <c r="D1883" s="204">
        <v>1</v>
      </c>
      <c r="E1883" s="204" t="s">
        <v>235</v>
      </c>
      <c r="F1883" s="205">
        <v>48.393007033125649</v>
      </c>
    </row>
    <row r="1884" spans="1:6">
      <c r="A1884" s="210">
        <v>202200000</v>
      </c>
      <c r="B1884" s="202" t="s">
        <v>4004</v>
      </c>
      <c r="C1884" s="203" t="s">
        <v>2143</v>
      </c>
      <c r="D1884" s="204">
        <v>1</v>
      </c>
      <c r="E1884" s="204" t="s">
        <v>2013</v>
      </c>
      <c r="F1884" s="205">
        <v>2.4183027571441692E-3</v>
      </c>
    </row>
    <row r="1885" spans="1:6">
      <c r="A1885" s="210">
        <v>202211000</v>
      </c>
      <c r="B1885" s="202" t="s">
        <v>6021</v>
      </c>
      <c r="C1885" s="203" t="s">
        <v>2143</v>
      </c>
      <c r="D1885" s="204">
        <v>1</v>
      </c>
      <c r="E1885" s="204" t="s">
        <v>2144</v>
      </c>
      <c r="F1885" s="205">
        <v>3.2634026860956284</v>
      </c>
    </row>
    <row r="1886" spans="1:6">
      <c r="A1886" s="210">
        <v>202212000</v>
      </c>
      <c r="B1886" s="202" t="s">
        <v>6022</v>
      </c>
      <c r="C1886" s="203" t="s">
        <v>2143</v>
      </c>
      <c r="D1886" s="204">
        <v>1</v>
      </c>
      <c r="E1886" s="204" t="s">
        <v>2144</v>
      </c>
      <c r="F1886" s="205">
        <v>1.1409514881095519</v>
      </c>
    </row>
    <row r="1887" spans="1:6">
      <c r="A1887" s="210">
        <v>202213000</v>
      </c>
      <c r="B1887" s="202" t="s">
        <v>6023</v>
      </c>
      <c r="C1887" s="203" t="s">
        <v>2143</v>
      </c>
      <c r="D1887" s="204">
        <v>1</v>
      </c>
      <c r="E1887" s="204" t="s">
        <v>2144</v>
      </c>
      <c r="F1887" s="205">
        <v>1.1031327137070643</v>
      </c>
    </row>
    <row r="1888" spans="1:6">
      <c r="A1888" s="210">
        <v>202219000</v>
      </c>
      <c r="B1888" s="202" t="s">
        <v>6024</v>
      </c>
      <c r="C1888" s="203" t="s">
        <v>2143</v>
      </c>
      <c r="D1888" s="204">
        <v>1</v>
      </c>
      <c r="E1888" s="204" t="s">
        <v>2013</v>
      </c>
      <c r="F1888" s="205">
        <v>2.3197948497988828E-3</v>
      </c>
    </row>
    <row r="1889" spans="1:6">
      <c r="A1889" s="210">
        <v>203100000</v>
      </c>
      <c r="B1889" s="202" t="s">
        <v>4009</v>
      </c>
      <c r="C1889" s="203" t="s">
        <v>2143</v>
      </c>
      <c r="D1889" s="204">
        <v>1</v>
      </c>
      <c r="E1889" s="204" t="s">
        <v>2013</v>
      </c>
      <c r="F1889" s="205">
        <v>8.046476055364387E-3</v>
      </c>
    </row>
    <row r="1890" spans="1:6">
      <c r="A1890" s="210">
        <v>203111000</v>
      </c>
      <c r="B1890" s="202" t="s">
        <v>1111</v>
      </c>
      <c r="C1890" s="203" t="s">
        <v>2143</v>
      </c>
      <c r="D1890" s="204">
        <v>1</v>
      </c>
      <c r="E1890" s="204" t="s">
        <v>2154</v>
      </c>
      <c r="F1890" s="205">
        <v>0.11023026966634987</v>
      </c>
    </row>
    <row r="1891" spans="1:6">
      <c r="A1891" s="210">
        <v>203112000</v>
      </c>
      <c r="B1891" s="202" t="s">
        <v>1113</v>
      </c>
      <c r="C1891" s="203" t="s">
        <v>2143</v>
      </c>
      <c r="D1891" s="204">
        <v>1</v>
      </c>
      <c r="E1891" s="204" t="s">
        <v>2154</v>
      </c>
      <c r="F1891" s="205">
        <v>0.12022725929358606</v>
      </c>
    </row>
    <row r="1892" spans="1:6">
      <c r="A1892" s="210">
        <v>203113000</v>
      </c>
      <c r="B1892" s="202" t="s">
        <v>4013</v>
      </c>
      <c r="C1892" s="203" t="s">
        <v>2143</v>
      </c>
      <c r="D1892" s="204">
        <v>1</v>
      </c>
      <c r="E1892" s="204" t="s">
        <v>1114</v>
      </c>
      <c r="F1892" s="205">
        <v>1.9235012755495049</v>
      </c>
    </row>
    <row r="1893" spans="1:6">
      <c r="A1893" s="210">
        <v>203119000</v>
      </c>
      <c r="B1893" s="202" t="s">
        <v>6025</v>
      </c>
      <c r="C1893" s="203" t="s">
        <v>2143</v>
      </c>
      <c r="D1893" s="204">
        <v>1</v>
      </c>
      <c r="E1893" s="204" t="s">
        <v>235</v>
      </c>
      <c r="F1893" s="205">
        <v>25.595312844388058</v>
      </c>
    </row>
    <row r="1894" spans="1:6">
      <c r="A1894" s="210">
        <v>203200000</v>
      </c>
      <c r="B1894" s="202" t="s">
        <v>4016</v>
      </c>
      <c r="C1894" s="203" t="s">
        <v>2143</v>
      </c>
      <c r="D1894" s="204">
        <v>1</v>
      </c>
      <c r="E1894" s="204" t="s">
        <v>1114</v>
      </c>
      <c r="F1894" s="205">
        <v>1.7342676136144428</v>
      </c>
    </row>
    <row r="1895" spans="1:6">
      <c r="A1895" s="210">
        <v>203211000</v>
      </c>
      <c r="B1895" s="202" t="s">
        <v>1116</v>
      </c>
      <c r="C1895" s="203" t="s">
        <v>2143</v>
      </c>
      <c r="D1895" s="204">
        <v>1</v>
      </c>
      <c r="E1895" s="204" t="s">
        <v>1114</v>
      </c>
      <c r="F1895" s="205">
        <v>1.7342676136144428</v>
      </c>
    </row>
    <row r="1896" spans="1:6">
      <c r="A1896" s="210">
        <v>203300000</v>
      </c>
      <c r="B1896" s="202" t="s">
        <v>4019</v>
      </c>
      <c r="C1896" s="203" t="s">
        <v>2143</v>
      </c>
      <c r="D1896" s="204">
        <v>1</v>
      </c>
      <c r="E1896" s="204" t="s">
        <v>2013</v>
      </c>
      <c r="F1896" s="205">
        <v>2.9488080615243098E-3</v>
      </c>
    </row>
    <row r="1897" spans="1:6">
      <c r="A1897" s="210">
        <v>203311000</v>
      </c>
      <c r="B1897" s="202" t="s">
        <v>6026</v>
      </c>
      <c r="C1897" s="203" t="s">
        <v>2143</v>
      </c>
      <c r="D1897" s="204">
        <v>1</v>
      </c>
      <c r="E1897" s="204" t="s">
        <v>235</v>
      </c>
      <c r="F1897" s="205">
        <v>10.03353272963732</v>
      </c>
    </row>
    <row r="1898" spans="1:6">
      <c r="A1898" s="210">
        <v>203312000</v>
      </c>
      <c r="B1898" s="202" t="s">
        <v>6027</v>
      </c>
      <c r="C1898" s="203" t="s">
        <v>2143</v>
      </c>
      <c r="D1898" s="204">
        <v>1</v>
      </c>
      <c r="E1898" s="204" t="s">
        <v>235</v>
      </c>
      <c r="F1898" s="205">
        <v>17.76715702378403</v>
      </c>
    </row>
    <row r="1899" spans="1:6">
      <c r="A1899" s="210">
        <v>203313000</v>
      </c>
      <c r="B1899" s="202" t="s">
        <v>6028</v>
      </c>
      <c r="C1899" s="203" t="s">
        <v>2143</v>
      </c>
      <c r="D1899" s="204">
        <v>1</v>
      </c>
      <c r="E1899" s="204" t="s">
        <v>235</v>
      </c>
      <c r="F1899" s="205">
        <v>14.775603043070966</v>
      </c>
    </row>
    <row r="1900" spans="1:6">
      <c r="A1900" s="210">
        <v>203314000</v>
      </c>
      <c r="B1900" s="202" t="s">
        <v>1120</v>
      </c>
      <c r="C1900" s="203" t="s">
        <v>2143</v>
      </c>
      <c r="D1900" s="204">
        <v>1</v>
      </c>
      <c r="E1900" s="204" t="s">
        <v>1114</v>
      </c>
      <c r="F1900" s="205">
        <v>1.1682629106189992</v>
      </c>
    </row>
    <row r="1901" spans="1:6">
      <c r="A1901" s="210">
        <v>203315000</v>
      </c>
      <c r="B1901" s="202" t="s">
        <v>6029</v>
      </c>
      <c r="C1901" s="203" t="s">
        <v>2143</v>
      </c>
      <c r="D1901" s="204">
        <v>1</v>
      </c>
      <c r="E1901" s="204" t="s">
        <v>235</v>
      </c>
      <c r="F1901" s="205">
        <v>11.509284353594841</v>
      </c>
    </row>
    <row r="1902" spans="1:6">
      <c r="A1902" s="210">
        <v>203316000</v>
      </c>
      <c r="B1902" s="202" t="s">
        <v>1122</v>
      </c>
      <c r="C1902" s="203" t="s">
        <v>2143</v>
      </c>
      <c r="D1902" s="204">
        <v>1</v>
      </c>
      <c r="E1902" s="204" t="s">
        <v>235</v>
      </c>
      <c r="F1902" s="205">
        <v>5.9961500633751079</v>
      </c>
    </row>
    <row r="1903" spans="1:6">
      <c r="A1903" s="210">
        <v>203317000</v>
      </c>
      <c r="B1903" s="202" t="s">
        <v>6030</v>
      </c>
      <c r="C1903" s="203" t="s">
        <v>2143</v>
      </c>
      <c r="D1903" s="204">
        <v>1</v>
      </c>
      <c r="E1903" s="204" t="s">
        <v>235</v>
      </c>
      <c r="F1903" s="205">
        <v>8.6332520172623752</v>
      </c>
    </row>
    <row r="1904" spans="1:6">
      <c r="A1904" s="210">
        <v>203318000</v>
      </c>
      <c r="B1904" s="202" t="s">
        <v>6031</v>
      </c>
      <c r="C1904" s="203" t="s">
        <v>2143</v>
      </c>
      <c r="D1904" s="204">
        <v>1</v>
      </c>
      <c r="E1904" s="204" t="s">
        <v>235</v>
      </c>
      <c r="F1904" s="205">
        <v>8.1146507307316753</v>
      </c>
    </row>
    <row r="1905" spans="1:6">
      <c r="A1905" s="210">
        <v>203329000</v>
      </c>
      <c r="B1905" s="202" t="s">
        <v>6032</v>
      </c>
      <c r="C1905" s="203" t="s">
        <v>2143</v>
      </c>
      <c r="D1905" s="204">
        <v>1</v>
      </c>
      <c r="E1905" s="204" t="s">
        <v>235</v>
      </c>
      <c r="F1905" s="205">
        <v>10.588337926078948</v>
      </c>
    </row>
    <row r="1906" spans="1:6">
      <c r="A1906" s="210">
        <v>209100000</v>
      </c>
      <c r="B1906" s="202" t="s">
        <v>4030</v>
      </c>
      <c r="C1906" s="203" t="s">
        <v>2143</v>
      </c>
      <c r="D1906" s="204">
        <v>1</v>
      </c>
      <c r="E1906" s="204" t="s">
        <v>2013</v>
      </c>
      <c r="F1906" s="205">
        <v>5.8448385178479501E-3</v>
      </c>
    </row>
    <row r="1907" spans="1:6">
      <c r="A1907" s="210">
        <v>209111000</v>
      </c>
      <c r="B1907" s="202" t="s">
        <v>1126</v>
      </c>
      <c r="C1907" s="203" t="s">
        <v>2143</v>
      </c>
      <c r="D1907" s="204">
        <v>1</v>
      </c>
      <c r="E1907" s="204" t="s">
        <v>425</v>
      </c>
      <c r="F1907" s="205">
        <v>2.238691446230118</v>
      </c>
    </row>
    <row r="1908" spans="1:6">
      <c r="A1908" s="210">
        <v>209119000</v>
      </c>
      <c r="B1908" s="202" t="s">
        <v>1127</v>
      </c>
      <c r="C1908" s="203" t="s">
        <v>2143</v>
      </c>
      <c r="D1908" s="204">
        <v>1</v>
      </c>
      <c r="E1908" s="204" t="s">
        <v>2013</v>
      </c>
      <c r="F1908" s="205">
        <v>4.2387898683201369E-3</v>
      </c>
    </row>
    <row r="1909" spans="1:6">
      <c r="A1909" s="210">
        <v>209121000</v>
      </c>
      <c r="B1909" s="202" t="s">
        <v>1128</v>
      </c>
      <c r="C1909" s="203" t="s">
        <v>2143</v>
      </c>
      <c r="D1909" s="204">
        <v>1</v>
      </c>
      <c r="E1909" s="204" t="s">
        <v>425</v>
      </c>
      <c r="F1909" s="205">
        <v>2.6268010771665016</v>
      </c>
    </row>
    <row r="1910" spans="1:6">
      <c r="A1910" s="210">
        <v>209200000</v>
      </c>
      <c r="B1910" s="202" t="s">
        <v>6033</v>
      </c>
      <c r="C1910" s="203" t="s">
        <v>2143</v>
      </c>
      <c r="D1910" s="204">
        <v>1</v>
      </c>
      <c r="E1910" s="204" t="s">
        <v>235</v>
      </c>
      <c r="F1910" s="205">
        <v>12.823389548447992</v>
      </c>
    </row>
    <row r="1911" spans="1:6">
      <c r="A1911" s="210">
        <v>209211000</v>
      </c>
      <c r="B1911" s="202" t="s">
        <v>6034</v>
      </c>
      <c r="C1911" s="203" t="s">
        <v>2143</v>
      </c>
      <c r="D1911" s="204">
        <v>1</v>
      </c>
      <c r="E1911" s="204" t="s">
        <v>235</v>
      </c>
      <c r="F1911" s="205">
        <v>12.823389548447992</v>
      </c>
    </row>
    <row r="1912" spans="1:6">
      <c r="A1912" s="210">
        <v>209300000</v>
      </c>
      <c r="B1912" s="202" t="s">
        <v>4037</v>
      </c>
      <c r="C1912" s="203" t="s">
        <v>2143</v>
      </c>
      <c r="D1912" s="204">
        <v>1</v>
      </c>
      <c r="E1912" s="204" t="s">
        <v>2013</v>
      </c>
      <c r="F1912" s="205">
        <v>2.9101031750360094E-3</v>
      </c>
    </row>
    <row r="1913" spans="1:6">
      <c r="A1913" s="210">
        <v>209311000</v>
      </c>
      <c r="B1913" s="202" t="s">
        <v>1130</v>
      </c>
      <c r="C1913" s="203" t="s">
        <v>2143</v>
      </c>
      <c r="D1913" s="204">
        <v>1</v>
      </c>
      <c r="E1913" s="204" t="s">
        <v>235</v>
      </c>
      <c r="F1913" s="205">
        <v>6.5262782132612758</v>
      </c>
    </row>
    <row r="1914" spans="1:6">
      <c r="A1914" s="210">
        <v>209319000</v>
      </c>
      <c r="B1914" s="202" t="s">
        <v>6035</v>
      </c>
      <c r="C1914" s="203" t="s">
        <v>2143</v>
      </c>
      <c r="D1914" s="204">
        <v>1</v>
      </c>
      <c r="E1914" s="204" t="s">
        <v>2013</v>
      </c>
      <c r="F1914" s="205">
        <v>1.6616361966366245E-3</v>
      </c>
    </row>
    <row r="1915" spans="1:6">
      <c r="A1915" s="210">
        <v>209400000</v>
      </c>
      <c r="B1915" s="202" t="s">
        <v>4040</v>
      </c>
      <c r="C1915" s="203" t="s">
        <v>2143</v>
      </c>
      <c r="D1915" s="204">
        <v>1</v>
      </c>
      <c r="E1915" s="204" t="s">
        <v>2144</v>
      </c>
      <c r="F1915" s="205">
        <v>146.69160790624412</v>
      </c>
    </row>
    <row r="1916" spans="1:6">
      <c r="A1916" s="210">
        <v>209411000</v>
      </c>
      <c r="B1916" s="202" t="s">
        <v>1131</v>
      </c>
      <c r="C1916" s="203" t="s">
        <v>2143</v>
      </c>
      <c r="D1916" s="204">
        <v>1</v>
      </c>
      <c r="E1916" s="204" t="s">
        <v>2144</v>
      </c>
      <c r="F1916" s="205">
        <v>146.69160790624412</v>
      </c>
    </row>
    <row r="1917" spans="1:6">
      <c r="A1917" s="210">
        <v>209500000</v>
      </c>
      <c r="B1917" s="202" t="s">
        <v>4043</v>
      </c>
      <c r="C1917" s="203" t="s">
        <v>2143</v>
      </c>
      <c r="D1917" s="204">
        <v>1</v>
      </c>
      <c r="E1917" s="204" t="s">
        <v>235</v>
      </c>
      <c r="F1917" s="205">
        <v>1.0127657013303188</v>
      </c>
    </row>
    <row r="1918" spans="1:6">
      <c r="A1918" s="210">
        <v>209511000</v>
      </c>
      <c r="B1918" s="202" t="s">
        <v>1132</v>
      </c>
      <c r="C1918" s="203" t="s">
        <v>2143</v>
      </c>
      <c r="D1918" s="204">
        <v>1</v>
      </c>
      <c r="E1918" s="204" t="s">
        <v>235</v>
      </c>
      <c r="F1918" s="205">
        <v>1.0127657013303188</v>
      </c>
    </row>
    <row r="1919" spans="1:6">
      <c r="A1919" s="210">
        <v>209900000</v>
      </c>
      <c r="B1919" s="202" t="s">
        <v>4046</v>
      </c>
      <c r="C1919" s="203" t="s">
        <v>2143</v>
      </c>
      <c r="D1919" s="204">
        <v>1</v>
      </c>
      <c r="E1919" s="204" t="s">
        <v>2013</v>
      </c>
      <c r="F1919" s="205">
        <v>3.6377779441757949E-3</v>
      </c>
    </row>
    <row r="1920" spans="1:6">
      <c r="A1920" s="210">
        <v>209911000</v>
      </c>
      <c r="B1920" s="202" t="s">
        <v>6036</v>
      </c>
      <c r="C1920" s="203" t="s">
        <v>2143</v>
      </c>
      <c r="D1920" s="204">
        <v>1</v>
      </c>
      <c r="E1920" s="204" t="s">
        <v>2144</v>
      </c>
      <c r="F1920" s="205">
        <v>0.50295374514255309</v>
      </c>
    </row>
    <row r="1921" spans="1:6">
      <c r="A1921" s="210">
        <v>209919000</v>
      </c>
      <c r="B1921" s="202" t="s">
        <v>6037</v>
      </c>
      <c r="C1921" s="203" t="s">
        <v>2143</v>
      </c>
      <c r="D1921" s="204">
        <v>1</v>
      </c>
      <c r="E1921" s="204" t="s">
        <v>235</v>
      </c>
      <c r="F1921" s="205">
        <v>10.743465104058533</v>
      </c>
    </row>
    <row r="1922" spans="1:6">
      <c r="A1922" s="210">
        <v>211100000</v>
      </c>
      <c r="B1922" s="202" t="s">
        <v>4050</v>
      </c>
      <c r="C1922" s="203" t="s">
        <v>2143</v>
      </c>
      <c r="D1922" s="204">
        <v>1</v>
      </c>
      <c r="E1922" s="204" t="s">
        <v>2013</v>
      </c>
      <c r="F1922" s="205">
        <v>1.7049643177916166E-3</v>
      </c>
    </row>
    <row r="1923" spans="1:6">
      <c r="A1923" s="210">
        <v>211111000</v>
      </c>
      <c r="B1923" s="202" t="s">
        <v>1136</v>
      </c>
      <c r="C1923" s="203" t="s">
        <v>2143</v>
      </c>
      <c r="D1923" s="204">
        <v>1</v>
      </c>
      <c r="E1923" s="204" t="s">
        <v>235</v>
      </c>
      <c r="F1923" s="205">
        <v>1.3890342036023378</v>
      </c>
    </row>
    <row r="1924" spans="1:6">
      <c r="A1924" s="210">
        <v>211112000</v>
      </c>
      <c r="B1924" s="202" t="s">
        <v>1137</v>
      </c>
      <c r="C1924" s="203" t="s">
        <v>2143</v>
      </c>
      <c r="D1924" s="204">
        <v>1</v>
      </c>
      <c r="E1924" s="204" t="s">
        <v>235</v>
      </c>
      <c r="F1924" s="205">
        <v>3.389484926152659</v>
      </c>
    </row>
    <row r="1925" spans="1:6">
      <c r="A1925" s="210">
        <v>211113000</v>
      </c>
      <c r="B1925" s="202" t="s">
        <v>4054</v>
      </c>
      <c r="C1925" s="203" t="s">
        <v>2143</v>
      </c>
      <c r="D1925" s="204">
        <v>1</v>
      </c>
      <c r="E1925" s="204" t="s">
        <v>235</v>
      </c>
      <c r="F1925" s="205">
        <v>1.3740109347918006</v>
      </c>
    </row>
    <row r="1926" spans="1:6">
      <c r="A1926" s="210">
        <v>211114000</v>
      </c>
      <c r="B1926" s="202" t="s">
        <v>4056</v>
      </c>
      <c r="C1926" s="203" t="s">
        <v>2143</v>
      </c>
      <c r="D1926" s="204">
        <v>1</v>
      </c>
      <c r="E1926" s="204" t="s">
        <v>235</v>
      </c>
      <c r="F1926" s="205">
        <v>3.4909918760269401</v>
      </c>
    </row>
    <row r="1927" spans="1:6">
      <c r="A1927" s="210">
        <v>211119000</v>
      </c>
      <c r="B1927" s="202" t="s">
        <v>1138</v>
      </c>
      <c r="C1927" s="203" t="s">
        <v>2143</v>
      </c>
      <c r="D1927" s="204">
        <v>1</v>
      </c>
      <c r="E1927" s="204" t="s">
        <v>235</v>
      </c>
      <c r="F1927" s="205">
        <v>1.2241383964204513</v>
      </c>
    </row>
    <row r="1928" spans="1:6">
      <c r="A1928" s="210">
        <v>211121000</v>
      </c>
      <c r="B1928" s="202" t="s">
        <v>1139</v>
      </c>
      <c r="C1928" s="203" t="s">
        <v>2143</v>
      </c>
      <c r="D1928" s="204">
        <v>1</v>
      </c>
      <c r="E1928" s="204" t="s">
        <v>235</v>
      </c>
      <c r="F1928" s="205">
        <v>1.8343482034833267</v>
      </c>
    </row>
    <row r="1929" spans="1:6">
      <c r="A1929" s="210">
        <v>211122000</v>
      </c>
      <c r="B1929" s="202" t="s">
        <v>1140</v>
      </c>
      <c r="C1929" s="203" t="s">
        <v>2143</v>
      </c>
      <c r="D1929" s="204">
        <v>1</v>
      </c>
      <c r="E1929" s="204" t="s">
        <v>235</v>
      </c>
      <c r="F1929" s="205">
        <v>1.4158708945394431</v>
      </c>
    </row>
    <row r="1930" spans="1:6">
      <c r="A1930" s="210">
        <v>211123000</v>
      </c>
      <c r="B1930" s="202" t="s">
        <v>1141</v>
      </c>
      <c r="C1930" s="203" t="s">
        <v>2143</v>
      </c>
      <c r="D1930" s="204">
        <v>1</v>
      </c>
      <c r="E1930" s="204" t="s">
        <v>235</v>
      </c>
      <c r="F1930" s="205">
        <v>1.8343482034833267</v>
      </c>
    </row>
    <row r="1931" spans="1:6">
      <c r="A1931" s="210">
        <v>211129000</v>
      </c>
      <c r="B1931" s="202" t="s">
        <v>1142</v>
      </c>
      <c r="C1931" s="203" t="s">
        <v>2143</v>
      </c>
      <c r="D1931" s="204">
        <v>1</v>
      </c>
      <c r="E1931" s="204" t="s">
        <v>2013</v>
      </c>
      <c r="F1931" s="205">
        <v>2.2551819759395464E-3</v>
      </c>
    </row>
    <row r="1932" spans="1:6">
      <c r="A1932" s="210">
        <v>212100000</v>
      </c>
      <c r="B1932" s="202" t="s">
        <v>6038</v>
      </c>
      <c r="C1932" s="203" t="s">
        <v>2143</v>
      </c>
      <c r="D1932" s="204">
        <v>1</v>
      </c>
      <c r="E1932" s="204" t="s">
        <v>2013</v>
      </c>
      <c r="F1932" s="205">
        <v>7.9972896035517623E-4</v>
      </c>
    </row>
    <row r="1933" spans="1:6">
      <c r="A1933" s="210">
        <v>212111000</v>
      </c>
      <c r="B1933" s="202" t="s">
        <v>1143</v>
      </c>
      <c r="C1933" s="203" t="s">
        <v>2143</v>
      </c>
      <c r="D1933" s="204">
        <v>1</v>
      </c>
      <c r="E1933" s="204" t="s">
        <v>2013</v>
      </c>
      <c r="F1933" s="205">
        <v>7.9972896035517623E-4</v>
      </c>
    </row>
    <row r="1934" spans="1:6">
      <c r="A1934" s="210">
        <v>213100000</v>
      </c>
      <c r="B1934" s="202" t="s">
        <v>6039</v>
      </c>
      <c r="C1934" s="203" t="s">
        <v>2143</v>
      </c>
      <c r="D1934" s="204">
        <v>1</v>
      </c>
      <c r="E1934" s="204" t="s">
        <v>2013</v>
      </c>
      <c r="F1934" s="205">
        <v>9.4854244742949539E-4</v>
      </c>
    </row>
    <row r="1935" spans="1:6">
      <c r="A1935" s="210">
        <v>213111000</v>
      </c>
      <c r="B1935" s="202" t="s">
        <v>6040</v>
      </c>
      <c r="C1935" s="203" t="s">
        <v>2143</v>
      </c>
      <c r="D1935" s="204">
        <v>1</v>
      </c>
      <c r="E1935" s="204" t="s">
        <v>2013</v>
      </c>
      <c r="F1935" s="205">
        <v>9.4854244742949539E-4</v>
      </c>
    </row>
    <row r="1936" spans="1:6">
      <c r="A1936" s="210">
        <v>214100000</v>
      </c>
      <c r="B1936" s="202" t="s">
        <v>4062</v>
      </c>
      <c r="C1936" s="203" t="s">
        <v>2143</v>
      </c>
      <c r="D1936" s="204">
        <v>1</v>
      </c>
      <c r="E1936" s="204" t="s">
        <v>2013</v>
      </c>
      <c r="F1936" s="205">
        <v>7.3163503304903466E-4</v>
      </c>
    </row>
    <row r="1937" spans="1:6">
      <c r="A1937" s="210">
        <v>214111000</v>
      </c>
      <c r="B1937" s="202" t="s">
        <v>6041</v>
      </c>
      <c r="C1937" s="203" t="s">
        <v>2143</v>
      </c>
      <c r="D1937" s="204">
        <v>1</v>
      </c>
      <c r="E1937" s="204" t="s">
        <v>2144</v>
      </c>
      <c r="F1937" s="205">
        <v>4.1115476396622119</v>
      </c>
    </row>
    <row r="1938" spans="1:6">
      <c r="A1938" s="210">
        <v>214112000</v>
      </c>
      <c r="B1938" s="202" t="s">
        <v>6042</v>
      </c>
      <c r="C1938" s="203" t="s">
        <v>2143</v>
      </c>
      <c r="D1938" s="204">
        <v>1</v>
      </c>
      <c r="E1938" s="204" t="s">
        <v>2144</v>
      </c>
      <c r="F1938" s="205">
        <v>3.7329668085217702</v>
      </c>
    </row>
    <row r="1939" spans="1:6">
      <c r="A1939" s="210">
        <v>214113000</v>
      </c>
      <c r="B1939" s="202" t="s">
        <v>6043</v>
      </c>
      <c r="C1939" s="203" t="s">
        <v>2143</v>
      </c>
      <c r="D1939" s="204">
        <v>1</v>
      </c>
      <c r="E1939" s="204" t="s">
        <v>2144</v>
      </c>
      <c r="F1939" s="205">
        <v>3.6989285029185095</v>
      </c>
    </row>
    <row r="1940" spans="1:6">
      <c r="A1940" s="210">
        <v>214114000</v>
      </c>
      <c r="B1940" s="202" t="s">
        <v>6044</v>
      </c>
      <c r="C1940" s="203" t="s">
        <v>2143</v>
      </c>
      <c r="D1940" s="204">
        <v>1</v>
      </c>
      <c r="E1940" s="204" t="s">
        <v>2144</v>
      </c>
      <c r="F1940" s="205">
        <v>2.5207063351306642</v>
      </c>
    </row>
    <row r="1941" spans="1:6">
      <c r="A1941" s="210">
        <v>214119000</v>
      </c>
      <c r="B1941" s="202" t="s">
        <v>6045</v>
      </c>
      <c r="C1941" s="203" t="s">
        <v>2143</v>
      </c>
      <c r="D1941" s="204">
        <v>1</v>
      </c>
      <c r="E1941" s="204" t="s">
        <v>2144</v>
      </c>
      <c r="F1941" s="205">
        <v>22.662790242176758</v>
      </c>
    </row>
    <row r="1942" spans="1:6">
      <c r="A1942" s="210">
        <v>214129000</v>
      </c>
      <c r="B1942" s="202" t="s">
        <v>1148</v>
      </c>
      <c r="C1942" s="203" t="s">
        <v>2143</v>
      </c>
      <c r="D1942" s="204">
        <v>1</v>
      </c>
      <c r="E1942" s="204" t="s">
        <v>2013</v>
      </c>
      <c r="F1942" s="205">
        <v>7.6839310555598856E-4</v>
      </c>
    </row>
    <row r="1943" spans="1:6">
      <c r="A1943" s="210">
        <v>215100000</v>
      </c>
      <c r="B1943" s="202" t="s">
        <v>4070</v>
      </c>
      <c r="C1943" s="203" t="s">
        <v>2143</v>
      </c>
      <c r="D1943" s="204">
        <v>1</v>
      </c>
      <c r="E1943" s="204" t="s">
        <v>2013</v>
      </c>
      <c r="F1943" s="205">
        <v>6.780437186100079E-4</v>
      </c>
    </row>
    <row r="1944" spans="1:6">
      <c r="A1944" s="210">
        <v>215111000</v>
      </c>
      <c r="B1944" s="202" t="s">
        <v>6046</v>
      </c>
      <c r="C1944" s="203" t="s">
        <v>2143</v>
      </c>
      <c r="D1944" s="204">
        <v>1</v>
      </c>
      <c r="E1944" s="204" t="s">
        <v>2144</v>
      </c>
      <c r="F1944" s="205">
        <v>1.9082366352353421</v>
      </c>
    </row>
    <row r="1945" spans="1:6">
      <c r="A1945" s="210">
        <v>215112000</v>
      </c>
      <c r="B1945" s="202" t="s">
        <v>6047</v>
      </c>
      <c r="C1945" s="203" t="s">
        <v>2143</v>
      </c>
      <c r="D1945" s="204">
        <v>1</v>
      </c>
      <c r="E1945" s="204" t="s">
        <v>2144</v>
      </c>
      <c r="F1945" s="205">
        <v>0.13455497883737669</v>
      </c>
    </row>
    <row r="1946" spans="1:6">
      <c r="A1946" s="210">
        <v>215113000</v>
      </c>
      <c r="B1946" s="202" t="s">
        <v>6048</v>
      </c>
      <c r="C1946" s="203" t="s">
        <v>2143</v>
      </c>
      <c r="D1946" s="204">
        <v>1</v>
      </c>
      <c r="E1946" s="204" t="s">
        <v>2013</v>
      </c>
      <c r="F1946" s="205">
        <v>1.8109575086126275E-4</v>
      </c>
    </row>
    <row r="1947" spans="1:6">
      <c r="A1947" s="210">
        <v>216100000</v>
      </c>
      <c r="B1947" s="202" t="s">
        <v>6049</v>
      </c>
      <c r="C1947" s="203" t="s">
        <v>2143</v>
      </c>
      <c r="D1947" s="204">
        <v>1</v>
      </c>
      <c r="E1947" s="204" t="s">
        <v>2013</v>
      </c>
      <c r="F1947" s="205">
        <v>1.1739003760677248E-3</v>
      </c>
    </row>
    <row r="1948" spans="1:6">
      <c r="A1948" s="210">
        <v>216111000</v>
      </c>
      <c r="B1948" s="202" t="s">
        <v>1149</v>
      </c>
      <c r="C1948" s="203" t="s">
        <v>2143</v>
      </c>
      <c r="D1948" s="204">
        <v>1</v>
      </c>
      <c r="E1948" s="204" t="s">
        <v>2144</v>
      </c>
      <c r="F1948" s="205">
        <v>2.7037967418536781</v>
      </c>
    </row>
    <row r="1949" spans="1:6">
      <c r="A1949" s="210">
        <v>216112000</v>
      </c>
      <c r="B1949" s="202" t="s">
        <v>1150</v>
      </c>
      <c r="C1949" s="203" t="s">
        <v>2143</v>
      </c>
      <c r="D1949" s="204">
        <v>1</v>
      </c>
      <c r="E1949" s="204" t="s">
        <v>2144</v>
      </c>
      <c r="F1949" s="205">
        <v>3.4090857843514311</v>
      </c>
    </row>
    <row r="1950" spans="1:6">
      <c r="A1950" s="210">
        <v>216113000</v>
      </c>
      <c r="B1950" s="202" t="s">
        <v>1151</v>
      </c>
      <c r="C1950" s="203" t="s">
        <v>2143</v>
      </c>
      <c r="D1950" s="204">
        <v>1</v>
      </c>
      <c r="E1950" s="204" t="s">
        <v>2013</v>
      </c>
      <c r="F1950" s="205">
        <v>1.5791603070323846E-3</v>
      </c>
    </row>
    <row r="1951" spans="1:6">
      <c r="A1951" s="210">
        <v>216119000</v>
      </c>
      <c r="B1951" s="202" t="s">
        <v>1152</v>
      </c>
      <c r="C1951" s="203" t="s">
        <v>2143</v>
      </c>
      <c r="D1951" s="204">
        <v>1</v>
      </c>
      <c r="E1951" s="204" t="s">
        <v>2013</v>
      </c>
      <c r="F1951" s="205">
        <v>5.7653868754901894E-4</v>
      </c>
    </row>
    <row r="1952" spans="1:6">
      <c r="A1952" s="210">
        <v>216121000</v>
      </c>
      <c r="B1952" s="202" t="s">
        <v>1153</v>
      </c>
      <c r="C1952" s="203" t="s">
        <v>2143</v>
      </c>
      <c r="D1952" s="204">
        <v>1</v>
      </c>
      <c r="E1952" s="204" t="s">
        <v>2013</v>
      </c>
      <c r="F1952" s="205">
        <v>2.1898341772926795E-3</v>
      </c>
    </row>
    <row r="1953" spans="1:6">
      <c r="A1953" s="210">
        <v>216122000</v>
      </c>
      <c r="B1953" s="202" t="s">
        <v>1154</v>
      </c>
      <c r="C1953" s="203" t="s">
        <v>2143</v>
      </c>
      <c r="D1953" s="204">
        <v>1</v>
      </c>
      <c r="E1953" s="204" t="s">
        <v>2013</v>
      </c>
      <c r="F1953" s="205">
        <v>5.9268775577741867E-3</v>
      </c>
    </row>
    <row r="1954" spans="1:6">
      <c r="A1954" s="210">
        <v>216129000</v>
      </c>
      <c r="B1954" s="202" t="s">
        <v>1155</v>
      </c>
      <c r="C1954" s="203" t="s">
        <v>2143</v>
      </c>
      <c r="D1954" s="204">
        <v>1</v>
      </c>
      <c r="E1954" s="204" t="s">
        <v>2013</v>
      </c>
      <c r="F1954" s="205">
        <v>1.4618572353574479E-3</v>
      </c>
    </row>
    <row r="1955" spans="1:6">
      <c r="A1955" s="210">
        <v>217100000</v>
      </c>
      <c r="B1955" s="202" t="s">
        <v>6050</v>
      </c>
      <c r="C1955" s="203" t="s">
        <v>2143</v>
      </c>
      <c r="D1955" s="204">
        <v>1</v>
      </c>
      <c r="E1955" s="204" t="s">
        <v>2013</v>
      </c>
      <c r="F1955" s="205">
        <v>7.0766655076544695E-4</v>
      </c>
    </row>
    <row r="1956" spans="1:6">
      <c r="A1956" s="210">
        <v>217111000</v>
      </c>
      <c r="B1956" s="202" t="s">
        <v>1156</v>
      </c>
      <c r="C1956" s="203" t="s">
        <v>2143</v>
      </c>
      <c r="D1956" s="204">
        <v>1</v>
      </c>
      <c r="E1956" s="204" t="s">
        <v>2013</v>
      </c>
      <c r="F1956" s="205">
        <v>7.0766655076544695E-4</v>
      </c>
    </row>
    <row r="1957" spans="1:6">
      <c r="A1957" s="210">
        <v>217200000</v>
      </c>
      <c r="B1957" s="202" t="s">
        <v>4078</v>
      </c>
      <c r="C1957" s="203" t="s">
        <v>2143</v>
      </c>
      <c r="D1957" s="204">
        <v>1</v>
      </c>
      <c r="E1957" s="204" t="s">
        <v>2013</v>
      </c>
      <c r="F1957" s="205">
        <v>8.4806110120616931E-4</v>
      </c>
    </row>
    <row r="1958" spans="1:6">
      <c r="A1958" s="210">
        <v>217211000</v>
      </c>
      <c r="B1958" s="202" t="s">
        <v>1157</v>
      </c>
      <c r="C1958" s="203" t="s">
        <v>2143</v>
      </c>
      <c r="D1958" s="204">
        <v>1</v>
      </c>
      <c r="E1958" s="204" t="s">
        <v>2144</v>
      </c>
      <c r="F1958" s="205">
        <v>5.2646227829366268</v>
      </c>
    </row>
    <row r="1959" spans="1:6">
      <c r="A1959" s="210">
        <v>217212000</v>
      </c>
      <c r="B1959" s="202" t="s">
        <v>1158</v>
      </c>
      <c r="C1959" s="203" t="s">
        <v>2143</v>
      </c>
      <c r="D1959" s="204">
        <v>1</v>
      </c>
      <c r="E1959" s="204" t="s">
        <v>2144</v>
      </c>
      <c r="F1959" s="205">
        <v>14.665067871196444</v>
      </c>
    </row>
    <row r="1960" spans="1:6">
      <c r="A1960" s="210">
        <v>217219000</v>
      </c>
      <c r="B1960" s="202" t="s">
        <v>1159</v>
      </c>
      <c r="C1960" s="203" t="s">
        <v>2143</v>
      </c>
      <c r="D1960" s="204">
        <v>1</v>
      </c>
      <c r="E1960" s="204" t="s">
        <v>2013</v>
      </c>
      <c r="F1960" s="205">
        <v>8.3491037363200176E-4</v>
      </c>
    </row>
    <row r="1961" spans="1:6">
      <c r="A1961" s="210">
        <v>218100000</v>
      </c>
      <c r="B1961" s="202" t="s">
        <v>6051</v>
      </c>
      <c r="C1961" s="203" t="s">
        <v>2143</v>
      </c>
      <c r="D1961" s="204">
        <v>1</v>
      </c>
      <c r="E1961" s="204" t="s">
        <v>2013</v>
      </c>
      <c r="F1961" s="205">
        <v>1.3877404711831532E-3</v>
      </c>
    </row>
    <row r="1962" spans="1:6">
      <c r="A1962" s="210">
        <v>218111000</v>
      </c>
      <c r="B1962" s="202" t="s">
        <v>6052</v>
      </c>
      <c r="C1962" s="203" t="s">
        <v>2143</v>
      </c>
      <c r="D1962" s="204">
        <v>1</v>
      </c>
      <c r="E1962" s="204" t="s">
        <v>2013</v>
      </c>
      <c r="F1962" s="205">
        <v>1.3877404711831532E-3</v>
      </c>
    </row>
    <row r="1963" spans="1:6">
      <c r="A1963" s="210">
        <v>219900000</v>
      </c>
      <c r="B1963" s="202" t="s">
        <v>6053</v>
      </c>
      <c r="C1963" s="203" t="s">
        <v>2143</v>
      </c>
      <c r="D1963" s="204">
        <v>1</v>
      </c>
      <c r="E1963" s="204" t="s">
        <v>2013</v>
      </c>
      <c r="F1963" s="205">
        <v>7.1995659198149811E-4</v>
      </c>
    </row>
    <row r="1964" spans="1:6">
      <c r="A1964" s="210">
        <v>219911000</v>
      </c>
      <c r="B1964" s="202" t="s">
        <v>1160</v>
      </c>
      <c r="C1964" s="203" t="s">
        <v>2143</v>
      </c>
      <c r="D1964" s="204">
        <v>1</v>
      </c>
      <c r="E1964" s="204" t="s">
        <v>2013</v>
      </c>
      <c r="F1964" s="205">
        <v>7.0872915032501606E-4</v>
      </c>
    </row>
    <row r="1965" spans="1:6">
      <c r="A1965" s="210">
        <v>219919000</v>
      </c>
      <c r="B1965" s="202" t="s">
        <v>6054</v>
      </c>
      <c r="C1965" s="203" t="s">
        <v>2143</v>
      </c>
      <c r="D1965" s="204">
        <v>1</v>
      </c>
      <c r="E1965" s="204" t="s">
        <v>2013</v>
      </c>
      <c r="F1965" s="205">
        <v>7.2863548426889922E-4</v>
      </c>
    </row>
    <row r="1966" spans="1:6">
      <c r="A1966" s="210">
        <v>220000940</v>
      </c>
      <c r="B1966" s="202" t="s">
        <v>6055</v>
      </c>
      <c r="C1966" s="203" t="s">
        <v>5553</v>
      </c>
      <c r="D1966" s="204">
        <v>1</v>
      </c>
      <c r="E1966" s="204" t="s">
        <v>235</v>
      </c>
      <c r="F1966" s="205">
        <v>0</v>
      </c>
    </row>
    <row r="1967" spans="1:6">
      <c r="A1967" s="210">
        <v>221100000</v>
      </c>
      <c r="B1967" s="202" t="s">
        <v>6056</v>
      </c>
      <c r="C1967" s="203" t="s">
        <v>2143</v>
      </c>
      <c r="D1967" s="204">
        <v>1</v>
      </c>
      <c r="E1967" s="204" t="s">
        <v>2144</v>
      </c>
      <c r="F1967" s="205">
        <v>77.619040395537965</v>
      </c>
    </row>
    <row r="1968" spans="1:6">
      <c r="A1968" s="210">
        <v>221111000</v>
      </c>
      <c r="B1968" s="202" t="s">
        <v>6057</v>
      </c>
      <c r="C1968" s="203" t="s">
        <v>2143</v>
      </c>
      <c r="D1968" s="204">
        <v>1</v>
      </c>
      <c r="E1968" s="204" t="s">
        <v>2144</v>
      </c>
      <c r="F1968" s="205">
        <v>65.734424829407146</v>
      </c>
    </row>
    <row r="1969" spans="1:6">
      <c r="A1969" s="210">
        <v>221112000</v>
      </c>
      <c r="B1969" s="202" t="s">
        <v>6058</v>
      </c>
      <c r="C1969" s="203" t="s">
        <v>2143</v>
      </c>
      <c r="D1969" s="204">
        <v>1</v>
      </c>
      <c r="E1969" s="204" t="s">
        <v>2144</v>
      </c>
      <c r="F1969" s="205">
        <v>49.422891669340856</v>
      </c>
    </row>
    <row r="1970" spans="1:6">
      <c r="A1970" s="210">
        <v>221113000</v>
      </c>
      <c r="B1970" s="202" t="s">
        <v>6059</v>
      </c>
      <c r="C1970" s="203" t="s">
        <v>2143</v>
      </c>
      <c r="D1970" s="204">
        <v>1</v>
      </c>
      <c r="E1970" s="204" t="s">
        <v>2144</v>
      </c>
      <c r="F1970" s="205">
        <v>81.019757525555349</v>
      </c>
    </row>
    <row r="1971" spans="1:6">
      <c r="A1971" s="210">
        <v>221200000</v>
      </c>
      <c r="B1971" s="202" t="s">
        <v>4087</v>
      </c>
      <c r="C1971" s="203" t="s">
        <v>2143</v>
      </c>
      <c r="D1971" s="204">
        <v>1</v>
      </c>
      <c r="E1971" s="204" t="s">
        <v>2013</v>
      </c>
      <c r="F1971" s="205">
        <v>6.1657046590200774E-3</v>
      </c>
    </row>
    <row r="1972" spans="1:6">
      <c r="A1972" s="210">
        <v>221211000</v>
      </c>
      <c r="B1972" s="202" t="s">
        <v>1165</v>
      </c>
      <c r="C1972" s="203" t="s">
        <v>2143</v>
      </c>
      <c r="D1972" s="204">
        <v>1</v>
      </c>
      <c r="E1972" s="204" t="s">
        <v>425</v>
      </c>
      <c r="F1972" s="205">
        <v>33.873846354983236</v>
      </c>
    </row>
    <row r="1973" spans="1:6">
      <c r="A1973" s="210">
        <v>221212000</v>
      </c>
      <c r="B1973" s="202" t="s">
        <v>1166</v>
      </c>
      <c r="C1973" s="203" t="s">
        <v>2143</v>
      </c>
      <c r="D1973" s="204">
        <v>1</v>
      </c>
      <c r="E1973" s="204" t="s">
        <v>425</v>
      </c>
      <c r="F1973" s="205">
        <v>27.270861894876806</v>
      </c>
    </row>
    <row r="1974" spans="1:6">
      <c r="A1974" s="210">
        <v>221219000</v>
      </c>
      <c r="B1974" s="202" t="s">
        <v>1167</v>
      </c>
      <c r="C1974" s="203" t="s">
        <v>2143</v>
      </c>
      <c r="D1974" s="204">
        <v>1</v>
      </c>
      <c r="E1974" s="204" t="s">
        <v>425</v>
      </c>
      <c r="F1974" s="205">
        <v>33.664127000690733</v>
      </c>
    </row>
    <row r="1975" spans="1:6">
      <c r="A1975" s="210">
        <v>221221000</v>
      </c>
      <c r="B1975" s="202" t="s">
        <v>1168</v>
      </c>
      <c r="C1975" s="203" t="s">
        <v>2143</v>
      </c>
      <c r="D1975" s="204">
        <v>1</v>
      </c>
      <c r="E1975" s="204" t="s">
        <v>2013</v>
      </c>
      <c r="F1975" s="205">
        <v>2.7530132209379892E-3</v>
      </c>
    </row>
    <row r="1976" spans="1:6">
      <c r="A1976" s="210">
        <v>221300000</v>
      </c>
      <c r="B1976" s="202" t="s">
        <v>4093</v>
      </c>
      <c r="C1976" s="203" t="s">
        <v>2143</v>
      </c>
      <c r="D1976" s="204">
        <v>1</v>
      </c>
      <c r="E1976" s="204" t="s">
        <v>2013</v>
      </c>
      <c r="F1976" s="205">
        <v>4.9183606042124337E-3</v>
      </c>
    </row>
    <row r="1977" spans="1:6">
      <c r="A1977" s="210">
        <v>221311000</v>
      </c>
      <c r="B1977" s="202" t="s">
        <v>1169</v>
      </c>
      <c r="C1977" s="203" t="s">
        <v>2143</v>
      </c>
      <c r="D1977" s="204">
        <v>1</v>
      </c>
      <c r="E1977" s="204" t="s">
        <v>235</v>
      </c>
      <c r="F1977" s="205">
        <v>16.366304802372579</v>
      </c>
    </row>
    <row r="1978" spans="1:6">
      <c r="A1978" s="210">
        <v>221312000</v>
      </c>
      <c r="B1978" s="202" t="s">
        <v>1170</v>
      </c>
      <c r="C1978" s="203" t="s">
        <v>2143</v>
      </c>
      <c r="D1978" s="204">
        <v>1</v>
      </c>
      <c r="E1978" s="204" t="s">
        <v>235</v>
      </c>
      <c r="F1978" s="205">
        <v>1.9035489874550511</v>
      </c>
    </row>
    <row r="1979" spans="1:6">
      <c r="A1979" s="210">
        <v>221313000</v>
      </c>
      <c r="B1979" s="202" t="s">
        <v>1171</v>
      </c>
      <c r="C1979" s="203" t="s">
        <v>2143</v>
      </c>
      <c r="D1979" s="204">
        <v>1</v>
      </c>
      <c r="E1979" s="204" t="s">
        <v>235</v>
      </c>
      <c r="F1979" s="205">
        <v>1.9302719689548267</v>
      </c>
    </row>
    <row r="1980" spans="1:6">
      <c r="A1980" s="210">
        <v>221314000</v>
      </c>
      <c r="B1980" s="202" t="s">
        <v>1172</v>
      </c>
      <c r="C1980" s="203" t="s">
        <v>2143</v>
      </c>
      <c r="D1980" s="204">
        <v>1</v>
      </c>
      <c r="E1980" s="204" t="s">
        <v>235</v>
      </c>
      <c r="F1980" s="205">
        <v>1.8648380090845089</v>
      </c>
    </row>
    <row r="1981" spans="1:6">
      <c r="A1981" s="210">
        <v>221319000</v>
      </c>
      <c r="B1981" s="202" t="s">
        <v>1173</v>
      </c>
      <c r="C1981" s="203" t="s">
        <v>2143</v>
      </c>
      <c r="D1981" s="204">
        <v>1</v>
      </c>
      <c r="E1981" s="204" t="s">
        <v>2013</v>
      </c>
      <c r="F1981" s="205">
        <v>5.246806378417233E-3</v>
      </c>
    </row>
    <row r="1982" spans="1:6">
      <c r="A1982" s="210">
        <v>221319200</v>
      </c>
      <c r="B1982" s="202" t="s">
        <v>6060</v>
      </c>
      <c r="C1982" s="203" t="s">
        <v>2143</v>
      </c>
      <c r="D1982" s="204">
        <v>1</v>
      </c>
      <c r="E1982" s="204" t="s">
        <v>235</v>
      </c>
      <c r="F1982" s="205">
        <v>1.8442189216898033</v>
      </c>
    </row>
    <row r="1983" spans="1:6">
      <c r="A1983" s="210">
        <v>221400000</v>
      </c>
      <c r="B1983" s="202" t="s">
        <v>4099</v>
      </c>
      <c r="C1983" s="203" t="s">
        <v>2143</v>
      </c>
      <c r="D1983" s="204">
        <v>1</v>
      </c>
      <c r="E1983" s="204" t="s">
        <v>2013</v>
      </c>
      <c r="F1983" s="205">
        <v>1.1978641687180607E-2</v>
      </c>
    </row>
    <row r="1984" spans="1:6">
      <c r="A1984" s="210">
        <v>221400200</v>
      </c>
      <c r="B1984" s="202" t="s">
        <v>1174</v>
      </c>
      <c r="C1984" s="203" t="s">
        <v>2143</v>
      </c>
      <c r="D1984" s="204">
        <v>1</v>
      </c>
      <c r="E1984" s="204" t="s">
        <v>235</v>
      </c>
      <c r="F1984" s="205">
        <v>0.80484281385019307</v>
      </c>
    </row>
    <row r="1985" spans="1:6">
      <c r="A1985" s="210">
        <v>221411000</v>
      </c>
      <c r="B1985" s="202" t="s">
        <v>1175</v>
      </c>
      <c r="C1985" s="203" t="s">
        <v>2143</v>
      </c>
      <c r="D1985" s="204">
        <v>1</v>
      </c>
      <c r="E1985" s="204" t="s">
        <v>235</v>
      </c>
      <c r="F1985" s="205">
        <v>1.1394043419316426</v>
      </c>
    </row>
    <row r="1986" spans="1:6">
      <c r="A1986" s="210">
        <v>221412000</v>
      </c>
      <c r="B1986" s="202" t="s">
        <v>1176</v>
      </c>
      <c r="C1986" s="203" t="s">
        <v>2143</v>
      </c>
      <c r="D1986" s="204">
        <v>1</v>
      </c>
      <c r="E1986" s="204" t="s">
        <v>235</v>
      </c>
      <c r="F1986" s="205">
        <v>1.1252961695486594</v>
      </c>
    </row>
    <row r="1987" spans="1:6">
      <c r="A1987" s="210">
        <v>221419000</v>
      </c>
      <c r="B1987" s="202" t="s">
        <v>1177</v>
      </c>
      <c r="C1987" s="203" t="s">
        <v>2143</v>
      </c>
      <c r="D1987" s="204">
        <v>1</v>
      </c>
      <c r="E1987" s="204" t="s">
        <v>2013</v>
      </c>
      <c r="F1987" s="205">
        <v>1.0293919564617124E-2</v>
      </c>
    </row>
    <row r="1988" spans="1:6">
      <c r="A1988" s="210">
        <v>221500000</v>
      </c>
      <c r="B1988" s="202" t="s">
        <v>4104</v>
      </c>
      <c r="C1988" s="203" t="s">
        <v>2143</v>
      </c>
      <c r="D1988" s="204">
        <v>1</v>
      </c>
      <c r="E1988" s="204" t="s">
        <v>2013</v>
      </c>
      <c r="F1988" s="205">
        <v>9.2174294404329393E-3</v>
      </c>
    </row>
    <row r="1989" spans="1:6">
      <c r="A1989" s="210">
        <v>221511000</v>
      </c>
      <c r="B1989" s="202" t="s">
        <v>1178</v>
      </c>
      <c r="C1989" s="203" t="s">
        <v>2143</v>
      </c>
      <c r="D1989" s="204">
        <v>1</v>
      </c>
      <c r="E1989" s="204" t="s">
        <v>235</v>
      </c>
      <c r="F1989" s="205">
        <v>2.7636528792482715</v>
      </c>
    </row>
    <row r="1990" spans="1:6">
      <c r="A1990" s="210">
        <v>221512000</v>
      </c>
      <c r="B1990" s="202" t="s">
        <v>1179</v>
      </c>
      <c r="C1990" s="203" t="s">
        <v>2143</v>
      </c>
      <c r="D1990" s="204">
        <v>1</v>
      </c>
      <c r="E1990" s="204" t="s">
        <v>2013</v>
      </c>
      <c r="F1990" s="205">
        <v>3.9698247497125857E-3</v>
      </c>
    </row>
    <row r="1991" spans="1:6">
      <c r="A1991" s="210">
        <v>221513000</v>
      </c>
      <c r="B1991" s="202" t="s">
        <v>1180</v>
      </c>
      <c r="C1991" s="203" t="s">
        <v>2143</v>
      </c>
      <c r="D1991" s="204">
        <v>1</v>
      </c>
      <c r="E1991" s="204" t="s">
        <v>235</v>
      </c>
      <c r="F1991" s="205">
        <v>1.0266339519506549</v>
      </c>
    </row>
    <row r="1992" spans="1:6">
      <c r="A1992" s="210">
        <v>221600000</v>
      </c>
      <c r="B1992" s="202" t="s">
        <v>4109</v>
      </c>
      <c r="C1992" s="203" t="s">
        <v>2143</v>
      </c>
      <c r="D1992" s="204">
        <v>1</v>
      </c>
      <c r="E1992" s="204" t="s">
        <v>2013</v>
      </c>
      <c r="F1992" s="205">
        <v>8.7234125750435959E-3</v>
      </c>
    </row>
    <row r="1993" spans="1:6">
      <c r="A1993" s="210">
        <v>221611000</v>
      </c>
      <c r="B1993" s="202" t="s">
        <v>1181</v>
      </c>
      <c r="C1993" s="203" t="s">
        <v>2143</v>
      </c>
      <c r="D1993" s="204">
        <v>1</v>
      </c>
      <c r="E1993" s="204" t="s">
        <v>2013</v>
      </c>
      <c r="F1993" s="205">
        <v>8.3329192285137698E-3</v>
      </c>
    </row>
    <row r="1994" spans="1:6">
      <c r="A1994" s="210">
        <v>221612000</v>
      </c>
      <c r="B1994" s="202" t="s">
        <v>1182</v>
      </c>
      <c r="C1994" s="203" t="s">
        <v>2143</v>
      </c>
      <c r="D1994" s="204">
        <v>1</v>
      </c>
      <c r="E1994" s="204" t="s">
        <v>2013</v>
      </c>
      <c r="F1994" s="205">
        <v>8.749029944424681E-3</v>
      </c>
    </row>
    <row r="1995" spans="1:6">
      <c r="A1995" s="210">
        <v>221700000</v>
      </c>
      <c r="B1995" s="202" t="s">
        <v>4113</v>
      </c>
      <c r="C1995" s="203" t="s">
        <v>2143</v>
      </c>
      <c r="D1995" s="204">
        <v>1</v>
      </c>
      <c r="E1995" s="204" t="s">
        <v>2013</v>
      </c>
      <c r="F1995" s="205">
        <v>6.7953290099811887E-3</v>
      </c>
    </row>
    <row r="1996" spans="1:6">
      <c r="A1996" s="210">
        <v>221711000</v>
      </c>
      <c r="B1996" s="202" t="s">
        <v>4115</v>
      </c>
      <c r="C1996" s="203" t="s">
        <v>2143</v>
      </c>
      <c r="D1996" s="204">
        <v>1</v>
      </c>
      <c r="E1996" s="204" t="s">
        <v>235</v>
      </c>
      <c r="F1996" s="205">
        <v>2.8283506053586653</v>
      </c>
    </row>
    <row r="1997" spans="1:6">
      <c r="A1997" s="210">
        <v>221711200</v>
      </c>
      <c r="B1997" s="202" t="s">
        <v>1184</v>
      </c>
      <c r="C1997" s="203" t="s">
        <v>2143</v>
      </c>
      <c r="D1997" s="204">
        <v>1</v>
      </c>
      <c r="E1997" s="204" t="s">
        <v>235</v>
      </c>
      <c r="F1997" s="205">
        <v>2.47659173616006</v>
      </c>
    </row>
    <row r="1998" spans="1:6">
      <c r="A1998" s="210">
        <v>221712000</v>
      </c>
      <c r="B1998" s="202" t="s">
        <v>4117</v>
      </c>
      <c r="C1998" s="203" t="s">
        <v>2143</v>
      </c>
      <c r="D1998" s="204">
        <v>1</v>
      </c>
      <c r="E1998" s="204" t="s">
        <v>235</v>
      </c>
      <c r="F1998" s="205">
        <v>3.3115857995522298</v>
      </c>
    </row>
    <row r="1999" spans="1:6">
      <c r="A1999" s="210">
        <v>221712200</v>
      </c>
      <c r="B1999" s="202" t="s">
        <v>1183</v>
      </c>
      <c r="C1999" s="203" t="s">
        <v>2143</v>
      </c>
      <c r="D1999" s="204">
        <v>1</v>
      </c>
      <c r="E1999" s="204" t="s">
        <v>235</v>
      </c>
      <c r="F1999" s="205">
        <v>2.1526443066147101</v>
      </c>
    </row>
    <row r="2000" spans="1:6">
      <c r="A2000" s="210">
        <v>221713000</v>
      </c>
      <c r="B2000" s="202" t="s">
        <v>1186</v>
      </c>
      <c r="C2000" s="203" t="s">
        <v>2143</v>
      </c>
      <c r="D2000" s="204">
        <v>1</v>
      </c>
      <c r="E2000" s="204" t="s">
        <v>2013</v>
      </c>
      <c r="F2000" s="205">
        <v>4.0583553839301607E-3</v>
      </c>
    </row>
    <row r="2001" spans="1:6">
      <c r="A2001" s="210">
        <v>221900000</v>
      </c>
      <c r="B2001" s="202" t="s">
        <v>4120</v>
      </c>
      <c r="C2001" s="203" t="s">
        <v>2143</v>
      </c>
      <c r="D2001" s="204">
        <v>1</v>
      </c>
      <c r="E2001" s="204" t="s">
        <v>2013</v>
      </c>
      <c r="F2001" s="205">
        <v>8.969414186282082E-3</v>
      </c>
    </row>
    <row r="2002" spans="1:6">
      <c r="A2002" s="210">
        <v>221911000</v>
      </c>
      <c r="B2002" s="202" t="s">
        <v>1187</v>
      </c>
      <c r="C2002" s="203" t="s">
        <v>2143</v>
      </c>
      <c r="D2002" s="204">
        <v>1</v>
      </c>
      <c r="E2002" s="204" t="s">
        <v>2013</v>
      </c>
      <c r="F2002" s="205">
        <v>5.1964072863152329E-3</v>
      </c>
    </row>
    <row r="2003" spans="1:6">
      <c r="A2003" s="210">
        <v>221912000</v>
      </c>
      <c r="B2003" s="202" t="s">
        <v>1188</v>
      </c>
      <c r="C2003" s="203" t="s">
        <v>2143</v>
      </c>
      <c r="D2003" s="204">
        <v>1</v>
      </c>
      <c r="E2003" s="204" t="s">
        <v>235</v>
      </c>
      <c r="F2003" s="205">
        <v>3.4401172306719037</v>
      </c>
    </row>
    <row r="2004" spans="1:6">
      <c r="A2004" s="210">
        <v>221919000</v>
      </c>
      <c r="B2004" s="202" t="s">
        <v>6061</v>
      </c>
      <c r="C2004" s="203" t="s">
        <v>2143</v>
      </c>
      <c r="D2004" s="204">
        <v>1</v>
      </c>
      <c r="E2004" s="204" t="s">
        <v>2013</v>
      </c>
      <c r="F2004" s="205">
        <v>9.2965319372464474E-3</v>
      </c>
    </row>
    <row r="2005" spans="1:6">
      <c r="A2005" s="210">
        <v>222100000</v>
      </c>
      <c r="B2005" s="202" t="s">
        <v>4124</v>
      </c>
      <c r="C2005" s="203" t="s">
        <v>2143</v>
      </c>
      <c r="D2005" s="204">
        <v>1</v>
      </c>
      <c r="E2005" s="204" t="s">
        <v>235</v>
      </c>
      <c r="F2005" s="205">
        <v>0.8512791685016029</v>
      </c>
    </row>
    <row r="2006" spans="1:6">
      <c r="A2006" s="210">
        <v>222111000</v>
      </c>
      <c r="B2006" s="202" t="s">
        <v>1189</v>
      </c>
      <c r="C2006" s="203" t="s">
        <v>2143</v>
      </c>
      <c r="D2006" s="204">
        <v>1</v>
      </c>
      <c r="E2006" s="204" t="s">
        <v>235</v>
      </c>
      <c r="F2006" s="205">
        <v>0.91808344737885506</v>
      </c>
    </row>
    <row r="2007" spans="1:6">
      <c r="A2007" s="210">
        <v>222112000</v>
      </c>
      <c r="B2007" s="202" t="s">
        <v>1190</v>
      </c>
      <c r="C2007" s="203" t="s">
        <v>2143</v>
      </c>
      <c r="D2007" s="204">
        <v>1</v>
      </c>
      <c r="E2007" s="204" t="s">
        <v>235</v>
      </c>
      <c r="F2007" s="205">
        <v>0.9365709798244598</v>
      </c>
    </row>
    <row r="2008" spans="1:6">
      <c r="A2008" s="210">
        <v>222119000</v>
      </c>
      <c r="B2008" s="202" t="s">
        <v>1191</v>
      </c>
      <c r="C2008" s="203" t="s">
        <v>2143</v>
      </c>
      <c r="D2008" s="204">
        <v>1</v>
      </c>
      <c r="E2008" s="204" t="s">
        <v>235</v>
      </c>
      <c r="F2008" s="205">
        <v>0.61521806858586925</v>
      </c>
    </row>
    <row r="2009" spans="1:6">
      <c r="A2009" s="210">
        <v>222119200</v>
      </c>
      <c r="B2009" s="202" t="s">
        <v>6062</v>
      </c>
      <c r="C2009" s="203" t="s">
        <v>2143</v>
      </c>
      <c r="D2009" s="204">
        <v>1</v>
      </c>
      <c r="E2009" s="204" t="s">
        <v>235</v>
      </c>
      <c r="F2009" s="205">
        <v>0.57666336007039998</v>
      </c>
    </row>
    <row r="2010" spans="1:6">
      <c r="A2010" s="210">
        <v>222119201</v>
      </c>
      <c r="B2010" s="202" t="s">
        <v>6063</v>
      </c>
      <c r="C2010" s="203" t="s">
        <v>2143</v>
      </c>
      <c r="D2010" s="204">
        <v>1</v>
      </c>
      <c r="E2010" s="204" t="s">
        <v>235</v>
      </c>
      <c r="F2010" s="205">
        <v>0.73461236746902003</v>
      </c>
    </row>
    <row r="2011" spans="1:6">
      <c r="A2011" s="210">
        <v>222200000</v>
      </c>
      <c r="B2011" s="202" t="s">
        <v>4129</v>
      </c>
      <c r="C2011" s="203" t="s">
        <v>2143</v>
      </c>
      <c r="D2011" s="204">
        <v>1</v>
      </c>
      <c r="E2011" s="204" t="s">
        <v>278</v>
      </c>
      <c r="F2011" s="205">
        <v>281.94987780667327</v>
      </c>
    </row>
    <row r="2012" spans="1:6">
      <c r="A2012" s="210">
        <v>222211000</v>
      </c>
      <c r="B2012" s="202" t="s">
        <v>1192</v>
      </c>
      <c r="C2012" s="203" t="s">
        <v>2143</v>
      </c>
      <c r="D2012" s="204">
        <v>1</v>
      </c>
      <c r="E2012" s="204" t="s">
        <v>278</v>
      </c>
      <c r="F2012" s="205">
        <v>281.94987780667327</v>
      </c>
    </row>
    <row r="2013" spans="1:6">
      <c r="A2013" s="210">
        <v>222300000</v>
      </c>
      <c r="B2013" s="202" t="s">
        <v>4132</v>
      </c>
      <c r="C2013" s="203" t="s">
        <v>2143</v>
      </c>
      <c r="D2013" s="204">
        <v>1</v>
      </c>
      <c r="E2013" s="204" t="s">
        <v>2013</v>
      </c>
      <c r="F2013" s="205">
        <v>1.2329674706222791E-2</v>
      </c>
    </row>
    <row r="2014" spans="1:6">
      <c r="A2014" s="210">
        <v>222300200</v>
      </c>
      <c r="B2014" s="202" t="s">
        <v>1193</v>
      </c>
      <c r="C2014" s="203" t="s">
        <v>2143</v>
      </c>
      <c r="D2014" s="204">
        <v>1</v>
      </c>
      <c r="E2014" s="204" t="s">
        <v>235</v>
      </c>
      <c r="F2014" s="205">
        <v>0.21438219775497899</v>
      </c>
    </row>
    <row r="2015" spans="1:6">
      <c r="A2015" s="210">
        <v>222311000</v>
      </c>
      <c r="B2015" s="202" t="s">
        <v>1194</v>
      </c>
      <c r="C2015" s="203" t="s">
        <v>2143</v>
      </c>
      <c r="D2015" s="204">
        <v>1</v>
      </c>
      <c r="E2015" s="204" t="s">
        <v>235</v>
      </c>
      <c r="F2015" s="205">
        <v>0.27434424546392139</v>
      </c>
    </row>
    <row r="2016" spans="1:6">
      <c r="A2016" s="210">
        <v>222312000</v>
      </c>
      <c r="B2016" s="202" t="s">
        <v>1195</v>
      </c>
      <c r="C2016" s="203" t="s">
        <v>2143</v>
      </c>
      <c r="D2016" s="204">
        <v>1</v>
      </c>
      <c r="E2016" s="204" t="s">
        <v>235</v>
      </c>
      <c r="F2016" s="205">
        <v>0.28397193571728718</v>
      </c>
    </row>
    <row r="2017" spans="1:6">
      <c r="A2017" s="210">
        <v>222313000</v>
      </c>
      <c r="B2017" s="202" t="s">
        <v>1196</v>
      </c>
      <c r="C2017" s="203" t="s">
        <v>2143</v>
      </c>
      <c r="D2017" s="204">
        <v>1</v>
      </c>
      <c r="E2017" s="204" t="s">
        <v>235</v>
      </c>
      <c r="F2017" s="205">
        <v>0.26270343326635082</v>
      </c>
    </row>
    <row r="2018" spans="1:6">
      <c r="A2018" s="210">
        <v>222313200</v>
      </c>
      <c r="B2018" s="202" t="s">
        <v>1197</v>
      </c>
      <c r="C2018" s="203" t="s">
        <v>2143</v>
      </c>
      <c r="D2018" s="204">
        <v>1</v>
      </c>
      <c r="E2018" s="204" t="s">
        <v>235</v>
      </c>
      <c r="F2018" s="205">
        <v>0.78147878884431465</v>
      </c>
    </row>
    <row r="2019" spans="1:6">
      <c r="A2019" s="210">
        <v>222314000</v>
      </c>
      <c r="B2019" s="202" t="s">
        <v>1198</v>
      </c>
      <c r="C2019" s="203" t="s">
        <v>2143</v>
      </c>
      <c r="D2019" s="204">
        <v>1</v>
      </c>
      <c r="E2019" s="204" t="s">
        <v>235</v>
      </c>
      <c r="F2019" s="205">
        <v>0.24515787552602342</v>
      </c>
    </row>
    <row r="2020" spans="1:6">
      <c r="A2020" s="210">
        <v>222315000</v>
      </c>
      <c r="B2020" s="202" t="s">
        <v>1199</v>
      </c>
      <c r="C2020" s="203" t="s">
        <v>2143</v>
      </c>
      <c r="D2020" s="204">
        <v>1</v>
      </c>
      <c r="E2020" s="204" t="s">
        <v>2144</v>
      </c>
      <c r="F2020" s="205">
        <v>1.5325819228954245</v>
      </c>
    </row>
    <row r="2021" spans="1:6">
      <c r="A2021" s="210">
        <v>222315200</v>
      </c>
      <c r="B2021" s="202" t="s">
        <v>1200</v>
      </c>
      <c r="C2021" s="203" t="s">
        <v>2143</v>
      </c>
      <c r="D2021" s="204">
        <v>1</v>
      </c>
      <c r="E2021" s="204" t="s">
        <v>235</v>
      </c>
      <c r="F2021" s="205">
        <v>0.23462802529142915</v>
      </c>
    </row>
    <row r="2022" spans="1:6">
      <c r="A2022" s="210">
        <v>222316000</v>
      </c>
      <c r="B2022" s="202" t="s">
        <v>1201</v>
      </c>
      <c r="C2022" s="203" t="s">
        <v>2143</v>
      </c>
      <c r="D2022" s="204">
        <v>1</v>
      </c>
      <c r="E2022" s="204" t="s">
        <v>235</v>
      </c>
      <c r="F2022" s="205">
        <v>0.23433724112109089</v>
      </c>
    </row>
    <row r="2023" spans="1:6">
      <c r="A2023" s="210">
        <v>222317000</v>
      </c>
      <c r="B2023" s="202" t="s">
        <v>1202</v>
      </c>
      <c r="C2023" s="203" t="s">
        <v>2143</v>
      </c>
      <c r="D2023" s="204">
        <v>1</v>
      </c>
      <c r="E2023" s="204" t="s">
        <v>235</v>
      </c>
      <c r="F2023" s="205">
        <v>0.24234151479394625</v>
      </c>
    </row>
    <row r="2024" spans="1:6">
      <c r="A2024" s="210">
        <v>222318000</v>
      </c>
      <c r="B2024" s="202" t="s">
        <v>1203</v>
      </c>
      <c r="C2024" s="203" t="s">
        <v>2143</v>
      </c>
      <c r="D2024" s="204">
        <v>1</v>
      </c>
      <c r="E2024" s="204" t="s">
        <v>235</v>
      </c>
      <c r="F2024" s="205">
        <v>0.28637511409700633</v>
      </c>
    </row>
    <row r="2025" spans="1:6">
      <c r="A2025" s="210">
        <v>222318200</v>
      </c>
      <c r="B2025" s="202" t="s">
        <v>1204</v>
      </c>
      <c r="C2025" s="203" t="s">
        <v>2143</v>
      </c>
      <c r="D2025" s="204">
        <v>1</v>
      </c>
      <c r="E2025" s="204" t="s">
        <v>2144</v>
      </c>
      <c r="F2025" s="205">
        <v>32.026601377911426</v>
      </c>
    </row>
    <row r="2026" spans="1:6">
      <c r="A2026" s="210">
        <v>222319000</v>
      </c>
      <c r="B2026" s="202" t="s">
        <v>1205</v>
      </c>
      <c r="C2026" s="203" t="s">
        <v>2143</v>
      </c>
      <c r="D2026" s="204">
        <v>1</v>
      </c>
      <c r="E2026" s="204" t="s">
        <v>2013</v>
      </c>
      <c r="F2026" s="205">
        <v>1.7455565641194826E-2</v>
      </c>
    </row>
    <row r="2027" spans="1:6">
      <c r="A2027" s="210">
        <v>222319200</v>
      </c>
      <c r="B2027" s="202" t="s">
        <v>1206</v>
      </c>
      <c r="C2027" s="203" t="s">
        <v>2143</v>
      </c>
      <c r="D2027" s="204">
        <v>1</v>
      </c>
      <c r="E2027" s="204" t="s">
        <v>235</v>
      </c>
      <c r="F2027" s="205">
        <v>0.39629301811412176</v>
      </c>
    </row>
    <row r="2028" spans="1:6">
      <c r="A2028" s="210">
        <v>222319201</v>
      </c>
      <c r="B2028" s="202" t="s">
        <v>1207</v>
      </c>
      <c r="C2028" s="203" t="s">
        <v>2143</v>
      </c>
      <c r="D2028" s="204">
        <v>1</v>
      </c>
      <c r="E2028" s="204" t="s">
        <v>235</v>
      </c>
      <c r="F2028" s="205">
        <v>0.47707488679751475</v>
      </c>
    </row>
    <row r="2029" spans="1:6">
      <c r="A2029" s="210">
        <v>222321000</v>
      </c>
      <c r="B2029" s="202" t="s">
        <v>1208</v>
      </c>
      <c r="C2029" s="203" t="s">
        <v>2143</v>
      </c>
      <c r="D2029" s="204">
        <v>1</v>
      </c>
      <c r="E2029" s="204" t="s">
        <v>425</v>
      </c>
      <c r="F2029" s="205">
        <v>27.884249648678189</v>
      </c>
    </row>
    <row r="2030" spans="1:6">
      <c r="A2030" s="210">
        <v>222322000</v>
      </c>
      <c r="B2030" s="202" t="s">
        <v>1209</v>
      </c>
      <c r="C2030" s="203" t="s">
        <v>2143</v>
      </c>
      <c r="D2030" s="204">
        <v>1</v>
      </c>
      <c r="E2030" s="204" t="s">
        <v>2013</v>
      </c>
      <c r="F2030" s="205">
        <v>8.2103617251950839E-3</v>
      </c>
    </row>
    <row r="2031" spans="1:6">
      <c r="A2031" s="210">
        <v>222900000</v>
      </c>
      <c r="B2031" s="202" t="s">
        <v>6064</v>
      </c>
      <c r="C2031" s="203" t="s">
        <v>2143</v>
      </c>
      <c r="D2031" s="204">
        <v>1</v>
      </c>
      <c r="E2031" s="204" t="s">
        <v>2013</v>
      </c>
      <c r="F2031" s="205">
        <v>1.2693752066293369E-2</v>
      </c>
    </row>
    <row r="2032" spans="1:6">
      <c r="A2032" s="210">
        <v>222921000</v>
      </c>
      <c r="B2032" s="202" t="s">
        <v>1210</v>
      </c>
      <c r="C2032" s="203" t="s">
        <v>2143</v>
      </c>
      <c r="D2032" s="204">
        <v>1</v>
      </c>
      <c r="E2032" s="204" t="s">
        <v>425</v>
      </c>
      <c r="F2032" s="205">
        <v>20.478450708700194</v>
      </c>
    </row>
    <row r="2033" spans="1:6">
      <c r="A2033" s="210">
        <v>222921200</v>
      </c>
      <c r="B2033" s="202" t="s">
        <v>1211</v>
      </c>
      <c r="C2033" s="203" t="s">
        <v>2143</v>
      </c>
      <c r="D2033" s="204">
        <v>1</v>
      </c>
      <c r="E2033" s="204" t="s">
        <v>425</v>
      </c>
      <c r="F2033" s="205">
        <v>16.844584948656582</v>
      </c>
    </row>
    <row r="2034" spans="1:6">
      <c r="A2034" s="210">
        <v>222921201</v>
      </c>
      <c r="B2034" s="202" t="s">
        <v>1212</v>
      </c>
      <c r="C2034" s="203" t="s">
        <v>2143</v>
      </c>
      <c r="D2034" s="204">
        <v>1</v>
      </c>
      <c r="E2034" s="204" t="s">
        <v>425</v>
      </c>
      <c r="F2034" s="205">
        <v>12.108583906274557</v>
      </c>
    </row>
    <row r="2035" spans="1:6">
      <c r="A2035" s="210">
        <v>222922000</v>
      </c>
      <c r="B2035" s="202" t="s">
        <v>4148</v>
      </c>
      <c r="C2035" s="203" t="s">
        <v>2143</v>
      </c>
      <c r="D2035" s="204">
        <v>1</v>
      </c>
      <c r="E2035" s="204" t="s">
        <v>2144</v>
      </c>
      <c r="F2035" s="205">
        <v>5.9059857475928608</v>
      </c>
    </row>
    <row r="2036" spans="1:6">
      <c r="A2036" s="210">
        <v>222923000</v>
      </c>
      <c r="B2036" s="202" t="s">
        <v>1213</v>
      </c>
      <c r="C2036" s="203" t="s">
        <v>2143</v>
      </c>
      <c r="D2036" s="204">
        <v>1</v>
      </c>
      <c r="E2036" s="204" t="s">
        <v>278</v>
      </c>
      <c r="F2036" s="205">
        <v>308.26690510734932</v>
      </c>
    </row>
    <row r="2037" spans="1:6">
      <c r="A2037" s="210">
        <v>222923200</v>
      </c>
      <c r="B2037" s="202" t="s">
        <v>1214</v>
      </c>
      <c r="C2037" s="203" t="s">
        <v>2143</v>
      </c>
      <c r="D2037" s="204">
        <v>1</v>
      </c>
      <c r="E2037" s="204" t="s">
        <v>278</v>
      </c>
      <c r="F2037" s="205">
        <v>409.3191399131166</v>
      </c>
    </row>
    <row r="2038" spans="1:6">
      <c r="A2038" s="210">
        <v>222929000</v>
      </c>
      <c r="B2038" s="202" t="s">
        <v>1215</v>
      </c>
      <c r="C2038" s="203" t="s">
        <v>2143</v>
      </c>
      <c r="D2038" s="204">
        <v>1</v>
      </c>
      <c r="E2038" s="204" t="s">
        <v>2013</v>
      </c>
      <c r="F2038" s="205">
        <v>1.6541306436557386E-2</v>
      </c>
    </row>
    <row r="2039" spans="1:6">
      <c r="A2039" s="210">
        <v>222929200</v>
      </c>
      <c r="B2039" s="202" t="s">
        <v>1216</v>
      </c>
      <c r="C2039" s="203" t="s">
        <v>2143</v>
      </c>
      <c r="D2039" s="204">
        <v>1</v>
      </c>
      <c r="E2039" s="204" t="s">
        <v>278</v>
      </c>
      <c r="F2039" s="205">
        <v>527.24264271433424</v>
      </c>
    </row>
    <row r="2040" spans="1:6">
      <c r="A2040" s="210">
        <v>223100000</v>
      </c>
      <c r="B2040" s="202" t="s">
        <v>4153</v>
      </c>
      <c r="C2040" s="203" t="s">
        <v>2143</v>
      </c>
      <c r="D2040" s="204">
        <v>1</v>
      </c>
      <c r="E2040" s="204" t="s">
        <v>2144</v>
      </c>
      <c r="F2040" s="205">
        <v>1.0717235168652954</v>
      </c>
    </row>
    <row r="2041" spans="1:6">
      <c r="A2041" s="210">
        <v>223111000</v>
      </c>
      <c r="B2041" s="202" t="s">
        <v>1217</v>
      </c>
      <c r="C2041" s="203" t="s">
        <v>2143</v>
      </c>
      <c r="D2041" s="204">
        <v>1</v>
      </c>
      <c r="E2041" s="204" t="s">
        <v>2144</v>
      </c>
      <c r="F2041" s="205">
        <v>1.3724007932077567</v>
      </c>
    </row>
    <row r="2042" spans="1:6">
      <c r="A2042" s="210">
        <v>223112000</v>
      </c>
      <c r="B2042" s="202" t="s">
        <v>1218</v>
      </c>
      <c r="C2042" s="203" t="s">
        <v>2143</v>
      </c>
      <c r="D2042" s="204">
        <v>1</v>
      </c>
      <c r="E2042" s="204" t="s">
        <v>2144</v>
      </c>
      <c r="F2042" s="205">
        <v>1.0068037738050517</v>
      </c>
    </row>
    <row r="2043" spans="1:6">
      <c r="A2043" s="210">
        <v>223200000</v>
      </c>
      <c r="B2043" s="202" t="s">
        <v>4157</v>
      </c>
      <c r="C2043" s="203" t="s">
        <v>2143</v>
      </c>
      <c r="D2043" s="204">
        <v>1</v>
      </c>
      <c r="E2043" s="204" t="s">
        <v>2144</v>
      </c>
      <c r="F2043" s="205">
        <v>0.84942527020447822</v>
      </c>
    </row>
    <row r="2044" spans="1:6">
      <c r="A2044" s="210">
        <v>223211000</v>
      </c>
      <c r="B2044" s="202" t="s">
        <v>1219</v>
      </c>
      <c r="C2044" s="203" t="s">
        <v>2143</v>
      </c>
      <c r="D2044" s="204">
        <v>1</v>
      </c>
      <c r="E2044" s="204" t="s">
        <v>2144</v>
      </c>
      <c r="F2044" s="205">
        <v>0.84942527020447822</v>
      </c>
    </row>
    <row r="2045" spans="1:6">
      <c r="A2045" s="210">
        <v>223300000</v>
      </c>
      <c r="B2045" s="202" t="s">
        <v>4160</v>
      </c>
      <c r="C2045" s="203" t="s">
        <v>2143</v>
      </c>
      <c r="D2045" s="204">
        <v>1</v>
      </c>
      <c r="E2045" s="204" t="s">
        <v>2013</v>
      </c>
      <c r="F2045" s="205">
        <v>7.6935038088879436E-3</v>
      </c>
    </row>
    <row r="2046" spans="1:6">
      <c r="A2046" s="210">
        <v>223311000</v>
      </c>
      <c r="B2046" s="202" t="s">
        <v>4162</v>
      </c>
      <c r="C2046" s="203" t="s">
        <v>2143</v>
      </c>
      <c r="D2046" s="204">
        <v>1</v>
      </c>
      <c r="E2046" s="204" t="s">
        <v>2013</v>
      </c>
      <c r="F2046" s="205">
        <v>7.6935038088879436E-3</v>
      </c>
    </row>
    <row r="2047" spans="1:6">
      <c r="A2047" s="210">
        <v>223900000</v>
      </c>
      <c r="B2047" s="202" t="s">
        <v>6065</v>
      </c>
      <c r="C2047" s="203" t="s">
        <v>2143</v>
      </c>
      <c r="D2047" s="204">
        <v>1</v>
      </c>
      <c r="E2047" s="204" t="s">
        <v>2013</v>
      </c>
      <c r="F2047" s="205">
        <v>8.6003416829465145E-3</v>
      </c>
    </row>
    <row r="2048" spans="1:6">
      <c r="A2048" s="210">
        <v>223919000</v>
      </c>
      <c r="B2048" s="202" t="s">
        <v>1220</v>
      </c>
      <c r="C2048" s="203" t="s">
        <v>2143</v>
      </c>
      <c r="D2048" s="204">
        <v>1</v>
      </c>
      <c r="E2048" s="204" t="s">
        <v>2013</v>
      </c>
      <c r="F2048" s="205">
        <v>8.6003416829465145E-3</v>
      </c>
    </row>
    <row r="2049" spans="1:6">
      <c r="A2049" s="210">
        <v>224100000</v>
      </c>
      <c r="B2049" s="202" t="s">
        <v>6066</v>
      </c>
      <c r="C2049" s="203" t="s">
        <v>2143</v>
      </c>
      <c r="D2049" s="204">
        <v>1</v>
      </c>
      <c r="E2049" s="204" t="s">
        <v>2013</v>
      </c>
      <c r="F2049" s="205">
        <v>2.5566046742033083E-3</v>
      </c>
    </row>
    <row r="2050" spans="1:6">
      <c r="A2050" s="210">
        <v>224111000</v>
      </c>
      <c r="B2050" s="202" t="s">
        <v>1224</v>
      </c>
      <c r="C2050" s="203" t="s">
        <v>2143</v>
      </c>
      <c r="D2050" s="204">
        <v>1</v>
      </c>
      <c r="E2050" s="204" t="s">
        <v>2013</v>
      </c>
      <c r="F2050" s="205">
        <v>2.5566046742033083E-3</v>
      </c>
    </row>
    <row r="2051" spans="1:6">
      <c r="A2051" s="210">
        <v>224200000</v>
      </c>
      <c r="B2051" s="202" t="s">
        <v>4164</v>
      </c>
      <c r="C2051" s="203" t="s">
        <v>2143</v>
      </c>
      <c r="D2051" s="204">
        <v>1</v>
      </c>
      <c r="E2051" s="204" t="s">
        <v>235</v>
      </c>
      <c r="F2051" s="205">
        <v>5.2297668807041786</v>
      </c>
    </row>
    <row r="2052" spans="1:6">
      <c r="A2052" s="210">
        <v>224211000</v>
      </c>
      <c r="B2052" s="202" t="s">
        <v>1225</v>
      </c>
      <c r="C2052" s="203" t="s">
        <v>2143</v>
      </c>
      <c r="D2052" s="204">
        <v>1</v>
      </c>
      <c r="E2052" s="204" t="s">
        <v>235</v>
      </c>
      <c r="F2052" s="205">
        <v>4.8033068261855867</v>
      </c>
    </row>
    <row r="2053" spans="1:6">
      <c r="A2053" s="210">
        <v>224212000</v>
      </c>
      <c r="B2053" s="202" t="s">
        <v>1226</v>
      </c>
      <c r="C2053" s="203" t="s">
        <v>2143</v>
      </c>
      <c r="D2053" s="204">
        <v>1</v>
      </c>
      <c r="E2053" s="204" t="s">
        <v>235</v>
      </c>
      <c r="F2053" s="205">
        <v>6.7624819585156235</v>
      </c>
    </row>
    <row r="2054" spans="1:6">
      <c r="A2054" s="210">
        <v>224213000</v>
      </c>
      <c r="B2054" s="202" t="s">
        <v>1227</v>
      </c>
      <c r="C2054" s="203" t="s">
        <v>2143</v>
      </c>
      <c r="D2054" s="204">
        <v>1</v>
      </c>
      <c r="E2054" s="204" t="s">
        <v>235</v>
      </c>
      <c r="F2054" s="205">
        <v>2.601017125477747</v>
      </c>
    </row>
    <row r="2055" spans="1:6">
      <c r="A2055" s="210">
        <v>224300000</v>
      </c>
      <c r="B2055" s="202" t="s">
        <v>4169</v>
      </c>
      <c r="C2055" s="203" t="s">
        <v>2143</v>
      </c>
      <c r="D2055" s="204">
        <v>1</v>
      </c>
      <c r="E2055" s="204" t="s">
        <v>235</v>
      </c>
      <c r="F2055" s="205">
        <v>4.3897840192159405</v>
      </c>
    </row>
    <row r="2056" spans="1:6">
      <c r="A2056" s="210">
        <v>224311000</v>
      </c>
      <c r="B2056" s="202" t="s">
        <v>1228</v>
      </c>
      <c r="C2056" s="203" t="s">
        <v>2143</v>
      </c>
      <c r="D2056" s="204">
        <v>1</v>
      </c>
      <c r="E2056" s="204" t="s">
        <v>235</v>
      </c>
      <c r="F2056" s="205">
        <v>4.3897840192159405</v>
      </c>
    </row>
    <row r="2057" spans="1:6">
      <c r="A2057" s="210">
        <v>224400000</v>
      </c>
      <c r="B2057" s="202" t="s">
        <v>4172</v>
      </c>
      <c r="C2057" s="203" t="s">
        <v>2143</v>
      </c>
      <c r="D2057" s="204">
        <v>1</v>
      </c>
      <c r="E2057" s="204" t="s">
        <v>2013</v>
      </c>
      <c r="F2057" s="205">
        <v>1.1643606902578181E-2</v>
      </c>
    </row>
    <row r="2058" spans="1:6">
      <c r="A2058" s="210">
        <v>224411000</v>
      </c>
      <c r="B2058" s="202" t="s">
        <v>1229</v>
      </c>
      <c r="C2058" s="203" t="s">
        <v>2143</v>
      </c>
      <c r="D2058" s="204">
        <v>1</v>
      </c>
      <c r="E2058" s="204" t="s">
        <v>235</v>
      </c>
      <c r="F2058" s="205">
        <v>1.878364688688529</v>
      </c>
    </row>
    <row r="2059" spans="1:6">
      <c r="A2059" s="210">
        <v>224412000</v>
      </c>
      <c r="B2059" s="202" t="s">
        <v>1230</v>
      </c>
      <c r="C2059" s="203" t="s">
        <v>2143</v>
      </c>
      <c r="D2059" s="204">
        <v>1</v>
      </c>
      <c r="E2059" s="204" t="s">
        <v>2013</v>
      </c>
      <c r="F2059" s="205">
        <v>2.6874013340165916E-3</v>
      </c>
    </row>
    <row r="2060" spans="1:6">
      <c r="A2060" s="210">
        <v>224413000</v>
      </c>
      <c r="B2060" s="202" t="s">
        <v>4176</v>
      </c>
      <c r="C2060" s="203" t="s">
        <v>2143</v>
      </c>
      <c r="D2060" s="204">
        <v>1</v>
      </c>
      <c r="E2060" s="204" t="s">
        <v>2144</v>
      </c>
      <c r="F2060" s="205">
        <v>0.25942545139086148</v>
      </c>
    </row>
    <row r="2061" spans="1:6">
      <c r="A2061" s="210">
        <v>224419000</v>
      </c>
      <c r="B2061" s="202" t="s">
        <v>1231</v>
      </c>
      <c r="C2061" s="203" t="s">
        <v>2143</v>
      </c>
      <c r="D2061" s="204">
        <v>1</v>
      </c>
      <c r="E2061" s="204" t="s">
        <v>2013</v>
      </c>
      <c r="F2061" s="205">
        <v>2.6497198741645372E-3</v>
      </c>
    </row>
    <row r="2062" spans="1:6">
      <c r="A2062" s="210">
        <v>224419200</v>
      </c>
      <c r="B2062" s="202" t="s">
        <v>1221</v>
      </c>
      <c r="C2062" s="203" t="s">
        <v>2143</v>
      </c>
      <c r="D2062" s="204">
        <v>1</v>
      </c>
      <c r="E2062" s="204" t="s">
        <v>235</v>
      </c>
      <c r="F2062" s="205">
        <v>25.130772144361067</v>
      </c>
    </row>
    <row r="2063" spans="1:6">
      <c r="A2063" s="210">
        <v>224419201</v>
      </c>
      <c r="B2063" s="202" t="s">
        <v>1222</v>
      </c>
      <c r="C2063" s="203" t="s">
        <v>2143</v>
      </c>
      <c r="D2063" s="204">
        <v>1</v>
      </c>
      <c r="E2063" s="204" t="s">
        <v>235</v>
      </c>
      <c r="F2063" s="205">
        <v>23.813174403300295</v>
      </c>
    </row>
    <row r="2064" spans="1:6">
      <c r="A2064" s="210">
        <v>224419202</v>
      </c>
      <c r="B2064" s="202" t="s">
        <v>1223</v>
      </c>
      <c r="C2064" s="203" t="s">
        <v>2143</v>
      </c>
      <c r="D2064" s="204">
        <v>1</v>
      </c>
      <c r="E2064" s="204" t="s">
        <v>235</v>
      </c>
      <c r="F2064" s="205">
        <v>54.775117815678193</v>
      </c>
    </row>
    <row r="2065" spans="1:6">
      <c r="A2065" s="210">
        <v>224500000</v>
      </c>
      <c r="B2065" s="202" t="s">
        <v>6067</v>
      </c>
      <c r="C2065" s="203" t="s">
        <v>2143</v>
      </c>
      <c r="D2065" s="204">
        <v>1</v>
      </c>
      <c r="E2065" s="204" t="s">
        <v>2013</v>
      </c>
      <c r="F2065" s="205">
        <v>4.8854111086807902E-3</v>
      </c>
    </row>
    <row r="2066" spans="1:6">
      <c r="A2066" s="210">
        <v>224511000</v>
      </c>
      <c r="B2066" s="202" t="s">
        <v>1232</v>
      </c>
      <c r="C2066" s="203" t="s">
        <v>2143</v>
      </c>
      <c r="D2066" s="204">
        <v>1</v>
      </c>
      <c r="E2066" s="204" t="s">
        <v>2013</v>
      </c>
      <c r="F2066" s="205">
        <v>3.998740060781188E-3</v>
      </c>
    </row>
    <row r="2067" spans="1:6">
      <c r="A2067" s="210">
        <v>224512000</v>
      </c>
      <c r="B2067" s="202" t="s">
        <v>6068</v>
      </c>
      <c r="C2067" s="203" t="s">
        <v>2143</v>
      </c>
      <c r="D2067" s="204">
        <v>1</v>
      </c>
      <c r="E2067" s="204" t="s">
        <v>2013</v>
      </c>
      <c r="F2067" s="205">
        <v>6.0362098406914842E-3</v>
      </c>
    </row>
    <row r="2068" spans="1:6">
      <c r="A2068" s="210">
        <v>224512200</v>
      </c>
      <c r="B2068" s="202" t="s">
        <v>1233</v>
      </c>
      <c r="C2068" s="203" t="s">
        <v>2143</v>
      </c>
      <c r="D2068" s="204">
        <v>1</v>
      </c>
      <c r="E2068" s="204" t="s">
        <v>235</v>
      </c>
      <c r="F2068" s="205">
        <v>1.1231934197265891</v>
      </c>
    </row>
    <row r="2069" spans="1:6">
      <c r="A2069" s="210">
        <v>224600000</v>
      </c>
      <c r="B2069" s="202" t="s">
        <v>4179</v>
      </c>
      <c r="C2069" s="203" t="s">
        <v>2143</v>
      </c>
      <c r="D2069" s="204">
        <v>1</v>
      </c>
      <c r="E2069" s="204" t="s">
        <v>425</v>
      </c>
      <c r="F2069" s="205">
        <v>20.87894836814467</v>
      </c>
    </row>
    <row r="2070" spans="1:6">
      <c r="A2070" s="210">
        <v>224611000</v>
      </c>
      <c r="B2070" s="202" t="s">
        <v>1234</v>
      </c>
      <c r="C2070" s="203" t="s">
        <v>2143</v>
      </c>
      <c r="D2070" s="204">
        <v>1</v>
      </c>
      <c r="E2070" s="204" t="s">
        <v>425</v>
      </c>
      <c r="F2070" s="205">
        <v>8.2347250297821031</v>
      </c>
    </row>
    <row r="2071" spans="1:6">
      <c r="A2071" s="210">
        <v>224612000</v>
      </c>
      <c r="B2071" s="202" t="s">
        <v>1235</v>
      </c>
      <c r="C2071" s="203" t="s">
        <v>2143</v>
      </c>
      <c r="D2071" s="204">
        <v>1</v>
      </c>
      <c r="E2071" s="204" t="s">
        <v>425</v>
      </c>
      <c r="F2071" s="205">
        <v>19.927483100219341</v>
      </c>
    </row>
    <row r="2072" spans="1:6">
      <c r="A2072" s="210">
        <v>224619000</v>
      </c>
      <c r="B2072" s="202" t="s">
        <v>1236</v>
      </c>
      <c r="C2072" s="203" t="s">
        <v>2143</v>
      </c>
      <c r="D2072" s="204">
        <v>1</v>
      </c>
      <c r="E2072" s="204" t="s">
        <v>425</v>
      </c>
      <c r="F2072" s="205">
        <v>34.382172314890958</v>
      </c>
    </row>
    <row r="2073" spans="1:6">
      <c r="A2073" s="210">
        <v>224800000</v>
      </c>
      <c r="B2073" s="202" t="s">
        <v>4184</v>
      </c>
      <c r="C2073" s="203" t="s">
        <v>2143</v>
      </c>
      <c r="D2073" s="204">
        <v>1</v>
      </c>
      <c r="E2073" s="204" t="s">
        <v>2013</v>
      </c>
      <c r="F2073" s="205">
        <v>1.703457854566404E-2</v>
      </c>
    </row>
    <row r="2074" spans="1:6">
      <c r="A2074" s="210">
        <v>224811000</v>
      </c>
      <c r="B2074" s="202" t="s">
        <v>4186</v>
      </c>
      <c r="C2074" s="203" t="s">
        <v>2143</v>
      </c>
      <c r="D2074" s="204">
        <v>1</v>
      </c>
      <c r="E2074" s="204" t="s">
        <v>2013</v>
      </c>
      <c r="F2074" s="205">
        <v>1.703457854566404E-2</v>
      </c>
    </row>
    <row r="2075" spans="1:6">
      <c r="A2075" s="210">
        <v>224900000</v>
      </c>
      <c r="B2075" s="202" t="s">
        <v>6069</v>
      </c>
      <c r="C2075" s="203" t="s">
        <v>2143</v>
      </c>
      <c r="D2075" s="204">
        <v>1</v>
      </c>
      <c r="E2075" s="204" t="s">
        <v>2013</v>
      </c>
      <c r="F2075" s="205">
        <v>5.3080160073251982E-3</v>
      </c>
    </row>
    <row r="2076" spans="1:6">
      <c r="A2076" s="210">
        <v>224919000</v>
      </c>
      <c r="B2076" s="202" t="s">
        <v>1237</v>
      </c>
      <c r="C2076" s="203" t="s">
        <v>2143</v>
      </c>
      <c r="D2076" s="204">
        <v>1</v>
      </c>
      <c r="E2076" s="204" t="s">
        <v>2013</v>
      </c>
      <c r="F2076" s="205">
        <v>5.3080160073251982E-3</v>
      </c>
    </row>
    <row r="2077" spans="1:6">
      <c r="A2077" s="210">
        <v>225100000</v>
      </c>
      <c r="B2077" s="202" t="s">
        <v>4188</v>
      </c>
      <c r="C2077" s="203" t="s">
        <v>2143</v>
      </c>
      <c r="D2077" s="204">
        <v>1</v>
      </c>
      <c r="E2077" s="204" t="s">
        <v>235</v>
      </c>
      <c r="F2077" s="205">
        <v>1.9854284951873753</v>
      </c>
    </row>
    <row r="2078" spans="1:6">
      <c r="A2078" s="210">
        <v>225111000</v>
      </c>
      <c r="B2078" s="202" t="s">
        <v>1238</v>
      </c>
      <c r="C2078" s="203" t="s">
        <v>2143</v>
      </c>
      <c r="D2078" s="204">
        <v>1</v>
      </c>
      <c r="E2078" s="204" t="s">
        <v>235</v>
      </c>
      <c r="F2078" s="205">
        <v>0.63521489742224246</v>
      </c>
    </row>
    <row r="2079" spans="1:6">
      <c r="A2079" s="210">
        <v>225119000</v>
      </c>
      <c r="B2079" s="202" t="s">
        <v>1239</v>
      </c>
      <c r="C2079" s="203" t="s">
        <v>2143</v>
      </c>
      <c r="D2079" s="204">
        <v>1</v>
      </c>
      <c r="E2079" s="204" t="s">
        <v>235</v>
      </c>
      <c r="F2079" s="205">
        <v>2.683783251763233</v>
      </c>
    </row>
    <row r="2080" spans="1:6">
      <c r="A2080" s="210">
        <v>225119200</v>
      </c>
      <c r="B2080" s="202" t="s">
        <v>1240</v>
      </c>
      <c r="C2080" s="203" t="s">
        <v>2143</v>
      </c>
      <c r="D2080" s="204">
        <v>1</v>
      </c>
      <c r="E2080" s="204" t="s">
        <v>235</v>
      </c>
      <c r="F2080" s="205">
        <v>1.6757988046635353</v>
      </c>
    </row>
    <row r="2081" spans="1:6">
      <c r="A2081" s="210">
        <v>225200000</v>
      </c>
      <c r="B2081" s="202" t="s">
        <v>4192</v>
      </c>
      <c r="C2081" s="203" t="s">
        <v>2143</v>
      </c>
      <c r="D2081" s="204">
        <v>1</v>
      </c>
      <c r="E2081" s="204" t="s">
        <v>235</v>
      </c>
      <c r="F2081" s="205">
        <v>1.7368937933989168</v>
      </c>
    </row>
    <row r="2082" spans="1:6">
      <c r="A2082" s="210">
        <v>225211000</v>
      </c>
      <c r="B2082" s="202" t="s">
        <v>1241</v>
      </c>
      <c r="C2082" s="203" t="s">
        <v>2143</v>
      </c>
      <c r="D2082" s="204">
        <v>1</v>
      </c>
      <c r="E2082" s="204" t="s">
        <v>235</v>
      </c>
      <c r="F2082" s="205">
        <v>3.1229250875048864</v>
      </c>
    </row>
    <row r="2083" spans="1:6">
      <c r="A2083" s="210">
        <v>225212000</v>
      </c>
      <c r="B2083" s="202" t="s">
        <v>1242</v>
      </c>
      <c r="C2083" s="203" t="s">
        <v>2143</v>
      </c>
      <c r="D2083" s="204">
        <v>1</v>
      </c>
      <c r="E2083" s="204" t="s">
        <v>235</v>
      </c>
      <c r="F2083" s="205">
        <v>1.7693708274500313</v>
      </c>
    </row>
    <row r="2084" spans="1:6">
      <c r="A2084" s="210">
        <v>225219000</v>
      </c>
      <c r="B2084" s="202" t="s">
        <v>1243</v>
      </c>
      <c r="C2084" s="203" t="s">
        <v>2143</v>
      </c>
      <c r="D2084" s="204">
        <v>1</v>
      </c>
      <c r="E2084" s="204" t="s">
        <v>235</v>
      </c>
      <c r="F2084" s="205">
        <v>1.6456301871292185</v>
      </c>
    </row>
    <row r="2085" spans="1:6">
      <c r="A2085" s="210">
        <v>225900000</v>
      </c>
      <c r="B2085" s="202" t="s">
        <v>4197</v>
      </c>
      <c r="C2085" s="203" t="s">
        <v>2143</v>
      </c>
      <c r="D2085" s="204">
        <v>1</v>
      </c>
      <c r="E2085" s="204" t="s">
        <v>2013</v>
      </c>
      <c r="F2085" s="205">
        <v>3.6126984453805557E-2</v>
      </c>
    </row>
    <row r="2086" spans="1:6">
      <c r="A2086" s="210">
        <v>225911000</v>
      </c>
      <c r="B2086" s="202" t="s">
        <v>1244</v>
      </c>
      <c r="C2086" s="203" t="s">
        <v>2143</v>
      </c>
      <c r="D2086" s="204">
        <v>1</v>
      </c>
      <c r="E2086" s="204" t="s">
        <v>235</v>
      </c>
      <c r="F2086" s="205">
        <v>5.2952739652573895</v>
      </c>
    </row>
    <row r="2087" spans="1:6">
      <c r="A2087" s="210">
        <v>225911200</v>
      </c>
      <c r="B2087" s="202" t="s">
        <v>4200</v>
      </c>
      <c r="C2087" s="203" t="s">
        <v>2143</v>
      </c>
      <c r="D2087" s="204">
        <v>1</v>
      </c>
      <c r="E2087" s="204" t="s">
        <v>235</v>
      </c>
      <c r="F2087" s="205">
        <v>2.8643803418539515</v>
      </c>
    </row>
    <row r="2088" spans="1:6">
      <c r="A2088" s="210">
        <v>225911201</v>
      </c>
      <c r="B2088" s="202" t="s">
        <v>6070</v>
      </c>
      <c r="C2088" s="203" t="s">
        <v>2143</v>
      </c>
      <c r="D2088" s="204">
        <v>1</v>
      </c>
      <c r="E2088" s="204" t="s">
        <v>235</v>
      </c>
      <c r="F2088" s="205">
        <v>2.2702493480295787</v>
      </c>
    </row>
    <row r="2089" spans="1:6">
      <c r="A2089" s="210">
        <v>225919000</v>
      </c>
      <c r="B2089" s="202" t="s">
        <v>1245</v>
      </c>
      <c r="C2089" s="203" t="s">
        <v>2143</v>
      </c>
      <c r="D2089" s="204">
        <v>1</v>
      </c>
      <c r="E2089" s="204" t="s">
        <v>2013</v>
      </c>
      <c r="F2089" s="205">
        <v>1.0470122836372253E-2</v>
      </c>
    </row>
    <row r="2090" spans="1:6">
      <c r="A2090" s="210">
        <v>226100000</v>
      </c>
      <c r="B2090" s="202" t="s">
        <v>4203</v>
      </c>
      <c r="C2090" s="203" t="s">
        <v>2143</v>
      </c>
      <c r="D2090" s="204">
        <v>1</v>
      </c>
      <c r="E2090" s="204" t="s">
        <v>235</v>
      </c>
      <c r="F2090" s="205">
        <v>5.9730760969530508</v>
      </c>
    </row>
    <row r="2091" spans="1:6">
      <c r="A2091" s="210">
        <v>226111000</v>
      </c>
      <c r="B2091" s="202" t="s">
        <v>1246</v>
      </c>
      <c r="C2091" s="203" t="s">
        <v>2143</v>
      </c>
      <c r="D2091" s="204">
        <v>1</v>
      </c>
      <c r="E2091" s="204" t="s">
        <v>235</v>
      </c>
      <c r="F2091" s="205">
        <v>6.1835869346474173</v>
      </c>
    </row>
    <row r="2092" spans="1:6">
      <c r="A2092" s="210">
        <v>226119000</v>
      </c>
      <c r="B2092" s="202" t="s">
        <v>1247</v>
      </c>
      <c r="C2092" s="203" t="s">
        <v>2143</v>
      </c>
      <c r="D2092" s="204">
        <v>1</v>
      </c>
      <c r="E2092" s="204" t="s">
        <v>235</v>
      </c>
      <c r="F2092" s="205">
        <v>5.4390775019897015</v>
      </c>
    </row>
    <row r="2093" spans="1:6">
      <c r="A2093" s="210">
        <v>226119100</v>
      </c>
      <c r="B2093" s="202" t="s">
        <v>1248</v>
      </c>
      <c r="C2093" s="203" t="s">
        <v>2143</v>
      </c>
      <c r="D2093" s="204">
        <v>1</v>
      </c>
      <c r="E2093" s="204" t="s">
        <v>235</v>
      </c>
      <c r="F2093" s="205">
        <v>7.5804230592664998</v>
      </c>
    </row>
    <row r="2094" spans="1:6">
      <c r="A2094" s="210">
        <v>226200000</v>
      </c>
      <c r="B2094" s="202" t="s">
        <v>4207</v>
      </c>
      <c r="C2094" s="203" t="s">
        <v>2143</v>
      </c>
      <c r="D2094" s="204">
        <v>1</v>
      </c>
      <c r="E2094" s="204" t="s">
        <v>235</v>
      </c>
      <c r="F2094" s="205">
        <v>41.023906834587919</v>
      </c>
    </row>
    <row r="2095" spans="1:6">
      <c r="A2095" s="210">
        <v>226211000</v>
      </c>
      <c r="B2095" s="202" t="s">
        <v>1249</v>
      </c>
      <c r="C2095" s="203" t="s">
        <v>2143</v>
      </c>
      <c r="D2095" s="204">
        <v>1</v>
      </c>
      <c r="E2095" s="204" t="s">
        <v>235</v>
      </c>
      <c r="F2095" s="205">
        <v>41.023906834587919</v>
      </c>
    </row>
    <row r="2096" spans="1:6">
      <c r="A2096" s="210">
        <v>226211100</v>
      </c>
      <c r="B2096" s="202" t="s">
        <v>6071</v>
      </c>
      <c r="C2096" s="203" t="s">
        <v>2143</v>
      </c>
      <c r="D2096" s="204">
        <v>1</v>
      </c>
      <c r="E2096" s="204" t="s">
        <v>235</v>
      </c>
      <c r="F2096" s="205">
        <v>24.102772469030359</v>
      </c>
    </row>
    <row r="2097" spans="1:6">
      <c r="A2097" s="210">
        <v>226211101</v>
      </c>
      <c r="B2097" s="202" t="s">
        <v>6072</v>
      </c>
      <c r="C2097" s="203" t="s">
        <v>2143</v>
      </c>
      <c r="D2097" s="204">
        <v>1</v>
      </c>
      <c r="E2097" s="204" t="s">
        <v>235</v>
      </c>
      <c r="F2097" s="205">
        <v>6.3966810198377626</v>
      </c>
    </row>
    <row r="2098" spans="1:6">
      <c r="A2098" s="210">
        <v>226900000</v>
      </c>
      <c r="B2098" s="202" t="s">
        <v>4210</v>
      </c>
      <c r="C2098" s="203" t="s">
        <v>2143</v>
      </c>
      <c r="D2098" s="204">
        <v>1</v>
      </c>
      <c r="E2098" s="204" t="s">
        <v>2013</v>
      </c>
      <c r="F2098" s="205">
        <v>7.6464165295132037E-3</v>
      </c>
    </row>
    <row r="2099" spans="1:6">
      <c r="A2099" s="210">
        <v>226911000</v>
      </c>
      <c r="B2099" s="202" t="s">
        <v>1251</v>
      </c>
      <c r="C2099" s="203" t="s">
        <v>2143</v>
      </c>
      <c r="D2099" s="204">
        <v>1</v>
      </c>
      <c r="E2099" s="204" t="s">
        <v>235</v>
      </c>
      <c r="F2099" s="205">
        <v>1.9682006214561514</v>
      </c>
    </row>
    <row r="2100" spans="1:6">
      <c r="A2100" s="210">
        <v>226912000</v>
      </c>
      <c r="B2100" s="202" t="s">
        <v>1252</v>
      </c>
      <c r="C2100" s="203" t="s">
        <v>2143</v>
      </c>
      <c r="D2100" s="204">
        <v>1</v>
      </c>
      <c r="E2100" s="204" t="s">
        <v>235</v>
      </c>
      <c r="F2100" s="205">
        <v>13.327033772340492</v>
      </c>
    </row>
    <row r="2101" spans="1:6">
      <c r="A2101" s="210">
        <v>226913000</v>
      </c>
      <c r="B2101" s="202" t="s">
        <v>1253</v>
      </c>
      <c r="C2101" s="203" t="s">
        <v>2143</v>
      </c>
      <c r="D2101" s="204">
        <v>1</v>
      </c>
      <c r="E2101" s="204" t="s">
        <v>235</v>
      </c>
      <c r="F2101" s="205">
        <v>7.3355702462668786</v>
      </c>
    </row>
    <row r="2102" spans="1:6">
      <c r="A2102" s="210">
        <v>226919000</v>
      </c>
      <c r="B2102" s="202" t="s">
        <v>1254</v>
      </c>
      <c r="C2102" s="203" t="s">
        <v>2143</v>
      </c>
      <c r="D2102" s="204">
        <v>1</v>
      </c>
      <c r="E2102" s="204" t="s">
        <v>2013</v>
      </c>
      <c r="F2102" s="205">
        <v>8.6085059991283033E-3</v>
      </c>
    </row>
    <row r="2103" spans="1:6">
      <c r="A2103" s="210">
        <v>227100000</v>
      </c>
      <c r="B2103" s="202" t="s">
        <v>6073</v>
      </c>
      <c r="C2103" s="203" t="s">
        <v>2143</v>
      </c>
      <c r="D2103" s="204">
        <v>1</v>
      </c>
      <c r="E2103" s="204" t="s">
        <v>2013</v>
      </c>
      <c r="F2103" s="205">
        <v>9.7315474746312476E-3</v>
      </c>
    </row>
    <row r="2104" spans="1:6">
      <c r="A2104" s="210">
        <v>227111000</v>
      </c>
      <c r="B2104" s="202" t="s">
        <v>1255</v>
      </c>
      <c r="C2104" s="203" t="s">
        <v>2143</v>
      </c>
      <c r="D2104" s="204">
        <v>1</v>
      </c>
      <c r="E2104" s="204" t="s">
        <v>2013</v>
      </c>
      <c r="F2104" s="205">
        <v>9.7315474746312476E-3</v>
      </c>
    </row>
    <row r="2105" spans="1:6">
      <c r="A2105" s="210">
        <v>227111200</v>
      </c>
      <c r="B2105" s="202" t="s">
        <v>1256</v>
      </c>
      <c r="C2105" s="203" t="s">
        <v>2143</v>
      </c>
      <c r="D2105" s="204">
        <v>1</v>
      </c>
      <c r="E2105" s="204" t="s">
        <v>235</v>
      </c>
      <c r="F2105" s="205">
        <v>22.139129619367985</v>
      </c>
    </row>
    <row r="2106" spans="1:6">
      <c r="A2106" s="210">
        <v>227111201</v>
      </c>
      <c r="B2106" s="202" t="s">
        <v>1257</v>
      </c>
      <c r="C2106" s="203" t="s">
        <v>2143</v>
      </c>
      <c r="D2106" s="204">
        <v>1</v>
      </c>
      <c r="E2106" s="204" t="s">
        <v>235</v>
      </c>
      <c r="F2106" s="205">
        <v>34.419975249057032</v>
      </c>
    </row>
    <row r="2107" spans="1:6">
      <c r="A2107" s="210">
        <v>227111202</v>
      </c>
      <c r="B2107" s="202" t="s">
        <v>1258</v>
      </c>
      <c r="C2107" s="203" t="s">
        <v>2143</v>
      </c>
      <c r="D2107" s="204">
        <v>1</v>
      </c>
      <c r="E2107" s="204" t="s">
        <v>235</v>
      </c>
      <c r="F2107" s="205">
        <v>4.0595343952931593</v>
      </c>
    </row>
    <row r="2108" spans="1:6">
      <c r="A2108" s="210">
        <v>227200000</v>
      </c>
      <c r="B2108" s="202" t="s">
        <v>4217</v>
      </c>
      <c r="C2108" s="203" t="s">
        <v>2143</v>
      </c>
      <c r="D2108" s="204">
        <v>1</v>
      </c>
      <c r="E2108" s="204" t="s">
        <v>2013</v>
      </c>
      <c r="F2108" s="205">
        <v>4.4062079265893405E-3</v>
      </c>
    </row>
    <row r="2109" spans="1:6">
      <c r="A2109" s="210">
        <v>227211000</v>
      </c>
      <c r="B2109" s="202" t="s">
        <v>4219</v>
      </c>
      <c r="C2109" s="203" t="s">
        <v>2143</v>
      </c>
      <c r="D2109" s="204">
        <v>1</v>
      </c>
      <c r="E2109" s="204" t="s">
        <v>235</v>
      </c>
      <c r="F2109" s="205">
        <v>5.6791657882585325</v>
      </c>
    </row>
    <row r="2110" spans="1:6">
      <c r="A2110" s="210">
        <v>227212000</v>
      </c>
      <c r="B2110" s="202" t="s">
        <v>1259</v>
      </c>
      <c r="C2110" s="203" t="s">
        <v>2143</v>
      </c>
      <c r="D2110" s="204">
        <v>1</v>
      </c>
      <c r="E2110" s="204" t="s">
        <v>235</v>
      </c>
      <c r="F2110" s="205">
        <v>5.2738285398941374</v>
      </c>
    </row>
    <row r="2111" spans="1:6">
      <c r="A2111" s="210">
        <v>227219000</v>
      </c>
      <c r="B2111" s="202" t="s">
        <v>1260</v>
      </c>
      <c r="C2111" s="203" t="s">
        <v>2143</v>
      </c>
      <c r="D2111" s="204">
        <v>1</v>
      </c>
      <c r="E2111" s="204" t="s">
        <v>2013</v>
      </c>
      <c r="F2111" s="205">
        <v>2.4274816001502138E-3</v>
      </c>
    </row>
    <row r="2112" spans="1:6">
      <c r="A2112" s="210">
        <v>227300000</v>
      </c>
      <c r="B2112" s="202" t="s">
        <v>4223</v>
      </c>
      <c r="C2112" s="203" t="s">
        <v>2143</v>
      </c>
      <c r="D2112" s="204">
        <v>1</v>
      </c>
      <c r="E2112" s="204" t="s">
        <v>2144</v>
      </c>
      <c r="F2112" s="205">
        <v>180.53219262925398</v>
      </c>
    </row>
    <row r="2113" spans="1:6">
      <c r="A2113" s="210">
        <v>227311000</v>
      </c>
      <c r="B2113" s="202" t="s">
        <v>1261</v>
      </c>
      <c r="C2113" s="203" t="s">
        <v>2143</v>
      </c>
      <c r="D2113" s="204">
        <v>1</v>
      </c>
      <c r="E2113" s="204" t="s">
        <v>2144</v>
      </c>
      <c r="F2113" s="205">
        <v>180.53219262925398</v>
      </c>
    </row>
    <row r="2114" spans="1:6">
      <c r="A2114" s="210">
        <v>227900000</v>
      </c>
      <c r="B2114" s="202" t="s">
        <v>6074</v>
      </c>
      <c r="C2114" s="203" t="s">
        <v>2143</v>
      </c>
      <c r="D2114" s="204">
        <v>1</v>
      </c>
      <c r="E2114" s="204" t="s">
        <v>2013</v>
      </c>
      <c r="F2114" s="205">
        <v>7.742983974550535E-3</v>
      </c>
    </row>
    <row r="2115" spans="1:6">
      <c r="A2115" s="210">
        <v>227919000</v>
      </c>
      <c r="B2115" s="202" t="s">
        <v>1263</v>
      </c>
      <c r="C2115" s="203" t="s">
        <v>2143</v>
      </c>
      <c r="D2115" s="204">
        <v>1</v>
      </c>
      <c r="E2115" s="204" t="s">
        <v>2013</v>
      </c>
      <c r="F2115" s="205">
        <v>7.742983974550535E-3</v>
      </c>
    </row>
    <row r="2116" spans="1:6">
      <c r="A2116" s="210">
        <v>228100000</v>
      </c>
      <c r="B2116" s="202" t="s">
        <v>4226</v>
      </c>
      <c r="C2116" s="203" t="s">
        <v>2143</v>
      </c>
      <c r="D2116" s="204">
        <v>1</v>
      </c>
      <c r="E2116" s="204" t="s">
        <v>2013</v>
      </c>
      <c r="F2116" s="205">
        <v>9.4556754594649628E-3</v>
      </c>
    </row>
    <row r="2117" spans="1:6">
      <c r="A2117" s="210">
        <v>228111000</v>
      </c>
      <c r="B2117" s="202" t="s">
        <v>1264</v>
      </c>
      <c r="C2117" s="203" t="s">
        <v>2143</v>
      </c>
      <c r="D2117" s="204">
        <v>1</v>
      </c>
      <c r="E2117" s="204" t="s">
        <v>2013</v>
      </c>
      <c r="F2117" s="205">
        <v>9.4556754594649628E-3</v>
      </c>
    </row>
    <row r="2118" spans="1:6">
      <c r="A2118" s="210">
        <v>228111100</v>
      </c>
      <c r="B2118" s="202" t="s">
        <v>6075</v>
      </c>
      <c r="C2118" s="203" t="s">
        <v>2143</v>
      </c>
      <c r="D2118" s="204">
        <v>1</v>
      </c>
      <c r="E2118" s="204" t="s">
        <v>235</v>
      </c>
      <c r="F2118" s="205">
        <v>4.1676483413040965E-3</v>
      </c>
    </row>
    <row r="2119" spans="1:6">
      <c r="A2119" s="210">
        <v>228200000</v>
      </c>
      <c r="B2119" s="202" t="s">
        <v>4229</v>
      </c>
      <c r="C2119" s="203" t="s">
        <v>2143</v>
      </c>
      <c r="D2119" s="204">
        <v>1</v>
      </c>
      <c r="E2119" s="204" t="s">
        <v>2013</v>
      </c>
      <c r="F2119" s="205">
        <v>2.2224463407395624E-2</v>
      </c>
    </row>
    <row r="2120" spans="1:6">
      <c r="A2120" s="210">
        <v>228211000</v>
      </c>
      <c r="B2120" s="202" t="s">
        <v>1265</v>
      </c>
      <c r="C2120" s="203" t="s">
        <v>2143</v>
      </c>
      <c r="D2120" s="204">
        <v>1</v>
      </c>
      <c r="E2120" s="204" t="s">
        <v>2013</v>
      </c>
      <c r="F2120" s="205">
        <v>2.2224463407395624E-2</v>
      </c>
    </row>
    <row r="2121" spans="1:6">
      <c r="A2121" s="210">
        <v>228300000</v>
      </c>
      <c r="B2121" s="202" t="s">
        <v>6076</v>
      </c>
      <c r="C2121" s="203" t="s">
        <v>2143</v>
      </c>
      <c r="D2121" s="204">
        <v>1</v>
      </c>
      <c r="E2121" s="204" t="s">
        <v>2013</v>
      </c>
      <c r="F2121" s="205">
        <v>1.5181229001568492E-3</v>
      </c>
    </row>
    <row r="2122" spans="1:6">
      <c r="A2122" s="210">
        <v>228311000</v>
      </c>
      <c r="B2122" s="202" t="s">
        <v>1266</v>
      </c>
      <c r="C2122" s="203" t="s">
        <v>2143</v>
      </c>
      <c r="D2122" s="204">
        <v>1</v>
      </c>
      <c r="E2122" s="204" t="s">
        <v>2013</v>
      </c>
      <c r="F2122" s="205">
        <v>1.5181229001568492E-3</v>
      </c>
    </row>
    <row r="2123" spans="1:6">
      <c r="A2123" s="210">
        <v>228400000</v>
      </c>
      <c r="B2123" s="202" t="s">
        <v>4232</v>
      </c>
      <c r="C2123" s="203" t="s">
        <v>2143</v>
      </c>
      <c r="D2123" s="204">
        <v>1</v>
      </c>
      <c r="E2123" s="204" t="s">
        <v>2013</v>
      </c>
      <c r="F2123" s="205">
        <v>1.8299022950662946E-2</v>
      </c>
    </row>
    <row r="2124" spans="1:6">
      <c r="A2124" s="210">
        <v>228411000</v>
      </c>
      <c r="B2124" s="202" t="s">
        <v>4234</v>
      </c>
      <c r="C2124" s="203" t="s">
        <v>2143</v>
      </c>
      <c r="D2124" s="204">
        <v>1</v>
      </c>
      <c r="E2124" s="204" t="s">
        <v>2013</v>
      </c>
      <c r="F2124" s="205">
        <v>1.8299022950662946E-2</v>
      </c>
    </row>
    <row r="2125" spans="1:6">
      <c r="A2125" s="210">
        <v>228500000</v>
      </c>
      <c r="B2125" s="202" t="s">
        <v>6077</v>
      </c>
      <c r="C2125" s="203" t="s">
        <v>2143</v>
      </c>
      <c r="D2125" s="204">
        <v>1</v>
      </c>
      <c r="E2125" s="204" t="s">
        <v>2013</v>
      </c>
      <c r="F2125" s="205">
        <v>6.8925499568236931E-2</v>
      </c>
    </row>
    <row r="2126" spans="1:6">
      <c r="A2126" s="210">
        <v>228511000</v>
      </c>
      <c r="B2126" s="202" t="s">
        <v>1267</v>
      </c>
      <c r="C2126" s="203" t="s">
        <v>2143</v>
      </c>
      <c r="D2126" s="204">
        <v>1</v>
      </c>
      <c r="E2126" s="204" t="s">
        <v>2013</v>
      </c>
      <c r="F2126" s="205">
        <v>6.8925499568236931E-2</v>
      </c>
    </row>
    <row r="2127" spans="1:6">
      <c r="A2127" s="210">
        <v>229100000</v>
      </c>
      <c r="B2127" s="202" t="s">
        <v>4237</v>
      </c>
      <c r="C2127" s="203" t="s">
        <v>2143</v>
      </c>
      <c r="D2127" s="204">
        <v>1</v>
      </c>
      <c r="E2127" s="204" t="s">
        <v>2013</v>
      </c>
      <c r="F2127" s="205">
        <v>3.6968057352215818E-2</v>
      </c>
    </row>
    <row r="2128" spans="1:6">
      <c r="A2128" s="210">
        <v>229111000</v>
      </c>
      <c r="B2128" s="202" t="s">
        <v>1268</v>
      </c>
      <c r="C2128" s="203" t="s">
        <v>2143</v>
      </c>
      <c r="D2128" s="204">
        <v>1</v>
      </c>
      <c r="E2128" s="204" t="s">
        <v>235</v>
      </c>
      <c r="F2128" s="205">
        <v>3.9327947999785944</v>
      </c>
    </row>
    <row r="2129" spans="1:6">
      <c r="A2129" s="210">
        <v>229112000</v>
      </c>
      <c r="B2129" s="202" t="s">
        <v>1269</v>
      </c>
      <c r="C2129" s="203" t="s">
        <v>2143</v>
      </c>
      <c r="D2129" s="204">
        <v>1</v>
      </c>
      <c r="E2129" s="204" t="s">
        <v>2013</v>
      </c>
      <c r="F2129" s="205">
        <v>3.6562488655241506E-3</v>
      </c>
    </row>
    <row r="2130" spans="1:6">
      <c r="A2130" s="210">
        <v>229119000</v>
      </c>
      <c r="B2130" s="202" t="s">
        <v>1270</v>
      </c>
      <c r="C2130" s="203" t="s">
        <v>2143</v>
      </c>
      <c r="D2130" s="204">
        <v>1</v>
      </c>
      <c r="E2130" s="204" t="s">
        <v>2013</v>
      </c>
      <c r="F2130" s="205">
        <v>4.1293144678177018E-2</v>
      </c>
    </row>
    <row r="2131" spans="1:6">
      <c r="A2131" s="210">
        <v>229200000</v>
      </c>
      <c r="B2131" s="202" t="s">
        <v>6078</v>
      </c>
      <c r="C2131" s="203" t="s">
        <v>2143</v>
      </c>
      <c r="D2131" s="204">
        <v>1</v>
      </c>
      <c r="E2131" s="204" t="s">
        <v>2013</v>
      </c>
      <c r="F2131" s="205">
        <v>9.5529313078971583E-4</v>
      </c>
    </row>
    <row r="2132" spans="1:6">
      <c r="A2132" s="210">
        <v>229211000</v>
      </c>
      <c r="B2132" s="202" t="s">
        <v>1271</v>
      </c>
      <c r="C2132" s="203" t="s">
        <v>2143</v>
      </c>
      <c r="D2132" s="204">
        <v>1</v>
      </c>
      <c r="E2132" s="204" t="s">
        <v>2013</v>
      </c>
      <c r="F2132" s="205">
        <v>9.5529313078971583E-4</v>
      </c>
    </row>
    <row r="2133" spans="1:6">
      <c r="A2133" s="210">
        <v>229300000</v>
      </c>
      <c r="B2133" s="202" t="s">
        <v>6079</v>
      </c>
      <c r="C2133" s="203" t="s">
        <v>2143</v>
      </c>
      <c r="D2133" s="204">
        <v>1</v>
      </c>
      <c r="E2133" s="204" t="s">
        <v>2013</v>
      </c>
      <c r="F2133" s="205">
        <v>4.4980989765688144E-3</v>
      </c>
    </row>
    <row r="2134" spans="1:6">
      <c r="A2134" s="210">
        <v>229311000</v>
      </c>
      <c r="B2134" s="202" t="s">
        <v>6080</v>
      </c>
      <c r="C2134" s="203" t="s">
        <v>2143</v>
      </c>
      <c r="D2134" s="204">
        <v>1</v>
      </c>
      <c r="E2134" s="204" t="s">
        <v>2013</v>
      </c>
      <c r="F2134" s="205">
        <v>4.4980989765688144E-3</v>
      </c>
    </row>
    <row r="2135" spans="1:6">
      <c r="A2135" s="210">
        <v>229400000</v>
      </c>
      <c r="B2135" s="202" t="s">
        <v>4240</v>
      </c>
      <c r="C2135" s="203" t="s">
        <v>2143</v>
      </c>
      <c r="D2135" s="204">
        <v>1</v>
      </c>
      <c r="E2135" s="204" t="s">
        <v>235</v>
      </c>
      <c r="F2135" s="205">
        <v>0.80074351062736315</v>
      </c>
    </row>
    <row r="2136" spans="1:6">
      <c r="A2136" s="210">
        <v>229411000</v>
      </c>
      <c r="B2136" s="202" t="s">
        <v>4242</v>
      </c>
      <c r="C2136" s="203" t="s">
        <v>2143</v>
      </c>
      <c r="D2136" s="204">
        <v>1</v>
      </c>
      <c r="E2136" s="204" t="s">
        <v>235</v>
      </c>
      <c r="F2136" s="205">
        <v>0.80074351062736315</v>
      </c>
    </row>
    <row r="2137" spans="1:6">
      <c r="A2137" s="210">
        <v>229500000</v>
      </c>
      <c r="B2137" s="202" t="s">
        <v>4244</v>
      </c>
      <c r="C2137" s="203" t="s">
        <v>2143</v>
      </c>
      <c r="D2137" s="204">
        <v>1</v>
      </c>
      <c r="E2137" s="204" t="s">
        <v>235</v>
      </c>
      <c r="F2137" s="205">
        <v>2.7756164356562101</v>
      </c>
    </row>
    <row r="2138" spans="1:6">
      <c r="A2138" s="210">
        <v>229519000</v>
      </c>
      <c r="B2138" s="202" t="s">
        <v>1272</v>
      </c>
      <c r="C2138" s="203" t="s">
        <v>2143</v>
      </c>
      <c r="D2138" s="204">
        <v>1</v>
      </c>
      <c r="E2138" s="204" t="s">
        <v>235</v>
      </c>
      <c r="F2138" s="205">
        <v>2.7756164356562101</v>
      </c>
    </row>
    <row r="2139" spans="1:6">
      <c r="A2139" s="210">
        <v>229600000</v>
      </c>
      <c r="B2139" s="202" t="s">
        <v>4247</v>
      </c>
      <c r="C2139" s="203" t="s">
        <v>2143</v>
      </c>
      <c r="D2139" s="204">
        <v>1</v>
      </c>
      <c r="E2139" s="204" t="s">
        <v>2013</v>
      </c>
      <c r="F2139" s="205">
        <v>2.8973940997776695E-2</v>
      </c>
    </row>
    <row r="2140" spans="1:6">
      <c r="A2140" s="210">
        <v>229611000</v>
      </c>
      <c r="B2140" s="202" t="s">
        <v>1273</v>
      </c>
      <c r="C2140" s="203" t="s">
        <v>2143</v>
      </c>
      <c r="D2140" s="204">
        <v>1</v>
      </c>
      <c r="E2140" s="204" t="s">
        <v>235</v>
      </c>
      <c r="F2140" s="205">
        <v>0.40307544051062999</v>
      </c>
    </row>
    <row r="2141" spans="1:6">
      <c r="A2141" s="210">
        <v>229612000</v>
      </c>
      <c r="B2141" s="202" t="s">
        <v>4250</v>
      </c>
      <c r="C2141" s="203" t="s">
        <v>2143</v>
      </c>
      <c r="D2141" s="204">
        <v>1</v>
      </c>
      <c r="E2141" s="204" t="s">
        <v>425</v>
      </c>
      <c r="F2141" s="205">
        <v>5.9146233592456756</v>
      </c>
    </row>
    <row r="2142" spans="1:6">
      <c r="A2142" s="210">
        <v>229613000</v>
      </c>
      <c r="B2142" s="202" t="s">
        <v>1274</v>
      </c>
      <c r="C2142" s="203" t="s">
        <v>2143</v>
      </c>
      <c r="D2142" s="204">
        <v>1</v>
      </c>
      <c r="E2142" s="204" t="s">
        <v>235</v>
      </c>
      <c r="F2142" s="205">
        <v>0.77680023475008675</v>
      </c>
    </row>
    <row r="2143" spans="1:6">
      <c r="A2143" s="210">
        <v>229619000</v>
      </c>
      <c r="B2143" s="202" t="s">
        <v>1275</v>
      </c>
      <c r="C2143" s="203" t="s">
        <v>2143</v>
      </c>
      <c r="D2143" s="204">
        <v>1</v>
      </c>
      <c r="E2143" s="204" t="s">
        <v>2013</v>
      </c>
      <c r="F2143" s="205">
        <v>9.5454211341285157E-3</v>
      </c>
    </row>
    <row r="2144" spans="1:6">
      <c r="A2144" s="210">
        <v>229700000</v>
      </c>
      <c r="B2144" s="202" t="s">
        <v>4254</v>
      </c>
      <c r="C2144" s="203" t="s">
        <v>2143</v>
      </c>
      <c r="D2144" s="204">
        <v>1</v>
      </c>
      <c r="E2144" s="204" t="s">
        <v>2013</v>
      </c>
      <c r="F2144" s="205">
        <v>8.4241174579902031E-2</v>
      </c>
    </row>
    <row r="2145" spans="1:6">
      <c r="A2145" s="210">
        <v>229711000</v>
      </c>
      <c r="B2145" s="202" t="s">
        <v>1276</v>
      </c>
      <c r="C2145" s="203" t="s">
        <v>2143</v>
      </c>
      <c r="D2145" s="204">
        <v>1</v>
      </c>
      <c r="E2145" s="204" t="s">
        <v>235</v>
      </c>
      <c r="F2145" s="205">
        <v>1.2889127659452218</v>
      </c>
    </row>
    <row r="2146" spans="1:6">
      <c r="A2146" s="210">
        <v>229712000</v>
      </c>
      <c r="B2146" s="202" t="s">
        <v>1277</v>
      </c>
      <c r="C2146" s="203" t="s">
        <v>2143</v>
      </c>
      <c r="D2146" s="204">
        <v>1</v>
      </c>
      <c r="E2146" s="204" t="s">
        <v>235</v>
      </c>
      <c r="F2146" s="205">
        <v>1.0521398764706491</v>
      </c>
    </row>
    <row r="2147" spans="1:6">
      <c r="A2147" s="210">
        <v>229713000</v>
      </c>
      <c r="B2147" s="202" t="s">
        <v>1278</v>
      </c>
      <c r="C2147" s="203" t="s">
        <v>2143</v>
      </c>
      <c r="D2147" s="204">
        <v>1</v>
      </c>
      <c r="E2147" s="204" t="s">
        <v>235</v>
      </c>
      <c r="F2147" s="205">
        <v>0.87636075270758917</v>
      </c>
    </row>
    <row r="2148" spans="1:6">
      <c r="A2148" s="210">
        <v>229719000</v>
      </c>
      <c r="B2148" s="202" t="s">
        <v>1279</v>
      </c>
      <c r="C2148" s="203" t="s">
        <v>2143</v>
      </c>
      <c r="D2148" s="204">
        <v>1</v>
      </c>
      <c r="E2148" s="204" t="s">
        <v>2013</v>
      </c>
      <c r="F2148" s="205">
        <v>5.2140105654806757E-2</v>
      </c>
    </row>
    <row r="2149" spans="1:6">
      <c r="A2149" s="210">
        <v>229719100</v>
      </c>
      <c r="B2149" s="202" t="s">
        <v>1280</v>
      </c>
      <c r="C2149" s="203" t="s">
        <v>2143</v>
      </c>
      <c r="D2149" s="204">
        <v>1</v>
      </c>
      <c r="E2149" s="204" t="s">
        <v>235</v>
      </c>
      <c r="F2149" s="205">
        <v>1.2294016092415148</v>
      </c>
    </row>
    <row r="2150" spans="1:6">
      <c r="A2150" s="210">
        <v>229800000</v>
      </c>
      <c r="B2150" s="202" t="s">
        <v>6081</v>
      </c>
      <c r="C2150" s="203" t="s">
        <v>2143</v>
      </c>
      <c r="D2150" s="204">
        <v>1</v>
      </c>
      <c r="E2150" s="204" t="s">
        <v>2013</v>
      </c>
      <c r="F2150" s="205">
        <v>1.0426127044632661E-2</v>
      </c>
    </row>
    <row r="2151" spans="1:6">
      <c r="A2151" s="210">
        <v>229811000</v>
      </c>
      <c r="B2151" s="202" t="s">
        <v>6082</v>
      </c>
      <c r="C2151" s="203" t="s">
        <v>2143</v>
      </c>
      <c r="D2151" s="204">
        <v>1</v>
      </c>
      <c r="E2151" s="204" t="s">
        <v>2013</v>
      </c>
      <c r="F2151" s="205">
        <v>1.0426127044632661E-2</v>
      </c>
    </row>
    <row r="2152" spans="1:6">
      <c r="A2152" s="210">
        <v>229900000</v>
      </c>
      <c r="B2152" s="202" t="s">
        <v>6083</v>
      </c>
      <c r="C2152" s="203" t="s">
        <v>2143</v>
      </c>
      <c r="D2152" s="204">
        <v>1</v>
      </c>
      <c r="E2152" s="204" t="s">
        <v>2013</v>
      </c>
      <c r="F2152" s="205">
        <v>3.502510015078162E-2</v>
      </c>
    </row>
    <row r="2153" spans="1:6">
      <c r="A2153" s="210">
        <v>229911000</v>
      </c>
      <c r="B2153" s="202" t="s">
        <v>1281</v>
      </c>
      <c r="C2153" s="203" t="s">
        <v>2143</v>
      </c>
      <c r="D2153" s="204">
        <v>1</v>
      </c>
      <c r="E2153" s="204" t="s">
        <v>2013</v>
      </c>
      <c r="F2153" s="205">
        <v>9.1641880204267074E-3</v>
      </c>
    </row>
    <row r="2154" spans="1:6">
      <c r="A2154" s="210">
        <v>229912000</v>
      </c>
      <c r="B2154" s="202" t="s">
        <v>1282</v>
      </c>
      <c r="C2154" s="203" t="s">
        <v>2143</v>
      </c>
      <c r="D2154" s="204">
        <v>1</v>
      </c>
      <c r="E2154" s="204" t="s">
        <v>2013</v>
      </c>
      <c r="F2154" s="205">
        <v>6.2368557832300289E-3</v>
      </c>
    </row>
    <row r="2155" spans="1:6">
      <c r="A2155" s="210">
        <v>229919000</v>
      </c>
      <c r="B2155" s="202" t="s">
        <v>1283</v>
      </c>
      <c r="C2155" s="203" t="s">
        <v>2143</v>
      </c>
      <c r="D2155" s="204">
        <v>1</v>
      </c>
      <c r="E2155" s="204" t="s">
        <v>2013</v>
      </c>
      <c r="F2155" s="205">
        <v>3.8364697672623127E-2</v>
      </c>
    </row>
    <row r="2156" spans="1:6">
      <c r="A2156" s="210">
        <v>229919200</v>
      </c>
      <c r="B2156" s="202" t="s">
        <v>1284</v>
      </c>
      <c r="C2156" s="203" t="s">
        <v>2143</v>
      </c>
      <c r="D2156" s="204">
        <v>1</v>
      </c>
      <c r="E2156" s="204" t="s">
        <v>278</v>
      </c>
      <c r="F2156" s="205">
        <v>310.01082189973135</v>
      </c>
    </row>
    <row r="2157" spans="1:6">
      <c r="A2157" s="210">
        <v>230000640</v>
      </c>
      <c r="B2157" s="202" t="s">
        <v>6084</v>
      </c>
      <c r="C2157" s="203" t="s">
        <v>5553</v>
      </c>
      <c r="D2157" s="204">
        <v>1</v>
      </c>
      <c r="E2157" s="204" t="s">
        <v>235</v>
      </c>
      <c r="F2157" s="205">
        <v>0</v>
      </c>
    </row>
    <row r="2158" spans="1:6">
      <c r="A2158" s="210">
        <v>230000641</v>
      </c>
      <c r="B2158" s="202" t="s">
        <v>6085</v>
      </c>
      <c r="C2158" s="203" t="s">
        <v>5553</v>
      </c>
      <c r="D2158" s="204">
        <v>1</v>
      </c>
      <c r="E2158" s="204" t="s">
        <v>235</v>
      </c>
      <c r="F2158" s="205">
        <v>0</v>
      </c>
    </row>
    <row r="2159" spans="1:6">
      <c r="A2159" s="210">
        <v>230000642</v>
      </c>
      <c r="B2159" s="202" t="s">
        <v>6086</v>
      </c>
      <c r="C2159" s="203" t="s">
        <v>5553</v>
      </c>
      <c r="D2159" s="204">
        <v>1</v>
      </c>
      <c r="E2159" s="204" t="s">
        <v>235</v>
      </c>
      <c r="F2159" s="205">
        <v>0</v>
      </c>
    </row>
    <row r="2160" spans="1:6">
      <c r="A2160" s="210">
        <v>230000700</v>
      </c>
      <c r="B2160" s="202" t="s">
        <v>6087</v>
      </c>
      <c r="C2160" s="203" t="s">
        <v>2143</v>
      </c>
      <c r="D2160" s="204">
        <v>1</v>
      </c>
      <c r="E2160" s="204" t="s">
        <v>235</v>
      </c>
      <c r="F2160" s="205">
        <v>0.48290011226443169</v>
      </c>
    </row>
    <row r="2161" spans="1:6">
      <c r="A2161" s="210">
        <v>230000701</v>
      </c>
      <c r="B2161" s="202" t="s">
        <v>6088</v>
      </c>
      <c r="C2161" s="203" t="s">
        <v>2143</v>
      </c>
      <c r="D2161" s="204">
        <v>1</v>
      </c>
      <c r="E2161" s="204" t="s">
        <v>235</v>
      </c>
      <c r="F2161" s="205">
        <v>0.39847991472216804</v>
      </c>
    </row>
    <row r="2162" spans="1:6">
      <c r="A2162" s="210">
        <v>230000702</v>
      </c>
      <c r="B2162" s="202" t="s">
        <v>1285</v>
      </c>
      <c r="C2162" s="203" t="s">
        <v>2143</v>
      </c>
      <c r="D2162" s="204">
        <v>1</v>
      </c>
      <c r="E2162" s="204" t="s">
        <v>235</v>
      </c>
      <c r="F2162" s="205">
        <v>0.7791686436959685</v>
      </c>
    </row>
    <row r="2163" spans="1:6">
      <c r="A2163" s="210">
        <v>230000703</v>
      </c>
      <c r="B2163" s="202" t="s">
        <v>1286</v>
      </c>
      <c r="C2163" s="203" t="s">
        <v>2143</v>
      </c>
      <c r="D2163" s="204">
        <v>1</v>
      </c>
      <c r="E2163" s="204" t="s">
        <v>235</v>
      </c>
      <c r="F2163" s="205">
        <v>0.32025247940253992</v>
      </c>
    </row>
    <row r="2164" spans="1:6">
      <c r="A2164" s="210">
        <v>230000704</v>
      </c>
      <c r="B2164" s="202" t="s">
        <v>1287</v>
      </c>
      <c r="C2164" s="203" t="s">
        <v>2143</v>
      </c>
      <c r="D2164" s="204">
        <v>1</v>
      </c>
      <c r="E2164" s="204" t="s">
        <v>235</v>
      </c>
      <c r="F2164" s="205">
        <v>0.6680171697782129</v>
      </c>
    </row>
    <row r="2165" spans="1:6">
      <c r="A2165" s="210">
        <v>230000705</v>
      </c>
      <c r="B2165" s="202" t="s">
        <v>1288</v>
      </c>
      <c r="C2165" s="203" t="s">
        <v>2143</v>
      </c>
      <c r="D2165" s="204">
        <v>1</v>
      </c>
      <c r="E2165" s="204" t="s">
        <v>235</v>
      </c>
      <c r="F2165" s="205">
        <v>3.9712595294710584</v>
      </c>
    </row>
    <row r="2166" spans="1:6">
      <c r="A2166" s="210">
        <v>230000706</v>
      </c>
      <c r="B2166" s="202" t="s">
        <v>1289</v>
      </c>
      <c r="C2166" s="203" t="s">
        <v>2143</v>
      </c>
      <c r="D2166" s="204">
        <v>1</v>
      </c>
      <c r="E2166" s="204" t="s">
        <v>235</v>
      </c>
      <c r="F2166" s="205">
        <v>1.1788822189337183</v>
      </c>
    </row>
    <row r="2167" spans="1:6">
      <c r="A2167" s="210">
        <v>230000707</v>
      </c>
      <c r="B2167" s="202" t="s">
        <v>1290</v>
      </c>
      <c r="C2167" s="203" t="s">
        <v>2143</v>
      </c>
      <c r="D2167" s="204">
        <v>1</v>
      </c>
      <c r="E2167" s="204" t="s">
        <v>235</v>
      </c>
      <c r="F2167" s="205">
        <v>0.80002431468940693</v>
      </c>
    </row>
    <row r="2168" spans="1:6">
      <c r="A2168" s="210">
        <v>230000708</v>
      </c>
      <c r="B2168" s="202" t="s">
        <v>1291</v>
      </c>
      <c r="C2168" s="203" t="s">
        <v>2143</v>
      </c>
      <c r="D2168" s="204">
        <v>1</v>
      </c>
      <c r="E2168" s="204" t="s">
        <v>235</v>
      </c>
      <c r="F2168" s="205">
        <v>2.1608945008960263</v>
      </c>
    </row>
    <row r="2169" spans="1:6">
      <c r="A2169" s="210">
        <v>230000709</v>
      </c>
      <c r="B2169" s="202" t="s">
        <v>1292</v>
      </c>
      <c r="C2169" s="203" t="s">
        <v>2143</v>
      </c>
      <c r="D2169" s="204">
        <v>1</v>
      </c>
      <c r="E2169" s="204" t="s">
        <v>235</v>
      </c>
      <c r="F2169" s="205">
        <v>0.25708890955155717</v>
      </c>
    </row>
    <row r="2170" spans="1:6">
      <c r="A2170" s="210">
        <v>230000940</v>
      </c>
      <c r="B2170" s="202" t="s">
        <v>6089</v>
      </c>
      <c r="C2170" s="203" t="s">
        <v>5553</v>
      </c>
      <c r="D2170" s="204">
        <v>1</v>
      </c>
      <c r="E2170" s="204" t="s">
        <v>235</v>
      </c>
      <c r="F2170" s="205">
        <v>0</v>
      </c>
    </row>
    <row r="2171" spans="1:6">
      <c r="A2171" s="210">
        <v>230000941</v>
      </c>
      <c r="B2171" s="202" t="s">
        <v>6090</v>
      </c>
      <c r="C2171" s="203" t="s">
        <v>5553</v>
      </c>
      <c r="D2171" s="204">
        <v>1</v>
      </c>
      <c r="E2171" s="204" t="s">
        <v>235</v>
      </c>
      <c r="F2171" s="205">
        <v>0</v>
      </c>
    </row>
    <row r="2172" spans="1:6">
      <c r="A2172" s="210">
        <v>230000942</v>
      </c>
      <c r="B2172" s="202" t="s">
        <v>6091</v>
      </c>
      <c r="C2172" s="203" t="s">
        <v>5553</v>
      </c>
      <c r="D2172" s="204">
        <v>1</v>
      </c>
      <c r="E2172" s="204" t="s">
        <v>235</v>
      </c>
      <c r="F2172" s="205">
        <v>0</v>
      </c>
    </row>
    <row r="2173" spans="1:6">
      <c r="A2173" s="210">
        <v>230000943</v>
      </c>
      <c r="B2173" s="202" t="s">
        <v>6092</v>
      </c>
      <c r="C2173" s="203" t="s">
        <v>5553</v>
      </c>
      <c r="D2173" s="204">
        <v>1</v>
      </c>
      <c r="E2173" s="204" t="s">
        <v>278</v>
      </c>
      <c r="F2173" s="205">
        <v>0</v>
      </c>
    </row>
    <row r="2174" spans="1:6">
      <c r="A2174" s="210">
        <v>230000945</v>
      </c>
      <c r="B2174" s="202" t="s">
        <v>6093</v>
      </c>
      <c r="C2174" s="203" t="s">
        <v>5553</v>
      </c>
      <c r="D2174" s="204">
        <v>1</v>
      </c>
      <c r="E2174" s="204" t="s">
        <v>235</v>
      </c>
      <c r="F2174" s="205">
        <v>0</v>
      </c>
    </row>
    <row r="2175" spans="1:6">
      <c r="A2175" s="210">
        <v>231100000</v>
      </c>
      <c r="B2175" s="202" t="s">
        <v>6094</v>
      </c>
      <c r="C2175" s="203" t="s">
        <v>2143</v>
      </c>
      <c r="D2175" s="204">
        <v>1</v>
      </c>
      <c r="E2175" s="204" t="s">
        <v>235</v>
      </c>
      <c r="F2175" s="205">
        <v>1.1871437500705611</v>
      </c>
    </row>
    <row r="2176" spans="1:6">
      <c r="A2176" s="210">
        <v>231111000</v>
      </c>
      <c r="B2176" s="202" t="s">
        <v>1293</v>
      </c>
      <c r="C2176" s="203" t="s">
        <v>2143</v>
      </c>
      <c r="D2176" s="204">
        <v>1</v>
      </c>
      <c r="E2176" s="204" t="s">
        <v>235</v>
      </c>
      <c r="F2176" s="205">
        <v>0.45157404668916196</v>
      </c>
    </row>
    <row r="2177" spans="1:6">
      <c r="A2177" s="210">
        <v>231112000</v>
      </c>
      <c r="B2177" s="202" t="s">
        <v>1294</v>
      </c>
      <c r="C2177" s="203" t="s">
        <v>2143</v>
      </c>
      <c r="D2177" s="204">
        <v>1</v>
      </c>
      <c r="E2177" s="204" t="s">
        <v>235</v>
      </c>
      <c r="F2177" s="205">
        <v>0.38533047221432309</v>
      </c>
    </row>
    <row r="2178" spans="1:6">
      <c r="A2178" s="210">
        <v>231113000</v>
      </c>
      <c r="B2178" s="202" t="s">
        <v>1295</v>
      </c>
      <c r="C2178" s="203" t="s">
        <v>2143</v>
      </c>
      <c r="D2178" s="204">
        <v>1</v>
      </c>
      <c r="E2178" s="204" t="s">
        <v>235</v>
      </c>
      <c r="F2178" s="205">
        <v>1.6483349711368629</v>
      </c>
    </row>
    <row r="2179" spans="1:6">
      <c r="A2179" s="210">
        <v>231113100</v>
      </c>
      <c r="B2179" s="202" t="s">
        <v>6095</v>
      </c>
      <c r="C2179" s="203" t="s">
        <v>2143</v>
      </c>
      <c r="D2179" s="204">
        <v>1</v>
      </c>
      <c r="E2179" s="204" t="s">
        <v>235</v>
      </c>
      <c r="F2179" s="205">
        <v>1.6480709236207693</v>
      </c>
    </row>
    <row r="2180" spans="1:6">
      <c r="A2180" s="210">
        <v>231113941</v>
      </c>
      <c r="B2180" s="202" t="s">
        <v>6096</v>
      </c>
      <c r="C2180" s="203" t="s">
        <v>5553</v>
      </c>
      <c r="D2180" s="204">
        <v>1</v>
      </c>
      <c r="E2180" s="204" t="s">
        <v>278</v>
      </c>
      <c r="F2180" s="205">
        <v>0</v>
      </c>
    </row>
    <row r="2181" spans="1:6">
      <c r="A2181" s="210">
        <v>231113942</v>
      </c>
      <c r="B2181" s="202" t="s">
        <v>6097</v>
      </c>
      <c r="C2181" s="203" t="s">
        <v>5553</v>
      </c>
      <c r="D2181" s="204">
        <v>1</v>
      </c>
      <c r="E2181" s="204" t="s">
        <v>278</v>
      </c>
      <c r="F2181" s="205">
        <v>0</v>
      </c>
    </row>
    <row r="2182" spans="1:6">
      <c r="A2182" s="210">
        <v>231114000</v>
      </c>
      <c r="B2182" s="202" t="s">
        <v>4264</v>
      </c>
      <c r="C2182" s="203" t="s">
        <v>2143</v>
      </c>
      <c r="D2182" s="204">
        <v>1</v>
      </c>
      <c r="E2182" s="204" t="s">
        <v>235</v>
      </c>
      <c r="F2182" s="205">
        <v>1.8666389237463652</v>
      </c>
    </row>
    <row r="2183" spans="1:6">
      <c r="A2183" s="210">
        <v>231115000</v>
      </c>
      <c r="B2183" s="202" t="s">
        <v>1296</v>
      </c>
      <c r="C2183" s="203" t="s">
        <v>2143</v>
      </c>
      <c r="D2183" s="204">
        <v>1</v>
      </c>
      <c r="E2183" s="204" t="s">
        <v>235</v>
      </c>
      <c r="F2183" s="205">
        <v>1.4944979133340521</v>
      </c>
    </row>
    <row r="2184" spans="1:6">
      <c r="A2184" s="210">
        <v>231115201</v>
      </c>
      <c r="B2184" s="202" t="s">
        <v>4266</v>
      </c>
      <c r="C2184" s="203" t="s">
        <v>2143</v>
      </c>
      <c r="D2184" s="204">
        <v>1</v>
      </c>
      <c r="E2184" s="204" t="s">
        <v>235</v>
      </c>
      <c r="F2184" s="205">
        <v>1.8372811367932178</v>
      </c>
    </row>
    <row r="2185" spans="1:6">
      <c r="A2185" s="210">
        <v>231115202</v>
      </c>
      <c r="B2185" s="202" t="s">
        <v>4268</v>
      </c>
      <c r="C2185" s="203" t="s">
        <v>2143</v>
      </c>
      <c r="D2185" s="204">
        <v>1</v>
      </c>
      <c r="E2185" s="204" t="s">
        <v>235</v>
      </c>
      <c r="F2185" s="205">
        <v>0.64721830412868941</v>
      </c>
    </row>
    <row r="2186" spans="1:6">
      <c r="A2186" s="210">
        <v>231115641</v>
      </c>
      <c r="B2186" s="202" t="s">
        <v>6098</v>
      </c>
      <c r="C2186" s="203" t="s">
        <v>5553</v>
      </c>
      <c r="D2186" s="204">
        <v>1</v>
      </c>
      <c r="E2186" s="204" t="s">
        <v>278</v>
      </c>
      <c r="F2186" s="205">
        <v>0</v>
      </c>
    </row>
    <row r="2187" spans="1:6">
      <c r="A2187" s="210">
        <v>231300000</v>
      </c>
      <c r="B2187" s="202" t="s">
        <v>4270</v>
      </c>
      <c r="C2187" s="203" t="s">
        <v>2143</v>
      </c>
      <c r="D2187" s="204">
        <v>1</v>
      </c>
      <c r="E2187" s="204" t="s">
        <v>235</v>
      </c>
      <c r="F2187" s="205">
        <v>5.961702836085415</v>
      </c>
    </row>
    <row r="2188" spans="1:6">
      <c r="A2188" s="210">
        <v>231311000</v>
      </c>
      <c r="B2188" s="202" t="s">
        <v>1297</v>
      </c>
      <c r="C2188" s="203" t="s">
        <v>2143</v>
      </c>
      <c r="D2188" s="204">
        <v>1</v>
      </c>
      <c r="E2188" s="204" t="s">
        <v>235</v>
      </c>
      <c r="F2188" s="205">
        <v>6.9182684513068997</v>
      </c>
    </row>
    <row r="2189" spans="1:6">
      <c r="A2189" s="210">
        <v>231312000</v>
      </c>
      <c r="B2189" s="202" t="s">
        <v>1298</v>
      </c>
      <c r="C2189" s="203" t="s">
        <v>2143</v>
      </c>
      <c r="D2189" s="204">
        <v>1</v>
      </c>
      <c r="E2189" s="204" t="s">
        <v>235</v>
      </c>
      <c r="F2189" s="205">
        <v>11.642911018559987</v>
      </c>
    </row>
    <row r="2190" spans="1:6">
      <c r="A2190" s="210">
        <v>231313000</v>
      </c>
      <c r="B2190" s="202" t="s">
        <v>1299</v>
      </c>
      <c r="C2190" s="203" t="s">
        <v>2143</v>
      </c>
      <c r="D2190" s="204">
        <v>1</v>
      </c>
      <c r="E2190" s="204" t="s">
        <v>235</v>
      </c>
      <c r="F2190" s="205">
        <v>9.2287766822755462</v>
      </c>
    </row>
    <row r="2191" spans="1:6">
      <c r="A2191" s="210">
        <v>231314000</v>
      </c>
      <c r="B2191" s="202" t="s">
        <v>1300</v>
      </c>
      <c r="C2191" s="203" t="s">
        <v>2143</v>
      </c>
      <c r="D2191" s="204">
        <v>1</v>
      </c>
      <c r="E2191" s="204" t="s">
        <v>235</v>
      </c>
      <c r="F2191" s="205">
        <v>9.7663799095355284</v>
      </c>
    </row>
    <row r="2192" spans="1:6">
      <c r="A2192" s="210">
        <v>231315000</v>
      </c>
      <c r="B2192" s="202" t="s">
        <v>1301</v>
      </c>
      <c r="C2192" s="203" t="s">
        <v>2143</v>
      </c>
      <c r="D2192" s="204">
        <v>1</v>
      </c>
      <c r="E2192" s="204" t="s">
        <v>235</v>
      </c>
      <c r="F2192" s="205">
        <v>3.566394399375175</v>
      </c>
    </row>
    <row r="2193" spans="1:6">
      <c r="A2193" s="210">
        <v>231316000</v>
      </c>
      <c r="B2193" s="202" t="s">
        <v>1302</v>
      </c>
      <c r="C2193" s="203" t="s">
        <v>2143</v>
      </c>
      <c r="D2193" s="204">
        <v>1</v>
      </c>
      <c r="E2193" s="204" t="s">
        <v>235</v>
      </c>
      <c r="F2193" s="205">
        <v>3.4837730225834895</v>
      </c>
    </row>
    <row r="2194" spans="1:6">
      <c r="A2194" s="210">
        <v>231317000</v>
      </c>
      <c r="B2194" s="202" t="s">
        <v>1303</v>
      </c>
      <c r="C2194" s="203" t="s">
        <v>2143</v>
      </c>
      <c r="D2194" s="204">
        <v>1</v>
      </c>
      <c r="E2194" s="204" t="s">
        <v>235</v>
      </c>
      <c r="F2194" s="205">
        <v>1.1132186648423446</v>
      </c>
    </row>
    <row r="2195" spans="1:6">
      <c r="A2195" s="210">
        <v>231318000</v>
      </c>
      <c r="B2195" s="202" t="s">
        <v>1304</v>
      </c>
      <c r="C2195" s="203" t="s">
        <v>2143</v>
      </c>
      <c r="D2195" s="204">
        <v>1</v>
      </c>
      <c r="E2195" s="204" t="s">
        <v>235</v>
      </c>
      <c r="F2195" s="205">
        <v>13.533371552342055</v>
      </c>
    </row>
    <row r="2196" spans="1:6">
      <c r="A2196" s="210">
        <v>231319000</v>
      </c>
      <c r="B2196" s="202" t="s">
        <v>1305</v>
      </c>
      <c r="C2196" s="203" t="s">
        <v>2143</v>
      </c>
      <c r="D2196" s="204">
        <v>1</v>
      </c>
      <c r="E2196" s="204" t="s">
        <v>235</v>
      </c>
      <c r="F2196" s="205">
        <v>11.323113382551016</v>
      </c>
    </row>
    <row r="2197" spans="1:6">
      <c r="A2197" s="210">
        <v>232100000</v>
      </c>
      <c r="B2197" s="202" t="s">
        <v>4281</v>
      </c>
      <c r="C2197" s="203" t="s">
        <v>2143</v>
      </c>
      <c r="D2197" s="204">
        <v>1</v>
      </c>
      <c r="E2197" s="204" t="s">
        <v>235</v>
      </c>
      <c r="F2197" s="205">
        <v>2.1133121667472947</v>
      </c>
    </row>
    <row r="2198" spans="1:6">
      <c r="A2198" s="210">
        <v>232111000</v>
      </c>
      <c r="B2198" s="202" t="s">
        <v>1306</v>
      </c>
      <c r="C2198" s="203" t="s">
        <v>2143</v>
      </c>
      <c r="D2198" s="204">
        <v>1</v>
      </c>
      <c r="E2198" s="204" t="s">
        <v>235</v>
      </c>
      <c r="F2198" s="205">
        <v>1.6872380230783954</v>
      </c>
    </row>
    <row r="2199" spans="1:6">
      <c r="A2199" s="210">
        <v>232112000</v>
      </c>
      <c r="B2199" s="202" t="s">
        <v>1307</v>
      </c>
      <c r="C2199" s="203" t="s">
        <v>2143</v>
      </c>
      <c r="D2199" s="204">
        <v>1</v>
      </c>
      <c r="E2199" s="204" t="s">
        <v>235</v>
      </c>
      <c r="F2199" s="205">
        <v>0.97986187702367045</v>
      </c>
    </row>
    <row r="2200" spans="1:6">
      <c r="A2200" s="210">
        <v>232113000</v>
      </c>
      <c r="B2200" s="202" t="s">
        <v>1308</v>
      </c>
      <c r="C2200" s="203" t="s">
        <v>2143</v>
      </c>
      <c r="D2200" s="204">
        <v>1</v>
      </c>
      <c r="E2200" s="204" t="s">
        <v>235</v>
      </c>
      <c r="F2200" s="205">
        <v>1.6346124582068315</v>
      </c>
    </row>
    <row r="2201" spans="1:6">
      <c r="A2201" s="210">
        <v>232114000</v>
      </c>
      <c r="B2201" s="202" t="s">
        <v>1309</v>
      </c>
      <c r="C2201" s="203" t="s">
        <v>2143</v>
      </c>
      <c r="D2201" s="204">
        <v>1</v>
      </c>
      <c r="E2201" s="204" t="s">
        <v>235</v>
      </c>
      <c r="F2201" s="205">
        <v>2.2942136403167068</v>
      </c>
    </row>
    <row r="2202" spans="1:6">
      <c r="A2202" s="210">
        <v>232114100</v>
      </c>
      <c r="B2202" s="202" t="s">
        <v>6099</v>
      </c>
      <c r="C2202" s="203" t="s">
        <v>2143</v>
      </c>
      <c r="D2202" s="204">
        <v>1</v>
      </c>
      <c r="E2202" s="204" t="s">
        <v>235</v>
      </c>
      <c r="F2202" s="205">
        <v>2.2494965045280382</v>
      </c>
    </row>
    <row r="2203" spans="1:6">
      <c r="A2203" s="210">
        <v>232115000</v>
      </c>
      <c r="B2203" s="202" t="s">
        <v>1310</v>
      </c>
      <c r="C2203" s="203" t="s">
        <v>2143</v>
      </c>
      <c r="D2203" s="204">
        <v>1</v>
      </c>
      <c r="E2203" s="204" t="s">
        <v>235</v>
      </c>
      <c r="F2203" s="205">
        <v>2.2942136403167068</v>
      </c>
    </row>
    <row r="2204" spans="1:6">
      <c r="A2204" s="210">
        <v>232116000</v>
      </c>
      <c r="B2204" s="202" t="s">
        <v>1311</v>
      </c>
      <c r="C2204" s="203" t="s">
        <v>2143</v>
      </c>
      <c r="D2204" s="204">
        <v>1</v>
      </c>
      <c r="E2204" s="204" t="s">
        <v>235</v>
      </c>
      <c r="F2204" s="205">
        <v>2.4231437241723492</v>
      </c>
    </row>
    <row r="2205" spans="1:6">
      <c r="A2205" s="210">
        <v>232116101</v>
      </c>
      <c r="B2205" s="202" t="s">
        <v>6100</v>
      </c>
      <c r="C2205" s="203" t="s">
        <v>2143</v>
      </c>
      <c r="D2205" s="204">
        <v>1</v>
      </c>
      <c r="E2205" s="204" t="s">
        <v>235</v>
      </c>
      <c r="F2205" s="205">
        <v>2.3767665376878431</v>
      </c>
    </row>
    <row r="2206" spans="1:6">
      <c r="A2206" s="210">
        <v>232117000</v>
      </c>
      <c r="B2206" s="202" t="s">
        <v>4289</v>
      </c>
      <c r="C2206" s="203" t="s">
        <v>2143</v>
      </c>
      <c r="D2206" s="204">
        <v>1</v>
      </c>
      <c r="E2206" s="204" t="s">
        <v>235</v>
      </c>
      <c r="F2206" s="205">
        <v>2.3680252538695692</v>
      </c>
    </row>
    <row r="2207" spans="1:6">
      <c r="A2207" s="210">
        <v>232117101</v>
      </c>
      <c r="B2207" s="202" t="s">
        <v>6101</v>
      </c>
      <c r="C2207" s="203" t="s">
        <v>2143</v>
      </c>
      <c r="D2207" s="204">
        <v>1</v>
      </c>
      <c r="E2207" s="204" t="s">
        <v>235</v>
      </c>
      <c r="F2207" s="205">
        <v>3.1492765813849055</v>
      </c>
    </row>
    <row r="2208" spans="1:6">
      <c r="A2208" s="210">
        <v>232118000</v>
      </c>
      <c r="B2208" s="202" t="s">
        <v>1312</v>
      </c>
      <c r="C2208" s="203" t="s">
        <v>2143</v>
      </c>
      <c r="D2208" s="204">
        <v>1</v>
      </c>
      <c r="E2208" s="204" t="s">
        <v>235</v>
      </c>
      <c r="F2208" s="205">
        <v>2.461586431347675</v>
      </c>
    </row>
    <row r="2209" spans="1:6">
      <c r="A2209" s="210">
        <v>232119000</v>
      </c>
      <c r="B2209" s="202" t="s">
        <v>1313</v>
      </c>
      <c r="C2209" s="203" t="s">
        <v>2143</v>
      </c>
      <c r="D2209" s="204">
        <v>1</v>
      </c>
      <c r="E2209" s="204" t="s">
        <v>235</v>
      </c>
      <c r="F2209" s="205">
        <v>2.3228263298080805</v>
      </c>
    </row>
    <row r="2210" spans="1:6">
      <c r="A2210" s="210">
        <v>232121000</v>
      </c>
      <c r="B2210" s="202" t="s">
        <v>1314</v>
      </c>
      <c r="C2210" s="203" t="s">
        <v>2143</v>
      </c>
      <c r="D2210" s="204">
        <v>1</v>
      </c>
      <c r="E2210" s="204" t="s">
        <v>235</v>
      </c>
      <c r="F2210" s="205">
        <v>2.4613941968105668</v>
      </c>
    </row>
    <row r="2211" spans="1:6">
      <c r="A2211" s="210">
        <v>232122000</v>
      </c>
      <c r="B2211" s="202" t="s">
        <v>1315</v>
      </c>
      <c r="C2211" s="203" t="s">
        <v>2143</v>
      </c>
      <c r="D2211" s="204">
        <v>1</v>
      </c>
      <c r="E2211" s="204" t="s">
        <v>235</v>
      </c>
      <c r="F2211" s="205">
        <v>2.4714322753032918</v>
      </c>
    </row>
    <row r="2212" spans="1:6">
      <c r="A2212" s="210">
        <v>232123000</v>
      </c>
      <c r="B2212" s="202" t="s">
        <v>1316</v>
      </c>
      <c r="C2212" s="203" t="s">
        <v>2143</v>
      </c>
      <c r="D2212" s="204">
        <v>1</v>
      </c>
      <c r="E2212" s="204" t="s">
        <v>235</v>
      </c>
      <c r="F2212" s="205">
        <v>2.5047972054168306</v>
      </c>
    </row>
    <row r="2213" spans="1:6">
      <c r="A2213" s="210">
        <v>232123201</v>
      </c>
      <c r="B2213" s="202" t="s">
        <v>1317</v>
      </c>
      <c r="C2213" s="203" t="s">
        <v>2143</v>
      </c>
      <c r="D2213" s="204">
        <v>1</v>
      </c>
      <c r="E2213" s="204" t="s">
        <v>235</v>
      </c>
      <c r="F2213" s="205">
        <v>2.6339156303769178</v>
      </c>
    </row>
    <row r="2214" spans="1:6">
      <c r="A2214" s="210">
        <v>232123202</v>
      </c>
      <c r="B2214" s="202" t="s">
        <v>1318</v>
      </c>
      <c r="C2214" s="203" t="s">
        <v>2143</v>
      </c>
      <c r="D2214" s="204">
        <v>1</v>
      </c>
      <c r="E2214" s="204" t="s">
        <v>235</v>
      </c>
      <c r="F2214" s="205">
        <v>2.6970794976863246</v>
      </c>
    </row>
    <row r="2215" spans="1:6">
      <c r="A2215" s="210">
        <v>232124000</v>
      </c>
      <c r="B2215" s="202" t="s">
        <v>1319</v>
      </c>
      <c r="C2215" s="203" t="s">
        <v>2143</v>
      </c>
      <c r="D2215" s="204">
        <v>1</v>
      </c>
      <c r="E2215" s="204" t="s">
        <v>235</v>
      </c>
      <c r="F2215" s="205">
        <v>1.9249442349078065</v>
      </c>
    </row>
    <row r="2216" spans="1:6">
      <c r="A2216" s="210">
        <v>233100000</v>
      </c>
      <c r="B2216" s="202" t="s">
        <v>4297</v>
      </c>
      <c r="C2216" s="203" t="s">
        <v>2143</v>
      </c>
      <c r="D2216" s="204">
        <v>1</v>
      </c>
      <c r="E2216" s="204" t="s">
        <v>235</v>
      </c>
      <c r="F2216" s="205">
        <v>2.4255964343340377</v>
      </c>
    </row>
    <row r="2217" spans="1:6">
      <c r="A2217" s="210">
        <v>233111000</v>
      </c>
      <c r="B2217" s="202" t="s">
        <v>1320</v>
      </c>
      <c r="C2217" s="203" t="s">
        <v>2143</v>
      </c>
      <c r="D2217" s="204">
        <v>1</v>
      </c>
      <c r="E2217" s="204" t="s">
        <v>235</v>
      </c>
      <c r="F2217" s="205">
        <v>2.58845918634771</v>
      </c>
    </row>
    <row r="2218" spans="1:6">
      <c r="A2218" s="210">
        <v>233112000</v>
      </c>
      <c r="B2218" s="202" t="s">
        <v>1321</v>
      </c>
      <c r="C2218" s="203" t="s">
        <v>2143</v>
      </c>
      <c r="D2218" s="204">
        <v>1</v>
      </c>
      <c r="E2218" s="204" t="s">
        <v>235</v>
      </c>
      <c r="F2218" s="205">
        <v>2.0922309131726973</v>
      </c>
    </row>
    <row r="2219" spans="1:6">
      <c r="A2219" s="210">
        <v>233113000</v>
      </c>
      <c r="B2219" s="202" t="s">
        <v>1322</v>
      </c>
      <c r="C2219" s="203" t="s">
        <v>2143</v>
      </c>
      <c r="D2219" s="204">
        <v>1</v>
      </c>
      <c r="E2219" s="204" t="s">
        <v>235</v>
      </c>
      <c r="F2219" s="205">
        <v>2.2080613286383266</v>
      </c>
    </row>
    <row r="2220" spans="1:6">
      <c r="A2220" s="210">
        <v>233114000</v>
      </c>
      <c r="B2220" s="202" t="s">
        <v>1323</v>
      </c>
      <c r="C2220" s="203" t="s">
        <v>2143</v>
      </c>
      <c r="D2220" s="204">
        <v>1</v>
      </c>
      <c r="E2220" s="204" t="s">
        <v>235</v>
      </c>
      <c r="F2220" s="205">
        <v>2.412145987223218</v>
      </c>
    </row>
    <row r="2221" spans="1:6">
      <c r="A2221" s="210">
        <v>233115000</v>
      </c>
      <c r="B2221" s="202" t="s">
        <v>1324</v>
      </c>
      <c r="C2221" s="203" t="s">
        <v>2143</v>
      </c>
      <c r="D2221" s="204">
        <v>1</v>
      </c>
      <c r="E2221" s="204" t="s">
        <v>235</v>
      </c>
      <c r="F2221" s="205">
        <v>2.4706137681624676</v>
      </c>
    </row>
    <row r="2222" spans="1:6">
      <c r="A2222" s="210">
        <v>233116000</v>
      </c>
      <c r="B2222" s="202" t="s">
        <v>1325</v>
      </c>
      <c r="C2222" s="203" t="s">
        <v>2143</v>
      </c>
      <c r="D2222" s="204">
        <v>1</v>
      </c>
      <c r="E2222" s="204" t="s">
        <v>235</v>
      </c>
      <c r="F2222" s="205">
        <v>3.6168789781158486</v>
      </c>
    </row>
    <row r="2223" spans="1:6">
      <c r="A2223" s="210">
        <v>233117000</v>
      </c>
      <c r="B2223" s="202" t="s">
        <v>1326</v>
      </c>
      <c r="C2223" s="203" t="s">
        <v>2143</v>
      </c>
      <c r="D2223" s="204">
        <v>1</v>
      </c>
      <c r="E2223" s="204" t="s">
        <v>235</v>
      </c>
      <c r="F2223" s="205">
        <v>2.5601822248104735</v>
      </c>
    </row>
    <row r="2224" spans="1:6">
      <c r="A2224" s="210">
        <v>233121000</v>
      </c>
      <c r="B2224" s="202" t="s">
        <v>1327</v>
      </c>
      <c r="C2224" s="203" t="s">
        <v>2143</v>
      </c>
      <c r="D2224" s="204">
        <v>1</v>
      </c>
      <c r="E2224" s="204" t="s">
        <v>235</v>
      </c>
      <c r="F2224" s="205">
        <v>1.4064385477579973</v>
      </c>
    </row>
    <row r="2225" spans="1:6">
      <c r="A2225" s="210">
        <v>233122000</v>
      </c>
      <c r="B2225" s="202" t="s">
        <v>1328</v>
      </c>
      <c r="C2225" s="203" t="s">
        <v>2143</v>
      </c>
      <c r="D2225" s="204">
        <v>1</v>
      </c>
      <c r="E2225" s="204" t="s">
        <v>235</v>
      </c>
      <c r="F2225" s="205">
        <v>2.5825926971244151</v>
      </c>
    </row>
    <row r="2226" spans="1:6">
      <c r="A2226" s="210">
        <v>233123000</v>
      </c>
      <c r="B2226" s="202" t="s">
        <v>1329</v>
      </c>
      <c r="C2226" s="203" t="s">
        <v>2143</v>
      </c>
      <c r="D2226" s="204">
        <v>1</v>
      </c>
      <c r="E2226" s="204" t="s">
        <v>235</v>
      </c>
      <c r="F2226" s="205">
        <v>2.5246764026940958</v>
      </c>
    </row>
    <row r="2227" spans="1:6">
      <c r="A2227" s="210">
        <v>233124000</v>
      </c>
      <c r="B2227" s="202" t="s">
        <v>4309</v>
      </c>
      <c r="C2227" s="203" t="s">
        <v>2143</v>
      </c>
      <c r="D2227" s="204">
        <v>1</v>
      </c>
      <c r="E2227" s="204" t="s">
        <v>235</v>
      </c>
      <c r="F2227" s="205">
        <v>1.8369004265129969</v>
      </c>
    </row>
    <row r="2228" spans="1:6">
      <c r="A2228" s="210">
        <v>233125000</v>
      </c>
      <c r="B2228" s="202" t="s">
        <v>1330</v>
      </c>
      <c r="C2228" s="203" t="s">
        <v>2143</v>
      </c>
      <c r="D2228" s="204">
        <v>1</v>
      </c>
      <c r="E2228" s="204" t="s">
        <v>235</v>
      </c>
      <c r="F2228" s="205">
        <v>2.5949102544064662</v>
      </c>
    </row>
    <row r="2229" spans="1:6">
      <c r="A2229" s="210">
        <v>233126000</v>
      </c>
      <c r="B2229" s="202" t="s">
        <v>1331</v>
      </c>
      <c r="C2229" s="203" t="s">
        <v>2143</v>
      </c>
      <c r="D2229" s="204">
        <v>1</v>
      </c>
      <c r="E2229" s="204" t="s">
        <v>235</v>
      </c>
      <c r="F2229" s="205">
        <v>2.5025467542966529</v>
      </c>
    </row>
    <row r="2230" spans="1:6">
      <c r="A2230" s="210">
        <v>233127000</v>
      </c>
      <c r="B2230" s="202" t="s">
        <v>1332</v>
      </c>
      <c r="C2230" s="203" t="s">
        <v>2143</v>
      </c>
      <c r="D2230" s="204">
        <v>1</v>
      </c>
      <c r="E2230" s="204" t="s">
        <v>235</v>
      </c>
      <c r="F2230" s="205">
        <v>2.6919481766506665</v>
      </c>
    </row>
    <row r="2231" spans="1:6">
      <c r="A2231" s="210">
        <v>234100000</v>
      </c>
      <c r="B2231" s="202" t="s">
        <v>4314</v>
      </c>
      <c r="C2231" s="203" t="s">
        <v>2143</v>
      </c>
      <c r="D2231" s="204">
        <v>1</v>
      </c>
      <c r="E2231" s="204" t="s">
        <v>235</v>
      </c>
      <c r="F2231" s="205">
        <v>4.3580291146622532</v>
      </c>
    </row>
    <row r="2232" spans="1:6">
      <c r="A2232" s="210">
        <v>234111000</v>
      </c>
      <c r="B2232" s="202" t="s">
        <v>1333</v>
      </c>
      <c r="C2232" s="203" t="s">
        <v>2143</v>
      </c>
      <c r="D2232" s="204">
        <v>1</v>
      </c>
      <c r="E2232" s="204" t="s">
        <v>235</v>
      </c>
      <c r="F2232" s="205">
        <v>4.6705988873900903</v>
      </c>
    </row>
    <row r="2233" spans="1:6">
      <c r="A2233" s="210">
        <v>234112000</v>
      </c>
      <c r="B2233" s="202" t="s">
        <v>1334</v>
      </c>
      <c r="C2233" s="203" t="s">
        <v>2143</v>
      </c>
      <c r="D2233" s="204">
        <v>1</v>
      </c>
      <c r="E2233" s="204" t="s">
        <v>235</v>
      </c>
      <c r="F2233" s="205">
        <v>4.4210519634830341</v>
      </c>
    </row>
    <row r="2234" spans="1:6">
      <c r="A2234" s="210">
        <v>234113000</v>
      </c>
      <c r="B2234" s="202" t="s">
        <v>1335</v>
      </c>
      <c r="C2234" s="203" t="s">
        <v>2143</v>
      </c>
      <c r="D2234" s="204">
        <v>1</v>
      </c>
      <c r="E2234" s="204" t="s">
        <v>235</v>
      </c>
      <c r="F2234" s="205">
        <v>4.4514743915721375</v>
      </c>
    </row>
    <row r="2235" spans="1:6">
      <c r="A2235" s="210">
        <v>234114000</v>
      </c>
      <c r="B2235" s="202" t="s">
        <v>1336</v>
      </c>
      <c r="C2235" s="203" t="s">
        <v>2143</v>
      </c>
      <c r="D2235" s="204">
        <v>1</v>
      </c>
      <c r="E2235" s="204" t="s">
        <v>235</v>
      </c>
      <c r="F2235" s="205">
        <v>4.6199245531812689</v>
      </c>
    </row>
    <row r="2236" spans="1:6">
      <c r="A2236" s="210">
        <v>234115000</v>
      </c>
      <c r="B2236" s="202" t="s">
        <v>1337</v>
      </c>
      <c r="C2236" s="203" t="s">
        <v>2143</v>
      </c>
      <c r="D2236" s="204">
        <v>1</v>
      </c>
      <c r="E2236" s="204" t="s">
        <v>235</v>
      </c>
      <c r="F2236" s="205">
        <v>4.2681453146476738</v>
      </c>
    </row>
    <row r="2237" spans="1:6">
      <c r="A2237" s="210">
        <v>234115101</v>
      </c>
      <c r="B2237" s="202" t="s">
        <v>1338</v>
      </c>
      <c r="C2237" s="203" t="s">
        <v>2143</v>
      </c>
      <c r="D2237" s="204">
        <v>1</v>
      </c>
      <c r="E2237" s="204" t="s">
        <v>235</v>
      </c>
      <c r="F2237" s="205">
        <v>4.6831259259990947</v>
      </c>
    </row>
    <row r="2238" spans="1:6">
      <c r="A2238" s="210">
        <v>234115102</v>
      </c>
      <c r="B2238" s="202" t="s">
        <v>1339</v>
      </c>
      <c r="C2238" s="203" t="s">
        <v>2143</v>
      </c>
      <c r="D2238" s="204">
        <v>1</v>
      </c>
      <c r="E2238" s="204" t="s">
        <v>235</v>
      </c>
      <c r="F2238" s="205">
        <v>3.8703198016887308</v>
      </c>
    </row>
    <row r="2239" spans="1:6">
      <c r="A2239" s="210">
        <v>234116000</v>
      </c>
      <c r="B2239" s="202" t="s">
        <v>1340</v>
      </c>
      <c r="C2239" s="203" t="s">
        <v>2143</v>
      </c>
      <c r="D2239" s="204">
        <v>1</v>
      </c>
      <c r="E2239" s="204" t="s">
        <v>235</v>
      </c>
      <c r="F2239" s="205">
        <v>4.4421462074708549</v>
      </c>
    </row>
    <row r="2240" spans="1:6">
      <c r="A2240" s="210">
        <v>234116101</v>
      </c>
      <c r="B2240" s="202" t="s">
        <v>1341</v>
      </c>
      <c r="C2240" s="203" t="s">
        <v>2143</v>
      </c>
      <c r="D2240" s="204">
        <v>1</v>
      </c>
      <c r="E2240" s="204" t="s">
        <v>235</v>
      </c>
      <c r="F2240" s="205">
        <v>4.6952344102104888</v>
      </c>
    </row>
    <row r="2241" spans="1:6">
      <c r="A2241" s="210">
        <v>234116102</v>
      </c>
      <c r="B2241" s="202" t="s">
        <v>1342</v>
      </c>
      <c r="C2241" s="203" t="s">
        <v>2143</v>
      </c>
      <c r="D2241" s="204">
        <v>1</v>
      </c>
      <c r="E2241" s="204" t="s">
        <v>235</v>
      </c>
      <c r="F2241" s="205">
        <v>4.1557281785847735</v>
      </c>
    </row>
    <row r="2242" spans="1:6">
      <c r="A2242" s="210">
        <v>234117000</v>
      </c>
      <c r="B2242" s="202" t="s">
        <v>1343</v>
      </c>
      <c r="C2242" s="203" t="s">
        <v>2143</v>
      </c>
      <c r="D2242" s="204">
        <v>1</v>
      </c>
      <c r="E2242" s="204" t="s">
        <v>235</v>
      </c>
      <c r="F2242" s="205">
        <v>4.2493809040692501</v>
      </c>
    </row>
    <row r="2243" spans="1:6">
      <c r="A2243" s="210">
        <v>235100000</v>
      </c>
      <c r="B2243" s="202" t="s">
        <v>4323</v>
      </c>
      <c r="C2243" s="203" t="s">
        <v>2143</v>
      </c>
      <c r="D2243" s="204">
        <v>1</v>
      </c>
      <c r="E2243" s="204" t="s">
        <v>235</v>
      </c>
      <c r="F2243" s="205">
        <v>1.7743220534659125</v>
      </c>
    </row>
    <row r="2244" spans="1:6">
      <c r="A2244" s="210">
        <v>235111000</v>
      </c>
      <c r="B2244" s="202" t="s">
        <v>1344</v>
      </c>
      <c r="C2244" s="203" t="s">
        <v>2143</v>
      </c>
      <c r="D2244" s="204">
        <v>1</v>
      </c>
      <c r="E2244" s="204" t="s">
        <v>235</v>
      </c>
      <c r="F2244" s="205">
        <v>1.7605642285827425</v>
      </c>
    </row>
    <row r="2245" spans="1:6">
      <c r="A2245" s="210">
        <v>235119000</v>
      </c>
      <c r="B2245" s="202" t="s">
        <v>1345</v>
      </c>
      <c r="C2245" s="203" t="s">
        <v>2143</v>
      </c>
      <c r="D2245" s="204">
        <v>1</v>
      </c>
      <c r="E2245" s="204" t="s">
        <v>235</v>
      </c>
      <c r="F2245" s="205">
        <v>2.0866879771904738</v>
      </c>
    </row>
    <row r="2246" spans="1:6">
      <c r="A2246" s="210">
        <v>235200000</v>
      </c>
      <c r="B2246" s="202" t="s">
        <v>4327</v>
      </c>
      <c r="C2246" s="203" t="s">
        <v>2143</v>
      </c>
      <c r="D2246" s="204">
        <v>1</v>
      </c>
      <c r="E2246" s="204" t="s">
        <v>235</v>
      </c>
      <c r="F2246" s="205">
        <v>2.4151820138459774</v>
      </c>
    </row>
    <row r="2247" spans="1:6">
      <c r="A2247" s="210">
        <v>235211000</v>
      </c>
      <c r="B2247" s="202" t="s">
        <v>1346</v>
      </c>
      <c r="C2247" s="203" t="s">
        <v>2143</v>
      </c>
      <c r="D2247" s="204">
        <v>1</v>
      </c>
      <c r="E2247" s="204" t="s">
        <v>235</v>
      </c>
      <c r="F2247" s="205">
        <v>1.7964361647593203</v>
      </c>
    </row>
    <row r="2248" spans="1:6">
      <c r="A2248" s="210">
        <v>235212000</v>
      </c>
      <c r="B2248" s="202" t="s">
        <v>4330</v>
      </c>
      <c r="C2248" s="203" t="s">
        <v>2143</v>
      </c>
      <c r="D2248" s="204">
        <v>1</v>
      </c>
      <c r="E2248" s="204" t="s">
        <v>235</v>
      </c>
      <c r="F2248" s="205">
        <v>2.4151820138459774</v>
      </c>
    </row>
    <row r="2249" spans="1:6">
      <c r="A2249" s="210">
        <v>235219000</v>
      </c>
      <c r="B2249" s="202" t="s">
        <v>1347</v>
      </c>
      <c r="C2249" s="203" t="s">
        <v>2143</v>
      </c>
      <c r="D2249" s="204">
        <v>1</v>
      </c>
      <c r="E2249" s="204" t="s">
        <v>235</v>
      </c>
      <c r="F2249" s="205">
        <v>1.5467351405709544</v>
      </c>
    </row>
    <row r="2250" spans="1:6">
      <c r="A2250" s="210">
        <v>235300000</v>
      </c>
      <c r="B2250" s="202" t="s">
        <v>4333</v>
      </c>
      <c r="C2250" s="203" t="s">
        <v>2143</v>
      </c>
      <c r="D2250" s="204">
        <v>1</v>
      </c>
      <c r="E2250" s="204" t="s">
        <v>235</v>
      </c>
      <c r="F2250" s="205">
        <v>2.4663230952764881</v>
      </c>
    </row>
    <row r="2251" spans="1:6">
      <c r="A2251" s="210">
        <v>235311000</v>
      </c>
      <c r="B2251" s="202" t="s">
        <v>4335</v>
      </c>
      <c r="C2251" s="203" t="s">
        <v>2143</v>
      </c>
      <c r="D2251" s="204">
        <v>1</v>
      </c>
      <c r="E2251" s="204" t="s">
        <v>235</v>
      </c>
      <c r="F2251" s="205">
        <v>1.9073468937666644</v>
      </c>
    </row>
    <row r="2252" spans="1:6">
      <c r="A2252" s="210">
        <v>235312000</v>
      </c>
      <c r="B2252" s="202" t="s">
        <v>4337</v>
      </c>
      <c r="C2252" s="203" t="s">
        <v>2143</v>
      </c>
      <c r="D2252" s="204">
        <v>1</v>
      </c>
      <c r="E2252" s="204" t="s">
        <v>235</v>
      </c>
      <c r="F2252" s="205">
        <v>3.188873130751011</v>
      </c>
    </row>
    <row r="2253" spans="1:6">
      <c r="A2253" s="210">
        <v>235400000</v>
      </c>
      <c r="B2253" s="202" t="s">
        <v>4339</v>
      </c>
      <c r="C2253" s="203" t="s">
        <v>2143</v>
      </c>
      <c r="D2253" s="204">
        <v>1</v>
      </c>
      <c r="E2253" s="204" t="s">
        <v>235</v>
      </c>
      <c r="F2253" s="205">
        <v>1.3520349675647763</v>
      </c>
    </row>
    <row r="2254" spans="1:6">
      <c r="A2254" s="210">
        <v>235411000</v>
      </c>
      <c r="B2254" s="202" t="s">
        <v>4341</v>
      </c>
      <c r="C2254" s="203" t="s">
        <v>2143</v>
      </c>
      <c r="D2254" s="204">
        <v>1</v>
      </c>
      <c r="E2254" s="204" t="s">
        <v>235</v>
      </c>
      <c r="F2254" s="205">
        <v>1.3520349675647763</v>
      </c>
    </row>
    <row r="2255" spans="1:6">
      <c r="A2255" s="210">
        <v>235500000</v>
      </c>
      <c r="B2255" s="202" t="s">
        <v>4343</v>
      </c>
      <c r="C2255" s="203" t="s">
        <v>2143</v>
      </c>
      <c r="D2255" s="204">
        <v>1</v>
      </c>
      <c r="E2255" s="204" t="s">
        <v>235</v>
      </c>
      <c r="F2255" s="205">
        <v>3.8796989385661682</v>
      </c>
    </row>
    <row r="2256" spans="1:6">
      <c r="A2256" s="210">
        <v>235511000</v>
      </c>
      <c r="B2256" s="202" t="s">
        <v>4345</v>
      </c>
      <c r="C2256" s="203" t="s">
        <v>2143</v>
      </c>
      <c r="D2256" s="204">
        <v>1</v>
      </c>
      <c r="E2256" s="204" t="s">
        <v>235</v>
      </c>
      <c r="F2256" s="205">
        <v>2.0210424854655717</v>
      </c>
    </row>
    <row r="2257" spans="1:6">
      <c r="A2257" s="210">
        <v>235512000</v>
      </c>
      <c r="B2257" s="202" t="s">
        <v>4347</v>
      </c>
      <c r="C2257" s="203" t="s">
        <v>2143</v>
      </c>
      <c r="D2257" s="204">
        <v>1</v>
      </c>
      <c r="E2257" s="204" t="s">
        <v>235</v>
      </c>
      <c r="F2257" s="205">
        <v>4.5192819911196516</v>
      </c>
    </row>
    <row r="2258" spans="1:6">
      <c r="A2258" s="210">
        <v>239100000</v>
      </c>
      <c r="B2258" s="202" t="s">
        <v>6102</v>
      </c>
      <c r="C2258" s="203" t="s">
        <v>2143</v>
      </c>
      <c r="D2258" s="204">
        <v>1</v>
      </c>
      <c r="E2258" s="204" t="s">
        <v>2013</v>
      </c>
      <c r="F2258" s="205">
        <v>3.2661396525409683E-2</v>
      </c>
    </row>
    <row r="2259" spans="1:6">
      <c r="A2259" s="210">
        <v>239111000</v>
      </c>
      <c r="B2259" s="202" t="s">
        <v>6103</v>
      </c>
      <c r="C2259" s="203" t="s">
        <v>2143</v>
      </c>
      <c r="D2259" s="204">
        <v>1</v>
      </c>
      <c r="E2259" s="204" t="s">
        <v>2013</v>
      </c>
      <c r="F2259" s="205">
        <v>3.2661396525409683E-2</v>
      </c>
    </row>
    <row r="2260" spans="1:6">
      <c r="A2260" s="210">
        <v>239111700</v>
      </c>
      <c r="B2260" s="202" t="s">
        <v>1348</v>
      </c>
      <c r="C2260" s="203" t="s">
        <v>2143</v>
      </c>
      <c r="D2260" s="204">
        <v>1</v>
      </c>
      <c r="E2260" s="204" t="s">
        <v>2013</v>
      </c>
      <c r="F2260" s="205">
        <v>2.651918259007566E-4</v>
      </c>
    </row>
    <row r="2261" spans="1:6">
      <c r="A2261" s="210">
        <v>239211700</v>
      </c>
      <c r="B2261" s="202" t="s">
        <v>1349</v>
      </c>
      <c r="C2261" s="203" t="s">
        <v>2143</v>
      </c>
      <c r="D2261" s="204">
        <v>1</v>
      </c>
      <c r="E2261" s="204" t="s">
        <v>2013</v>
      </c>
      <c r="F2261" s="205">
        <v>1.9798802392908548E-3</v>
      </c>
    </row>
    <row r="2262" spans="1:6">
      <c r="A2262" s="210">
        <v>239300000</v>
      </c>
      <c r="B2262" s="202" t="s">
        <v>4350</v>
      </c>
      <c r="C2262" s="203" t="s">
        <v>2143</v>
      </c>
      <c r="D2262" s="204">
        <v>1</v>
      </c>
      <c r="E2262" s="204" t="s">
        <v>235</v>
      </c>
      <c r="F2262" s="205">
        <v>1.7007851549088531</v>
      </c>
    </row>
    <row r="2263" spans="1:6">
      <c r="A2263" s="210">
        <v>239311000</v>
      </c>
      <c r="B2263" s="202" t="s">
        <v>1350</v>
      </c>
      <c r="C2263" s="203" t="s">
        <v>2143</v>
      </c>
      <c r="D2263" s="204">
        <v>1</v>
      </c>
      <c r="E2263" s="204" t="s">
        <v>235</v>
      </c>
      <c r="F2263" s="205">
        <v>1.7007851549088531</v>
      </c>
    </row>
    <row r="2264" spans="1:6">
      <c r="A2264" s="210">
        <v>239900000</v>
      </c>
      <c r="B2264" s="202" t="s">
        <v>6104</v>
      </c>
      <c r="C2264" s="203" t="s">
        <v>2143</v>
      </c>
      <c r="D2264" s="204">
        <v>1</v>
      </c>
      <c r="E2264" s="204" t="s">
        <v>2013</v>
      </c>
      <c r="F2264" s="205">
        <v>2.4525868595597841E-2</v>
      </c>
    </row>
    <row r="2265" spans="1:6">
      <c r="A2265" s="210">
        <v>239911000</v>
      </c>
      <c r="B2265" s="202" t="s">
        <v>4353</v>
      </c>
      <c r="C2265" s="203" t="s">
        <v>2143</v>
      </c>
      <c r="D2265" s="204">
        <v>1</v>
      </c>
      <c r="E2265" s="204" t="s">
        <v>235</v>
      </c>
      <c r="F2265" s="205">
        <v>4.5391303024530458</v>
      </c>
    </row>
    <row r="2266" spans="1:6">
      <c r="A2266" s="210">
        <v>239919000</v>
      </c>
      <c r="B2266" s="202" t="s">
        <v>1351</v>
      </c>
      <c r="C2266" s="203" t="s">
        <v>2143</v>
      </c>
      <c r="D2266" s="204">
        <v>1</v>
      </c>
      <c r="E2266" s="204" t="s">
        <v>2013</v>
      </c>
      <c r="F2266" s="205">
        <v>2.4545375758542327E-2</v>
      </c>
    </row>
    <row r="2267" spans="1:6">
      <c r="A2267" s="210">
        <v>239919200</v>
      </c>
      <c r="B2267" s="202" t="s">
        <v>1352</v>
      </c>
      <c r="C2267" s="203" t="s">
        <v>2143</v>
      </c>
      <c r="D2267" s="204">
        <v>1</v>
      </c>
      <c r="E2267" s="204" t="s">
        <v>235</v>
      </c>
      <c r="F2267" s="205">
        <v>3.1615915623819357</v>
      </c>
    </row>
    <row r="2268" spans="1:6">
      <c r="A2268" s="210">
        <v>240000640</v>
      </c>
      <c r="B2268" s="202" t="s">
        <v>6105</v>
      </c>
      <c r="C2268" s="203" t="s">
        <v>5553</v>
      </c>
      <c r="D2268" s="204">
        <v>1</v>
      </c>
      <c r="E2268" s="204" t="s">
        <v>235</v>
      </c>
      <c r="F2268" s="205">
        <v>0</v>
      </c>
    </row>
    <row r="2269" spans="1:6">
      <c r="A2269" s="210">
        <v>240000641</v>
      </c>
      <c r="B2269" s="202" t="s">
        <v>6106</v>
      </c>
      <c r="C2269" s="203" t="s">
        <v>5553</v>
      </c>
      <c r="D2269" s="204">
        <v>1</v>
      </c>
      <c r="E2269" s="204" t="s">
        <v>235</v>
      </c>
      <c r="F2269" s="205">
        <v>0</v>
      </c>
    </row>
    <row r="2270" spans="1:6">
      <c r="A2270" s="210">
        <v>240000642</v>
      </c>
      <c r="B2270" s="202" t="s">
        <v>6107</v>
      </c>
      <c r="C2270" s="203" t="s">
        <v>5553</v>
      </c>
      <c r="D2270" s="204">
        <v>1</v>
      </c>
      <c r="E2270" s="204" t="s">
        <v>235</v>
      </c>
      <c r="F2270" s="205">
        <v>0</v>
      </c>
    </row>
    <row r="2271" spans="1:6">
      <c r="A2271" s="210">
        <v>240000649</v>
      </c>
      <c r="B2271" s="202" t="s">
        <v>6108</v>
      </c>
      <c r="C2271" s="203" t="s">
        <v>5553</v>
      </c>
      <c r="D2271" s="204">
        <v>1</v>
      </c>
      <c r="E2271" s="204" t="s">
        <v>235</v>
      </c>
      <c r="F2271" s="205">
        <v>0</v>
      </c>
    </row>
    <row r="2272" spans="1:6">
      <c r="A2272" s="210">
        <v>240000941</v>
      </c>
      <c r="B2272" s="202" t="s">
        <v>6109</v>
      </c>
      <c r="C2272" s="203" t="s">
        <v>5553</v>
      </c>
      <c r="D2272" s="204">
        <v>1</v>
      </c>
      <c r="E2272" s="204" t="s">
        <v>235</v>
      </c>
      <c r="F2272" s="205">
        <v>0</v>
      </c>
    </row>
    <row r="2273" spans="1:6">
      <c r="A2273" s="210">
        <v>240000942</v>
      </c>
      <c r="B2273" s="202" t="s">
        <v>6110</v>
      </c>
      <c r="C2273" s="203" t="s">
        <v>5553</v>
      </c>
      <c r="D2273" s="204">
        <v>1</v>
      </c>
      <c r="E2273" s="204" t="s">
        <v>235</v>
      </c>
      <c r="F2273" s="205">
        <v>0</v>
      </c>
    </row>
    <row r="2274" spans="1:6">
      <c r="A2274" s="210">
        <v>240000949</v>
      </c>
      <c r="B2274" s="202" t="s">
        <v>6111</v>
      </c>
      <c r="C2274" s="203" t="s">
        <v>5553</v>
      </c>
      <c r="D2274" s="204">
        <v>1</v>
      </c>
      <c r="E2274" s="204" t="s">
        <v>235</v>
      </c>
      <c r="F2274" s="205">
        <v>0</v>
      </c>
    </row>
    <row r="2275" spans="1:6">
      <c r="A2275" s="210">
        <v>240070101</v>
      </c>
      <c r="B2275" s="202" t="s">
        <v>6112</v>
      </c>
      <c r="C2275" s="203" t="s">
        <v>2143</v>
      </c>
      <c r="D2275" s="204">
        <v>1</v>
      </c>
      <c r="E2275" s="204" t="s">
        <v>235</v>
      </c>
      <c r="F2275" s="205">
        <v>0.27557992172426743</v>
      </c>
    </row>
    <row r="2276" spans="1:6">
      <c r="A2276" s="210">
        <v>240070102</v>
      </c>
      <c r="B2276" s="202" t="s">
        <v>6113</v>
      </c>
      <c r="C2276" s="203" t="s">
        <v>2143</v>
      </c>
      <c r="D2276" s="204">
        <v>1</v>
      </c>
      <c r="E2276" s="204" t="s">
        <v>235</v>
      </c>
      <c r="F2276" s="205">
        <v>0.20759673436570877</v>
      </c>
    </row>
    <row r="2277" spans="1:6">
      <c r="A2277" s="210">
        <v>241100000</v>
      </c>
      <c r="B2277" s="202" t="s">
        <v>4356</v>
      </c>
      <c r="C2277" s="203" t="s">
        <v>2143</v>
      </c>
      <c r="D2277" s="204">
        <v>1</v>
      </c>
      <c r="E2277" s="204" t="s">
        <v>235</v>
      </c>
      <c r="F2277" s="205">
        <v>2.9153503622522701</v>
      </c>
    </row>
    <row r="2278" spans="1:6">
      <c r="A2278" s="210">
        <v>241111000</v>
      </c>
      <c r="B2278" s="202" t="s">
        <v>1353</v>
      </c>
      <c r="C2278" s="203" t="s">
        <v>2143</v>
      </c>
      <c r="D2278" s="204">
        <v>1</v>
      </c>
      <c r="E2278" s="204" t="s">
        <v>235</v>
      </c>
      <c r="F2278" s="205">
        <v>2.5907747172754485</v>
      </c>
    </row>
    <row r="2279" spans="1:6">
      <c r="A2279" s="210">
        <v>241112000</v>
      </c>
      <c r="B2279" s="202" t="s">
        <v>4359</v>
      </c>
      <c r="C2279" s="203" t="s">
        <v>2143</v>
      </c>
      <c r="D2279" s="204">
        <v>1</v>
      </c>
      <c r="E2279" s="204" t="s">
        <v>235</v>
      </c>
      <c r="F2279" s="205">
        <v>3.318830380544473</v>
      </c>
    </row>
    <row r="2280" spans="1:6">
      <c r="A2280" s="210">
        <v>241112310</v>
      </c>
      <c r="B2280" s="202" t="s">
        <v>4361</v>
      </c>
      <c r="C2280" s="203" t="s">
        <v>2143</v>
      </c>
      <c r="D2280" s="204">
        <v>1</v>
      </c>
      <c r="E2280" s="204" t="s">
        <v>235</v>
      </c>
      <c r="F2280" s="205">
        <v>3.3188303795804086</v>
      </c>
    </row>
    <row r="2281" spans="1:6">
      <c r="A2281" s="210">
        <v>241113901</v>
      </c>
      <c r="B2281" s="202" t="s">
        <v>6114</v>
      </c>
      <c r="C2281" s="203" t="s">
        <v>5553</v>
      </c>
      <c r="D2281" s="204">
        <v>1</v>
      </c>
      <c r="E2281" s="204" t="s">
        <v>235</v>
      </c>
      <c r="F2281" s="205">
        <v>0</v>
      </c>
    </row>
    <row r="2282" spans="1:6">
      <c r="A2282" s="210">
        <v>241200000</v>
      </c>
      <c r="B2282" s="202" t="s">
        <v>4363</v>
      </c>
      <c r="C2282" s="203" t="s">
        <v>2143</v>
      </c>
      <c r="D2282" s="204">
        <v>1</v>
      </c>
      <c r="E2282" s="204" t="s">
        <v>235</v>
      </c>
      <c r="F2282" s="205">
        <v>6.0954320135977511</v>
      </c>
    </row>
    <row r="2283" spans="1:6">
      <c r="A2283" s="210">
        <v>241200100</v>
      </c>
      <c r="B2283" s="202" t="s">
        <v>6115</v>
      </c>
      <c r="C2283" s="203" t="s">
        <v>2143</v>
      </c>
      <c r="D2283" s="204">
        <v>1</v>
      </c>
      <c r="E2283" s="204" t="s">
        <v>235</v>
      </c>
      <c r="F2283" s="205">
        <v>0.27557992172426743</v>
      </c>
    </row>
    <row r="2284" spans="1:6">
      <c r="A2284" s="210">
        <v>241200101</v>
      </c>
      <c r="B2284" s="202" t="s">
        <v>6116</v>
      </c>
      <c r="C2284" s="203" t="s">
        <v>2143</v>
      </c>
      <c r="D2284" s="204">
        <v>1</v>
      </c>
      <c r="E2284" s="204" t="s">
        <v>235</v>
      </c>
      <c r="F2284" s="205">
        <v>0.20759673436570877</v>
      </c>
    </row>
    <row r="2285" spans="1:6">
      <c r="A2285" s="210">
        <v>241200110</v>
      </c>
      <c r="B2285" s="202" t="s">
        <v>1354</v>
      </c>
      <c r="C2285" s="203" t="s">
        <v>2143</v>
      </c>
      <c r="D2285" s="204">
        <v>1</v>
      </c>
      <c r="E2285" s="204" t="s">
        <v>235</v>
      </c>
      <c r="F2285" s="205">
        <v>0.37860511332006558</v>
      </c>
    </row>
    <row r="2286" spans="1:6">
      <c r="A2286" s="210">
        <v>241200111</v>
      </c>
      <c r="B2286" s="202" t="s">
        <v>1355</v>
      </c>
      <c r="C2286" s="203" t="s">
        <v>2143</v>
      </c>
      <c r="D2286" s="204">
        <v>1</v>
      </c>
      <c r="E2286" s="204" t="s">
        <v>235</v>
      </c>
      <c r="F2286" s="205">
        <v>0.32864087975660783</v>
      </c>
    </row>
    <row r="2287" spans="1:6">
      <c r="A2287" s="210">
        <v>241200640</v>
      </c>
      <c r="B2287" s="202" t="s">
        <v>6117</v>
      </c>
      <c r="C2287" s="203" t="s">
        <v>5553</v>
      </c>
      <c r="D2287" s="204">
        <v>1</v>
      </c>
      <c r="E2287" s="204" t="s">
        <v>235</v>
      </c>
      <c r="F2287" s="205">
        <v>0</v>
      </c>
    </row>
    <row r="2288" spans="1:6">
      <c r="A2288" s="210">
        <v>241211000</v>
      </c>
      <c r="B2288" s="202" t="s">
        <v>4365</v>
      </c>
      <c r="C2288" s="203" t="s">
        <v>2143</v>
      </c>
      <c r="D2288" s="204">
        <v>1</v>
      </c>
      <c r="E2288" s="204" t="s">
        <v>235</v>
      </c>
      <c r="F2288" s="205">
        <v>6.0954320135977511</v>
      </c>
    </row>
    <row r="2289" spans="1:6">
      <c r="A2289" s="210">
        <v>241211101</v>
      </c>
      <c r="B2289" s="202" t="s">
        <v>1356</v>
      </c>
      <c r="C2289" s="203" t="s">
        <v>2143</v>
      </c>
      <c r="D2289" s="204">
        <v>1</v>
      </c>
      <c r="E2289" s="204" t="s">
        <v>235</v>
      </c>
      <c r="F2289" s="205">
        <v>3.6555577901971512</v>
      </c>
    </row>
    <row r="2290" spans="1:6">
      <c r="A2290" s="210">
        <v>241211102</v>
      </c>
      <c r="B2290" s="202" t="s">
        <v>1357</v>
      </c>
      <c r="C2290" s="203" t="s">
        <v>2143</v>
      </c>
      <c r="D2290" s="204">
        <v>1</v>
      </c>
      <c r="E2290" s="204" t="s">
        <v>235</v>
      </c>
      <c r="F2290" s="205">
        <v>4.5540287938743029</v>
      </c>
    </row>
    <row r="2291" spans="1:6">
      <c r="A2291" s="210">
        <v>241211103</v>
      </c>
      <c r="B2291" s="202" t="s">
        <v>1358</v>
      </c>
      <c r="C2291" s="203" t="s">
        <v>2143</v>
      </c>
      <c r="D2291" s="204">
        <v>1</v>
      </c>
      <c r="E2291" s="204" t="s">
        <v>235</v>
      </c>
      <c r="F2291" s="205">
        <v>3.0290787543763953</v>
      </c>
    </row>
    <row r="2292" spans="1:6">
      <c r="A2292" s="210">
        <v>241211220</v>
      </c>
      <c r="B2292" s="202" t="s">
        <v>4367</v>
      </c>
      <c r="C2292" s="203" t="s">
        <v>2143</v>
      </c>
      <c r="D2292" s="204">
        <v>1</v>
      </c>
      <c r="E2292" s="204" t="s">
        <v>235</v>
      </c>
      <c r="F2292" s="205">
        <v>43293.230331113758</v>
      </c>
    </row>
    <row r="2293" spans="1:6">
      <c r="A2293" s="210">
        <v>241211230</v>
      </c>
      <c r="B2293" s="202" t="s">
        <v>4369</v>
      </c>
      <c r="C2293" s="203" t="s">
        <v>2143</v>
      </c>
      <c r="D2293" s="204">
        <v>1</v>
      </c>
      <c r="E2293" s="204" t="s">
        <v>235</v>
      </c>
      <c r="F2293" s="205">
        <v>757.44790338684322</v>
      </c>
    </row>
    <row r="2294" spans="1:6">
      <c r="A2294" s="210">
        <v>241300000</v>
      </c>
      <c r="B2294" s="202" t="s">
        <v>4371</v>
      </c>
      <c r="C2294" s="203" t="s">
        <v>2143</v>
      </c>
      <c r="D2294" s="204">
        <v>1</v>
      </c>
      <c r="E2294" s="204" t="s">
        <v>235</v>
      </c>
      <c r="F2294" s="205">
        <v>8.238570062756466</v>
      </c>
    </row>
    <row r="2295" spans="1:6">
      <c r="A2295" s="210">
        <v>241311000</v>
      </c>
      <c r="B2295" s="202" t="s">
        <v>1359</v>
      </c>
      <c r="C2295" s="203" t="s">
        <v>2143</v>
      </c>
      <c r="D2295" s="204">
        <v>1</v>
      </c>
      <c r="E2295" s="204" t="s">
        <v>235</v>
      </c>
      <c r="F2295" s="205">
        <v>1.8657611089648571</v>
      </c>
    </row>
    <row r="2296" spans="1:6">
      <c r="A2296" s="210">
        <v>241312000</v>
      </c>
      <c r="B2296" s="202" t="s">
        <v>1360</v>
      </c>
      <c r="C2296" s="203" t="s">
        <v>2143</v>
      </c>
      <c r="D2296" s="204">
        <v>1</v>
      </c>
      <c r="E2296" s="204" t="s">
        <v>235</v>
      </c>
      <c r="F2296" s="205">
        <v>1.3473025204237923</v>
      </c>
    </row>
    <row r="2297" spans="1:6">
      <c r="A2297" s="210">
        <v>241313000</v>
      </c>
      <c r="B2297" s="202" t="s">
        <v>1361</v>
      </c>
      <c r="C2297" s="203" t="s">
        <v>2143</v>
      </c>
      <c r="D2297" s="204">
        <v>1</v>
      </c>
      <c r="E2297" s="204" t="s">
        <v>235</v>
      </c>
      <c r="F2297" s="205">
        <v>10.242067711768698</v>
      </c>
    </row>
    <row r="2298" spans="1:6">
      <c r="A2298" s="210">
        <v>241313200</v>
      </c>
      <c r="B2298" s="202" t="s">
        <v>6118</v>
      </c>
      <c r="C2298" s="203" t="s">
        <v>2143</v>
      </c>
      <c r="D2298" s="204">
        <v>1</v>
      </c>
      <c r="E2298" s="204" t="s">
        <v>235</v>
      </c>
      <c r="F2298" s="205">
        <v>9.9093368858653808</v>
      </c>
    </row>
    <row r="2299" spans="1:6">
      <c r="A2299" s="210">
        <v>241313201</v>
      </c>
      <c r="B2299" s="202" t="s">
        <v>1362</v>
      </c>
      <c r="C2299" s="203" t="s">
        <v>2143</v>
      </c>
      <c r="D2299" s="204">
        <v>1</v>
      </c>
      <c r="E2299" s="204" t="s">
        <v>235</v>
      </c>
      <c r="F2299" s="205">
        <v>14.717158686130507</v>
      </c>
    </row>
    <row r="2300" spans="1:6">
      <c r="A2300" s="210">
        <v>241900000</v>
      </c>
      <c r="B2300" s="202" t="s">
        <v>4377</v>
      </c>
      <c r="C2300" s="203" t="s">
        <v>2143</v>
      </c>
      <c r="D2300" s="204">
        <v>1</v>
      </c>
      <c r="E2300" s="204" t="s">
        <v>2013</v>
      </c>
      <c r="F2300" s="205">
        <v>4.3593242289378577E-3</v>
      </c>
    </row>
    <row r="2301" spans="1:6">
      <c r="A2301" s="210">
        <v>241900641</v>
      </c>
      <c r="B2301" s="202" t="s">
        <v>6119</v>
      </c>
      <c r="C2301" s="203" t="s">
        <v>5553</v>
      </c>
      <c r="D2301" s="204">
        <v>1</v>
      </c>
      <c r="E2301" s="204" t="s">
        <v>235</v>
      </c>
      <c r="F2301" s="205">
        <v>0</v>
      </c>
    </row>
    <row r="2302" spans="1:6">
      <c r="A2302" s="210">
        <v>241911000</v>
      </c>
      <c r="B2302" s="202" t="s">
        <v>4379</v>
      </c>
      <c r="C2302" s="203" t="s">
        <v>2143</v>
      </c>
      <c r="D2302" s="204">
        <v>1</v>
      </c>
      <c r="E2302" s="204" t="s">
        <v>235</v>
      </c>
      <c r="F2302" s="205">
        <v>0.64996734429131975</v>
      </c>
    </row>
    <row r="2303" spans="1:6">
      <c r="A2303" s="210">
        <v>241911100</v>
      </c>
      <c r="B2303" s="202" t="s">
        <v>6120</v>
      </c>
      <c r="C2303" s="203" t="s">
        <v>2143</v>
      </c>
      <c r="D2303" s="204">
        <v>1</v>
      </c>
      <c r="E2303" s="204" t="s">
        <v>235</v>
      </c>
      <c r="F2303" s="205">
        <v>0.2364849284133661</v>
      </c>
    </row>
    <row r="2304" spans="1:6">
      <c r="A2304" s="210">
        <v>241911101</v>
      </c>
      <c r="B2304" s="202" t="s">
        <v>1363</v>
      </c>
      <c r="C2304" s="203" t="s">
        <v>2143</v>
      </c>
      <c r="D2304" s="204">
        <v>1</v>
      </c>
      <c r="E2304" s="204" t="s">
        <v>235</v>
      </c>
      <c r="F2304" s="205">
        <v>2.092053978909536</v>
      </c>
    </row>
    <row r="2305" spans="1:6">
      <c r="A2305" s="210">
        <v>241911102</v>
      </c>
      <c r="B2305" s="202" t="s">
        <v>1364</v>
      </c>
      <c r="C2305" s="203" t="s">
        <v>2143</v>
      </c>
      <c r="D2305" s="204">
        <v>1</v>
      </c>
      <c r="E2305" s="204" t="s">
        <v>235</v>
      </c>
      <c r="F2305" s="205">
        <v>2.3395901690544667</v>
      </c>
    </row>
    <row r="2306" spans="1:6">
      <c r="A2306" s="210">
        <v>241911110</v>
      </c>
      <c r="B2306" s="202" t="s">
        <v>1365</v>
      </c>
      <c r="C2306" s="203" t="s">
        <v>2143</v>
      </c>
      <c r="D2306" s="204">
        <v>1</v>
      </c>
      <c r="E2306" s="204" t="s">
        <v>235</v>
      </c>
      <c r="F2306" s="205">
        <v>0.2364849284133661</v>
      </c>
    </row>
    <row r="2307" spans="1:6">
      <c r="A2307" s="210">
        <v>241911201</v>
      </c>
      <c r="B2307" s="202" t="s">
        <v>6121</v>
      </c>
      <c r="C2307" s="203" t="s">
        <v>2143</v>
      </c>
      <c r="D2307" s="204">
        <v>1</v>
      </c>
      <c r="E2307" s="204" t="s">
        <v>235</v>
      </c>
      <c r="F2307" s="205">
        <v>2.4301719605861076</v>
      </c>
    </row>
    <row r="2308" spans="1:6">
      <c r="A2308" s="210">
        <v>241911202</v>
      </c>
      <c r="B2308" s="202" t="s">
        <v>6122</v>
      </c>
      <c r="C2308" s="203" t="s">
        <v>2143</v>
      </c>
      <c r="D2308" s="204">
        <v>1</v>
      </c>
      <c r="E2308" s="204" t="s">
        <v>235</v>
      </c>
      <c r="F2308" s="205">
        <v>3.8017762669352422</v>
      </c>
    </row>
    <row r="2309" spans="1:6">
      <c r="A2309" s="210">
        <v>241911210</v>
      </c>
      <c r="B2309" s="202" t="s">
        <v>4384</v>
      </c>
      <c r="C2309" s="203" t="s">
        <v>2143</v>
      </c>
      <c r="D2309" s="204">
        <v>1</v>
      </c>
      <c r="E2309" s="204" t="s">
        <v>235</v>
      </c>
      <c r="F2309" s="205">
        <v>3.6649122069289786</v>
      </c>
    </row>
    <row r="2310" spans="1:6">
      <c r="A2310" s="210">
        <v>241911220</v>
      </c>
      <c r="B2310" s="202" t="s">
        <v>4386</v>
      </c>
      <c r="C2310" s="203" t="s">
        <v>2143</v>
      </c>
      <c r="D2310" s="204">
        <v>1</v>
      </c>
      <c r="E2310" s="204" t="s">
        <v>235</v>
      </c>
      <c r="F2310" s="205">
        <v>9230.2630857746663</v>
      </c>
    </row>
    <row r="2311" spans="1:6">
      <c r="A2311" s="210">
        <v>241911230</v>
      </c>
      <c r="B2311" s="202" t="s">
        <v>4388</v>
      </c>
      <c r="C2311" s="203" t="s">
        <v>2143</v>
      </c>
      <c r="D2311" s="204">
        <v>1</v>
      </c>
      <c r="E2311" s="204" t="s">
        <v>235</v>
      </c>
      <c r="F2311" s="205">
        <v>161.49048172591674</v>
      </c>
    </row>
    <row r="2312" spans="1:6">
      <c r="A2312" s="210">
        <v>241912000</v>
      </c>
      <c r="B2312" s="202" t="s">
        <v>4390</v>
      </c>
      <c r="C2312" s="203" t="s">
        <v>2143</v>
      </c>
      <c r="D2312" s="204">
        <v>1</v>
      </c>
      <c r="E2312" s="204" t="s">
        <v>235</v>
      </c>
      <c r="F2312" s="205">
        <v>9658.9806500293762</v>
      </c>
    </row>
    <row r="2313" spans="1:6">
      <c r="A2313" s="210">
        <v>241912300</v>
      </c>
      <c r="B2313" s="202" t="s">
        <v>4392</v>
      </c>
      <c r="C2313" s="203" t="s">
        <v>2143</v>
      </c>
      <c r="D2313" s="204">
        <v>1</v>
      </c>
      <c r="E2313" s="204" t="s">
        <v>235</v>
      </c>
      <c r="F2313" s="205">
        <v>34.057305713009796</v>
      </c>
    </row>
    <row r="2314" spans="1:6">
      <c r="A2314" s="210">
        <v>241912302</v>
      </c>
      <c r="B2314" s="202" t="s">
        <v>6123</v>
      </c>
      <c r="C2314" s="203" t="s">
        <v>2143</v>
      </c>
      <c r="D2314" s="204">
        <v>1</v>
      </c>
      <c r="E2314" s="204" t="s">
        <v>235</v>
      </c>
      <c r="F2314" s="205">
        <v>41.148080934116017</v>
      </c>
    </row>
    <row r="2315" spans="1:6">
      <c r="A2315" s="210">
        <v>241912340</v>
      </c>
      <c r="B2315" s="202" t="s">
        <v>4394</v>
      </c>
      <c r="C2315" s="203" t="s">
        <v>2143</v>
      </c>
      <c r="D2315" s="204">
        <v>1</v>
      </c>
      <c r="E2315" s="204" t="s">
        <v>235</v>
      </c>
      <c r="F2315" s="205">
        <v>36.953605031125107</v>
      </c>
    </row>
    <row r="2316" spans="1:6">
      <c r="A2316" s="210">
        <v>241912640</v>
      </c>
      <c r="B2316" s="202" t="s">
        <v>6124</v>
      </c>
      <c r="C2316" s="203" t="s">
        <v>5553</v>
      </c>
      <c r="D2316" s="204">
        <v>1</v>
      </c>
      <c r="E2316" s="204" t="s">
        <v>235</v>
      </c>
      <c r="F2316" s="205">
        <v>0</v>
      </c>
    </row>
    <row r="2317" spans="1:6">
      <c r="A2317" s="210">
        <v>241912641</v>
      </c>
      <c r="B2317" s="202" t="s">
        <v>6125</v>
      </c>
      <c r="C2317" s="203" t="s">
        <v>5553</v>
      </c>
      <c r="D2317" s="204">
        <v>1</v>
      </c>
      <c r="E2317" s="204" t="s">
        <v>235</v>
      </c>
      <c r="F2317" s="205">
        <v>0</v>
      </c>
    </row>
    <row r="2318" spans="1:6">
      <c r="A2318" s="210">
        <v>241913000</v>
      </c>
      <c r="B2318" s="202" t="s">
        <v>2028</v>
      </c>
      <c r="C2318" s="203" t="s">
        <v>2143</v>
      </c>
      <c r="D2318" s="204">
        <v>1</v>
      </c>
      <c r="E2318" s="204" t="s">
        <v>235</v>
      </c>
      <c r="F2318" s="205">
        <v>239.04006155589749</v>
      </c>
    </row>
    <row r="2319" spans="1:6">
      <c r="A2319" s="210">
        <v>241913202</v>
      </c>
      <c r="B2319" s="202" t="s">
        <v>1992</v>
      </c>
      <c r="C2319" s="203" t="s">
        <v>2143</v>
      </c>
      <c r="D2319" s="204">
        <v>1</v>
      </c>
      <c r="E2319" s="204" t="s">
        <v>235</v>
      </c>
      <c r="F2319" s="205">
        <v>4.1585291667544579</v>
      </c>
    </row>
    <row r="2320" spans="1:6">
      <c r="A2320" s="210">
        <v>241913300</v>
      </c>
      <c r="B2320" s="202" t="s">
        <v>4398</v>
      </c>
      <c r="C2320" s="203" t="s">
        <v>2143</v>
      </c>
      <c r="D2320" s="204">
        <v>1</v>
      </c>
      <c r="E2320" s="204" t="s">
        <v>235</v>
      </c>
      <c r="F2320" s="205">
        <v>34.057305713009796</v>
      </c>
    </row>
    <row r="2321" spans="1:6">
      <c r="A2321" s="210">
        <v>241913301</v>
      </c>
      <c r="B2321" s="202" t="s">
        <v>4400</v>
      </c>
      <c r="C2321" s="203" t="s">
        <v>2143</v>
      </c>
      <c r="D2321" s="204">
        <v>1</v>
      </c>
      <c r="E2321" s="204" t="s">
        <v>235</v>
      </c>
      <c r="F2321" s="205">
        <v>36.953605031125107</v>
      </c>
    </row>
    <row r="2322" spans="1:6">
      <c r="A2322" s="210">
        <v>241929000</v>
      </c>
      <c r="B2322" s="202" t="s">
        <v>1366</v>
      </c>
      <c r="C2322" s="203" t="s">
        <v>2143</v>
      </c>
      <c r="D2322" s="204">
        <v>1</v>
      </c>
      <c r="E2322" s="204" t="s">
        <v>2013</v>
      </c>
      <c r="F2322" s="205">
        <v>4.0699299298231593E-3</v>
      </c>
    </row>
    <row r="2323" spans="1:6">
      <c r="A2323" s="210">
        <v>241929106</v>
      </c>
      <c r="B2323" s="202" t="s">
        <v>1367</v>
      </c>
      <c r="C2323" s="203" t="s">
        <v>2143</v>
      </c>
      <c r="D2323" s="204">
        <v>1</v>
      </c>
      <c r="E2323" s="204" t="s">
        <v>235</v>
      </c>
      <c r="F2323" s="205">
        <v>12.993984339081539</v>
      </c>
    </row>
    <row r="2324" spans="1:6">
      <c r="A2324" s="210">
        <v>241929200</v>
      </c>
      <c r="B2324" s="202" t="s">
        <v>1368</v>
      </c>
      <c r="C2324" s="203" t="s">
        <v>2143</v>
      </c>
      <c r="D2324" s="204">
        <v>1</v>
      </c>
      <c r="E2324" s="204" t="s">
        <v>235</v>
      </c>
      <c r="F2324" s="205">
        <v>103.26714232696742</v>
      </c>
    </row>
    <row r="2325" spans="1:6">
      <c r="A2325" s="210">
        <v>241929201</v>
      </c>
      <c r="B2325" s="202" t="s">
        <v>1369</v>
      </c>
      <c r="C2325" s="203" t="s">
        <v>2143</v>
      </c>
      <c r="D2325" s="204">
        <v>1</v>
      </c>
      <c r="E2325" s="204" t="s">
        <v>235</v>
      </c>
      <c r="F2325" s="205">
        <v>11.749775733454687</v>
      </c>
    </row>
    <row r="2326" spans="1:6">
      <c r="A2326" s="210">
        <v>241929202</v>
      </c>
      <c r="B2326" s="202" t="s">
        <v>1370</v>
      </c>
      <c r="C2326" s="203" t="s">
        <v>2143</v>
      </c>
      <c r="D2326" s="204">
        <v>1</v>
      </c>
      <c r="E2326" s="204" t="s">
        <v>235</v>
      </c>
      <c r="F2326" s="205">
        <v>9.4769060302394905</v>
      </c>
    </row>
    <row r="2327" spans="1:6">
      <c r="A2327" s="210">
        <v>241929203</v>
      </c>
      <c r="B2327" s="202" t="s">
        <v>1371</v>
      </c>
      <c r="C2327" s="203" t="s">
        <v>2146</v>
      </c>
      <c r="D2327" s="204">
        <v>1</v>
      </c>
      <c r="E2327" s="204" t="s">
        <v>235</v>
      </c>
      <c r="F2327" s="205">
        <v>5.5148257907701836</v>
      </c>
    </row>
    <row r="2328" spans="1:6">
      <c r="A2328" s="210">
        <v>241929204</v>
      </c>
      <c r="B2328" s="202" t="s">
        <v>1372</v>
      </c>
      <c r="C2328" s="203" t="s">
        <v>2146</v>
      </c>
      <c r="D2328" s="204">
        <v>1</v>
      </c>
      <c r="E2328" s="204" t="s">
        <v>235</v>
      </c>
      <c r="F2328" s="205">
        <v>18.598088396052937</v>
      </c>
    </row>
    <row r="2329" spans="1:6">
      <c r="A2329" s="210">
        <v>241929205</v>
      </c>
      <c r="B2329" s="202" t="s">
        <v>1373</v>
      </c>
      <c r="C2329" s="203" t="s">
        <v>2146</v>
      </c>
      <c r="D2329" s="204">
        <v>1</v>
      </c>
      <c r="E2329" s="204" t="s">
        <v>235</v>
      </c>
      <c r="F2329" s="205">
        <v>21.530893236552618</v>
      </c>
    </row>
    <row r="2330" spans="1:6">
      <c r="A2330" s="210">
        <v>241929206</v>
      </c>
      <c r="B2330" s="202" t="s">
        <v>1374</v>
      </c>
      <c r="C2330" s="203" t="s">
        <v>2146</v>
      </c>
      <c r="D2330" s="204">
        <v>1</v>
      </c>
      <c r="E2330" s="204" t="s">
        <v>235</v>
      </c>
      <c r="F2330" s="205">
        <v>14.396317449889107</v>
      </c>
    </row>
    <row r="2331" spans="1:6">
      <c r="A2331" s="210">
        <v>241929207</v>
      </c>
      <c r="B2331" s="202" t="s">
        <v>1375</v>
      </c>
      <c r="C2331" s="203" t="s">
        <v>2146</v>
      </c>
      <c r="D2331" s="204">
        <v>1</v>
      </c>
      <c r="E2331" s="204" t="s">
        <v>235</v>
      </c>
      <c r="F2331" s="205">
        <v>23.70148036358335</v>
      </c>
    </row>
    <row r="2332" spans="1:6">
      <c r="A2332" s="210">
        <v>241929208</v>
      </c>
      <c r="B2332" s="202" t="s">
        <v>1376</v>
      </c>
      <c r="C2332" s="203" t="s">
        <v>2146</v>
      </c>
      <c r="D2332" s="204">
        <v>1</v>
      </c>
      <c r="E2332" s="204" t="s">
        <v>235</v>
      </c>
      <c r="F2332" s="205">
        <v>28.175539243766188</v>
      </c>
    </row>
    <row r="2333" spans="1:6">
      <c r="A2333" s="210">
        <v>241929216</v>
      </c>
      <c r="B2333" s="202" t="s">
        <v>1994</v>
      </c>
      <c r="C2333" s="203" t="s">
        <v>2143</v>
      </c>
      <c r="D2333" s="204">
        <v>1</v>
      </c>
      <c r="E2333" s="204" t="s">
        <v>235</v>
      </c>
      <c r="F2333" s="205">
        <v>3.1061672504613536</v>
      </c>
    </row>
    <row r="2334" spans="1:6">
      <c r="A2334" s="210">
        <v>241929217</v>
      </c>
      <c r="B2334" s="202" t="s">
        <v>1993</v>
      </c>
      <c r="C2334" s="203" t="s">
        <v>2143</v>
      </c>
      <c r="D2334" s="204">
        <v>1</v>
      </c>
      <c r="E2334" s="204" t="s">
        <v>235</v>
      </c>
      <c r="F2334" s="205">
        <v>3.5435638742814817</v>
      </c>
    </row>
    <row r="2335" spans="1:6">
      <c r="A2335" s="210">
        <v>241929218</v>
      </c>
      <c r="B2335" s="202" t="s">
        <v>6126</v>
      </c>
      <c r="C2335" s="203" t="s">
        <v>2143</v>
      </c>
      <c r="D2335" s="204">
        <v>1</v>
      </c>
      <c r="E2335" s="204" t="s">
        <v>235</v>
      </c>
      <c r="F2335" s="205">
        <v>25.090304981352268</v>
      </c>
    </row>
    <row r="2336" spans="1:6">
      <c r="A2336" s="210">
        <v>241929219</v>
      </c>
      <c r="B2336" s="202" t="s">
        <v>6127</v>
      </c>
      <c r="C2336" s="203" t="s">
        <v>2143</v>
      </c>
      <c r="D2336" s="204">
        <v>1</v>
      </c>
      <c r="E2336" s="204" t="s">
        <v>235</v>
      </c>
      <c r="F2336" s="205">
        <v>14.234263061524237</v>
      </c>
    </row>
    <row r="2337" spans="1:6">
      <c r="A2337" s="210">
        <v>241929220</v>
      </c>
      <c r="B2337" s="202" t="s">
        <v>1377</v>
      </c>
      <c r="C2337" s="203" t="s">
        <v>2146</v>
      </c>
      <c r="D2337" s="204">
        <v>1</v>
      </c>
      <c r="E2337" s="204" t="s">
        <v>235</v>
      </c>
      <c r="F2337" s="205">
        <v>13.68045824878635</v>
      </c>
    </row>
    <row r="2338" spans="1:6">
      <c r="A2338" s="210">
        <v>241929221</v>
      </c>
      <c r="B2338" s="202" t="s">
        <v>1378</v>
      </c>
      <c r="C2338" s="203" t="s">
        <v>2146</v>
      </c>
      <c r="D2338" s="204">
        <v>1</v>
      </c>
      <c r="E2338" s="204" t="s">
        <v>235</v>
      </c>
      <c r="F2338" s="205">
        <v>6.1934256817403899</v>
      </c>
    </row>
    <row r="2339" spans="1:6">
      <c r="A2339" s="210">
        <v>241929225</v>
      </c>
      <c r="B2339" s="202" t="s">
        <v>1379</v>
      </c>
      <c r="C2339" s="203" t="s">
        <v>2143</v>
      </c>
      <c r="D2339" s="204">
        <v>1</v>
      </c>
      <c r="E2339" s="204" t="s">
        <v>235</v>
      </c>
      <c r="F2339" s="205">
        <v>766.07112761869303</v>
      </c>
    </row>
    <row r="2340" spans="1:6">
      <c r="A2340" s="210">
        <v>241929226</v>
      </c>
      <c r="B2340" s="202" t="s">
        <v>6128</v>
      </c>
      <c r="C2340" s="203" t="s">
        <v>2155</v>
      </c>
      <c r="D2340" s="204">
        <v>1</v>
      </c>
      <c r="E2340" s="204" t="s">
        <v>235</v>
      </c>
      <c r="F2340" s="205">
        <v>109.18030284741677</v>
      </c>
    </row>
    <row r="2341" spans="1:6">
      <c r="A2341" s="210">
        <v>241929227</v>
      </c>
      <c r="B2341" s="202" t="s">
        <v>6129</v>
      </c>
      <c r="C2341" s="203" t="s">
        <v>2148</v>
      </c>
      <c r="D2341" s="204">
        <v>1</v>
      </c>
      <c r="E2341" s="204" t="s">
        <v>235</v>
      </c>
      <c r="F2341" s="205">
        <v>414.53273372177222</v>
      </c>
    </row>
    <row r="2342" spans="1:6">
      <c r="A2342" s="210">
        <v>241929228</v>
      </c>
      <c r="B2342" s="202" t="s">
        <v>6130</v>
      </c>
      <c r="C2342" s="203" t="s">
        <v>2143</v>
      </c>
      <c r="D2342" s="204">
        <v>1</v>
      </c>
      <c r="E2342" s="204" t="s">
        <v>235</v>
      </c>
      <c r="F2342" s="205">
        <v>8.0363040048583834</v>
      </c>
    </row>
    <row r="2343" spans="1:6">
      <c r="A2343" s="210">
        <v>241929229</v>
      </c>
      <c r="B2343" s="202" t="s">
        <v>1380</v>
      </c>
      <c r="C2343" s="203" t="s">
        <v>2146</v>
      </c>
      <c r="D2343" s="204">
        <v>1</v>
      </c>
      <c r="E2343" s="204" t="s">
        <v>235</v>
      </c>
      <c r="F2343" s="205">
        <v>51.981161935608775</v>
      </c>
    </row>
    <row r="2344" spans="1:6">
      <c r="A2344" s="210">
        <v>241929230</v>
      </c>
      <c r="B2344" s="202" t="s">
        <v>6131</v>
      </c>
      <c r="C2344" s="203" t="s">
        <v>2146</v>
      </c>
      <c r="D2344" s="204">
        <v>1</v>
      </c>
      <c r="E2344" s="204" t="s">
        <v>235</v>
      </c>
      <c r="F2344" s="205">
        <v>50.642034241848464</v>
      </c>
    </row>
    <row r="2345" spans="1:6">
      <c r="A2345" s="210">
        <v>241929232</v>
      </c>
      <c r="B2345" s="202" t="s">
        <v>6132</v>
      </c>
      <c r="C2345" s="203" t="s">
        <v>2143</v>
      </c>
      <c r="D2345" s="204">
        <v>1</v>
      </c>
      <c r="E2345" s="204" t="s">
        <v>235</v>
      </c>
      <c r="F2345" s="205">
        <v>3.9635608260202608</v>
      </c>
    </row>
    <row r="2346" spans="1:6">
      <c r="A2346" s="210">
        <v>241929233</v>
      </c>
      <c r="B2346" s="202" t="s">
        <v>6133</v>
      </c>
      <c r="C2346" s="203" t="s">
        <v>2143</v>
      </c>
      <c r="D2346" s="204">
        <v>1</v>
      </c>
      <c r="E2346" s="204" t="s">
        <v>235</v>
      </c>
      <c r="F2346" s="205">
        <v>5.7392570084368781</v>
      </c>
    </row>
    <row r="2347" spans="1:6">
      <c r="A2347" s="210">
        <v>241929234</v>
      </c>
      <c r="B2347" s="202" t="s">
        <v>1381</v>
      </c>
      <c r="C2347" s="203" t="s">
        <v>2143</v>
      </c>
      <c r="D2347" s="204">
        <v>1</v>
      </c>
      <c r="E2347" s="204" t="s">
        <v>235</v>
      </c>
      <c r="F2347" s="205">
        <v>37.370542663075817</v>
      </c>
    </row>
    <row r="2348" spans="1:6">
      <c r="A2348" s="210">
        <v>241929235</v>
      </c>
      <c r="B2348" s="202" t="s">
        <v>1382</v>
      </c>
      <c r="C2348" s="203" t="s">
        <v>2143</v>
      </c>
      <c r="D2348" s="204">
        <v>1</v>
      </c>
      <c r="E2348" s="204" t="s">
        <v>235</v>
      </c>
      <c r="F2348" s="205">
        <v>2.2167578860579216</v>
      </c>
    </row>
    <row r="2349" spans="1:6">
      <c r="A2349" s="210">
        <v>241929236</v>
      </c>
      <c r="B2349" s="202" t="s">
        <v>1383</v>
      </c>
      <c r="C2349" s="203" t="s">
        <v>2143</v>
      </c>
      <c r="D2349" s="204">
        <v>1</v>
      </c>
      <c r="E2349" s="204" t="s">
        <v>235</v>
      </c>
      <c r="F2349" s="205">
        <v>1.7431635912927426</v>
      </c>
    </row>
    <row r="2350" spans="1:6">
      <c r="A2350" s="210">
        <v>241929238</v>
      </c>
      <c r="B2350" s="202" t="s">
        <v>1384</v>
      </c>
      <c r="C2350" s="203" t="s">
        <v>2143</v>
      </c>
      <c r="D2350" s="204">
        <v>1</v>
      </c>
      <c r="E2350" s="204" t="s">
        <v>235</v>
      </c>
      <c r="F2350" s="205">
        <v>1.2228272308938568</v>
      </c>
    </row>
    <row r="2351" spans="1:6">
      <c r="A2351" s="210">
        <v>241929239</v>
      </c>
      <c r="B2351" s="202" t="s">
        <v>1385</v>
      </c>
      <c r="C2351" s="203" t="s">
        <v>2143</v>
      </c>
      <c r="D2351" s="204">
        <v>1</v>
      </c>
      <c r="E2351" s="204" t="s">
        <v>235</v>
      </c>
      <c r="F2351" s="205">
        <v>19.625789739496913</v>
      </c>
    </row>
    <row r="2352" spans="1:6">
      <c r="A2352" s="210">
        <v>241929240</v>
      </c>
      <c r="B2352" s="202" t="s">
        <v>1386</v>
      </c>
      <c r="C2352" s="203" t="s">
        <v>2155</v>
      </c>
      <c r="D2352" s="204">
        <v>1</v>
      </c>
      <c r="E2352" s="204" t="s">
        <v>235</v>
      </c>
      <c r="F2352" s="205">
        <v>14.72850723846345</v>
      </c>
    </row>
    <row r="2353" spans="1:6">
      <c r="A2353" s="210">
        <v>241929241</v>
      </c>
      <c r="B2353" s="202" t="s">
        <v>1387</v>
      </c>
      <c r="C2353" s="203" t="s">
        <v>2155</v>
      </c>
      <c r="D2353" s="204">
        <v>1</v>
      </c>
      <c r="E2353" s="204" t="s">
        <v>235</v>
      </c>
      <c r="F2353" s="205">
        <v>21.685506524890616</v>
      </c>
    </row>
    <row r="2354" spans="1:6">
      <c r="A2354" s="210">
        <v>241929242</v>
      </c>
      <c r="B2354" s="202" t="s">
        <v>1388</v>
      </c>
      <c r="C2354" s="203" t="s">
        <v>2146</v>
      </c>
      <c r="D2354" s="204">
        <v>1</v>
      </c>
      <c r="E2354" s="204" t="s">
        <v>235</v>
      </c>
      <c r="F2354" s="205">
        <v>73.808266976909934</v>
      </c>
    </row>
    <row r="2355" spans="1:6">
      <c r="A2355" s="210">
        <v>241929243</v>
      </c>
      <c r="B2355" s="202" t="s">
        <v>1389</v>
      </c>
      <c r="C2355" s="203" t="s">
        <v>2155</v>
      </c>
      <c r="D2355" s="204">
        <v>1</v>
      </c>
      <c r="E2355" s="204" t="s">
        <v>235</v>
      </c>
      <c r="F2355" s="205">
        <v>21.615606848612927</v>
      </c>
    </row>
    <row r="2356" spans="1:6">
      <c r="A2356" s="210">
        <v>241929244</v>
      </c>
      <c r="B2356" s="202" t="s">
        <v>1390</v>
      </c>
      <c r="C2356" s="203" t="s">
        <v>2155</v>
      </c>
      <c r="D2356" s="204">
        <v>1</v>
      </c>
      <c r="E2356" s="204" t="s">
        <v>235</v>
      </c>
      <c r="F2356" s="205">
        <v>190.61336732996125</v>
      </c>
    </row>
    <row r="2357" spans="1:6">
      <c r="A2357" s="210">
        <v>241929245</v>
      </c>
      <c r="B2357" s="202" t="s">
        <v>1391</v>
      </c>
      <c r="C2357" s="203" t="s">
        <v>2143</v>
      </c>
      <c r="D2357" s="204">
        <v>1</v>
      </c>
      <c r="E2357" s="204" t="s">
        <v>235</v>
      </c>
      <c r="F2357" s="205">
        <v>201.0269062885794</v>
      </c>
    </row>
    <row r="2358" spans="1:6">
      <c r="A2358" s="210">
        <v>241929246</v>
      </c>
      <c r="B2358" s="202" t="s">
        <v>1392</v>
      </c>
      <c r="C2358" s="203" t="s">
        <v>2143</v>
      </c>
      <c r="D2358" s="204">
        <v>1</v>
      </c>
      <c r="E2358" s="204" t="s">
        <v>235</v>
      </c>
      <c r="F2358" s="205">
        <v>202.84575808436875</v>
      </c>
    </row>
    <row r="2359" spans="1:6">
      <c r="A2359" s="210">
        <v>241929247</v>
      </c>
      <c r="B2359" s="202" t="s">
        <v>1393</v>
      </c>
      <c r="C2359" s="203" t="s">
        <v>2143</v>
      </c>
      <c r="D2359" s="204">
        <v>1</v>
      </c>
      <c r="E2359" s="204" t="s">
        <v>235</v>
      </c>
      <c r="F2359" s="205">
        <v>1703.2568786631371</v>
      </c>
    </row>
    <row r="2360" spans="1:6">
      <c r="A2360" s="210">
        <v>241929248</v>
      </c>
      <c r="B2360" s="202" t="s">
        <v>2000</v>
      </c>
      <c r="C2360" s="203" t="s">
        <v>2143</v>
      </c>
      <c r="D2360" s="204">
        <v>1</v>
      </c>
      <c r="E2360" s="204" t="s">
        <v>235</v>
      </c>
      <c r="F2360" s="205">
        <v>8.9375919081262793</v>
      </c>
    </row>
    <row r="2361" spans="1:6">
      <c r="A2361" s="210">
        <v>241929249</v>
      </c>
      <c r="B2361" s="202" t="s">
        <v>1998</v>
      </c>
      <c r="C2361" s="203" t="s">
        <v>2143</v>
      </c>
      <c r="D2361" s="204">
        <v>1</v>
      </c>
      <c r="E2361" s="204" t="s">
        <v>235</v>
      </c>
      <c r="F2361" s="205">
        <v>26.645312608865481</v>
      </c>
    </row>
    <row r="2362" spans="1:6">
      <c r="A2362" s="210">
        <v>241929250</v>
      </c>
      <c r="B2362" s="202" t="s">
        <v>1997</v>
      </c>
      <c r="C2362" s="203" t="s">
        <v>2156</v>
      </c>
      <c r="D2362" s="204">
        <v>1</v>
      </c>
      <c r="E2362" s="204" t="s">
        <v>235</v>
      </c>
      <c r="F2362" s="205">
        <v>2.4461512018248541</v>
      </c>
    </row>
    <row r="2363" spans="1:6">
      <c r="A2363" s="210">
        <v>241929251</v>
      </c>
      <c r="B2363" s="202" t="s">
        <v>1996</v>
      </c>
      <c r="C2363" s="203" t="s">
        <v>2157</v>
      </c>
      <c r="D2363" s="204">
        <v>1</v>
      </c>
      <c r="E2363" s="204" t="s">
        <v>235</v>
      </c>
      <c r="F2363" s="205">
        <v>3.1614109909766661</v>
      </c>
    </row>
    <row r="2364" spans="1:6">
      <c r="A2364" s="210">
        <v>241929309</v>
      </c>
      <c r="B2364" s="202" t="s">
        <v>4409</v>
      </c>
      <c r="C2364" s="203" t="s">
        <v>2143</v>
      </c>
      <c r="D2364" s="204">
        <v>1</v>
      </c>
      <c r="E2364" s="204" t="s">
        <v>235</v>
      </c>
      <c r="F2364" s="205">
        <v>34.057305713009796</v>
      </c>
    </row>
    <row r="2365" spans="1:6">
      <c r="A2365" s="210">
        <v>241929310</v>
      </c>
      <c r="B2365" s="202" t="s">
        <v>4411</v>
      </c>
      <c r="C2365" s="203" t="s">
        <v>2143</v>
      </c>
      <c r="D2365" s="204">
        <v>1</v>
      </c>
      <c r="E2365" s="204" t="s">
        <v>235</v>
      </c>
      <c r="F2365" s="205">
        <v>34.057305713009796</v>
      </c>
    </row>
    <row r="2366" spans="1:6">
      <c r="A2366" s="210">
        <v>241929311</v>
      </c>
      <c r="B2366" s="202" t="s">
        <v>4413</v>
      </c>
      <c r="C2366" s="203" t="s">
        <v>2143</v>
      </c>
      <c r="D2366" s="204">
        <v>1</v>
      </c>
      <c r="E2366" s="204" t="s">
        <v>235</v>
      </c>
      <c r="F2366" s="205">
        <v>34.057305713009796</v>
      </c>
    </row>
    <row r="2367" spans="1:6">
      <c r="A2367" s="210">
        <v>241929312</v>
      </c>
      <c r="B2367" s="202" t="s">
        <v>1995</v>
      </c>
      <c r="C2367" s="203" t="s">
        <v>2143</v>
      </c>
      <c r="D2367" s="204">
        <v>1</v>
      </c>
      <c r="E2367" s="204" t="s">
        <v>235</v>
      </c>
      <c r="F2367" s="205">
        <v>45.689864307625975</v>
      </c>
    </row>
    <row r="2368" spans="1:6">
      <c r="A2368" s="210">
        <v>241929313</v>
      </c>
      <c r="B2368" s="202" t="s">
        <v>1999</v>
      </c>
      <c r="C2368" s="203" t="s">
        <v>2143</v>
      </c>
      <c r="D2368" s="204">
        <v>1</v>
      </c>
      <c r="E2368" s="204" t="s">
        <v>235</v>
      </c>
      <c r="F2368" s="205">
        <v>87.165409649788856</v>
      </c>
    </row>
    <row r="2369" spans="1:6">
      <c r="A2369" s="210">
        <v>241929314</v>
      </c>
      <c r="B2369" s="202" t="s">
        <v>4415</v>
      </c>
      <c r="C2369" s="203" t="s">
        <v>2143</v>
      </c>
      <c r="D2369" s="204">
        <v>1</v>
      </c>
      <c r="E2369" s="204" t="s">
        <v>235</v>
      </c>
      <c r="F2369" s="205">
        <v>36.953605031125107</v>
      </c>
    </row>
    <row r="2370" spans="1:6">
      <c r="A2370" s="210">
        <v>241929315</v>
      </c>
      <c r="B2370" s="202" t="s">
        <v>6134</v>
      </c>
      <c r="C2370" s="203" t="s">
        <v>2143</v>
      </c>
      <c r="D2370" s="204">
        <v>1</v>
      </c>
      <c r="E2370" s="204" t="s">
        <v>235</v>
      </c>
      <c r="F2370" s="205">
        <v>642.21758539865209</v>
      </c>
    </row>
    <row r="2371" spans="1:6">
      <c r="A2371" s="210">
        <v>241929615</v>
      </c>
      <c r="B2371" s="202" t="s">
        <v>6135</v>
      </c>
      <c r="C2371" s="203" t="s">
        <v>5553</v>
      </c>
      <c r="D2371" s="204">
        <v>1</v>
      </c>
      <c r="E2371" s="204" t="s">
        <v>235</v>
      </c>
      <c r="F2371" s="205">
        <v>0</v>
      </c>
    </row>
    <row r="2372" spans="1:6">
      <c r="A2372" s="210">
        <v>241929619</v>
      </c>
      <c r="B2372" s="202" t="s">
        <v>6136</v>
      </c>
      <c r="C2372" s="203" t="s">
        <v>5553</v>
      </c>
      <c r="D2372" s="204">
        <v>1</v>
      </c>
      <c r="E2372" s="204" t="s">
        <v>235</v>
      </c>
      <c r="F2372" s="205">
        <v>0</v>
      </c>
    </row>
    <row r="2373" spans="1:6">
      <c r="A2373" s="210">
        <v>241929640</v>
      </c>
      <c r="B2373" s="202" t="s">
        <v>6137</v>
      </c>
      <c r="C2373" s="203" t="s">
        <v>5553</v>
      </c>
      <c r="D2373" s="204">
        <v>1</v>
      </c>
      <c r="E2373" s="204" t="s">
        <v>235</v>
      </c>
      <c r="F2373" s="205">
        <v>0</v>
      </c>
    </row>
    <row r="2374" spans="1:6">
      <c r="A2374" s="210">
        <v>241929641</v>
      </c>
      <c r="B2374" s="202" t="s">
        <v>6138</v>
      </c>
      <c r="C2374" s="203" t="s">
        <v>5553</v>
      </c>
      <c r="D2374" s="204">
        <v>1</v>
      </c>
      <c r="E2374" s="204" t="s">
        <v>235</v>
      </c>
      <c r="F2374" s="205">
        <v>0</v>
      </c>
    </row>
    <row r="2375" spans="1:6">
      <c r="A2375" s="210">
        <v>241929642</v>
      </c>
      <c r="B2375" s="202" t="s">
        <v>6139</v>
      </c>
      <c r="C2375" s="203" t="s">
        <v>5553</v>
      </c>
      <c r="D2375" s="204">
        <v>1</v>
      </c>
      <c r="E2375" s="204" t="s">
        <v>235</v>
      </c>
      <c r="F2375" s="205">
        <v>0</v>
      </c>
    </row>
    <row r="2376" spans="1:6">
      <c r="A2376" s="210">
        <v>242100000</v>
      </c>
      <c r="B2376" s="202" t="s">
        <v>4417</v>
      </c>
      <c r="C2376" s="203" t="s">
        <v>2143</v>
      </c>
      <c r="D2376" s="204">
        <v>1</v>
      </c>
      <c r="E2376" s="204" t="s">
        <v>2013</v>
      </c>
      <c r="F2376" s="205">
        <v>1.5509791811145594E-3</v>
      </c>
    </row>
    <row r="2377" spans="1:6">
      <c r="A2377" s="210">
        <v>242111000</v>
      </c>
      <c r="B2377" s="202" t="s">
        <v>4419</v>
      </c>
      <c r="C2377" s="203" t="s">
        <v>2143</v>
      </c>
      <c r="D2377" s="204">
        <v>1</v>
      </c>
      <c r="E2377" s="204" t="s">
        <v>235</v>
      </c>
      <c r="F2377" s="205">
        <v>0.50344739797922111</v>
      </c>
    </row>
    <row r="2378" spans="1:6">
      <c r="A2378" s="210">
        <v>242112000</v>
      </c>
      <c r="B2378" s="202" t="s">
        <v>1394</v>
      </c>
      <c r="C2378" s="203" t="s">
        <v>2143</v>
      </c>
      <c r="D2378" s="204">
        <v>1</v>
      </c>
      <c r="E2378" s="204" t="s">
        <v>2013</v>
      </c>
      <c r="F2378" s="205">
        <v>1.3933479312002619E-3</v>
      </c>
    </row>
    <row r="2379" spans="1:6">
      <c r="A2379" s="210">
        <v>242171100</v>
      </c>
      <c r="B2379" s="202" t="s">
        <v>6140</v>
      </c>
      <c r="C2379" s="203" t="s">
        <v>2143</v>
      </c>
      <c r="D2379" s="204">
        <v>1</v>
      </c>
      <c r="E2379" s="204" t="s">
        <v>235</v>
      </c>
      <c r="F2379" s="205">
        <v>0.10961590497169739</v>
      </c>
    </row>
    <row r="2380" spans="1:6">
      <c r="A2380" s="210">
        <v>242200000</v>
      </c>
      <c r="B2380" s="202" t="s">
        <v>4422</v>
      </c>
      <c r="C2380" s="203" t="s">
        <v>2143</v>
      </c>
      <c r="D2380" s="204">
        <v>1</v>
      </c>
      <c r="E2380" s="204" t="s">
        <v>235</v>
      </c>
      <c r="F2380" s="205">
        <v>1.7441248527419133</v>
      </c>
    </row>
    <row r="2381" spans="1:6">
      <c r="A2381" s="210">
        <v>242211000</v>
      </c>
      <c r="B2381" s="202" t="s">
        <v>1395</v>
      </c>
      <c r="C2381" s="203" t="s">
        <v>2143</v>
      </c>
      <c r="D2381" s="204">
        <v>1</v>
      </c>
      <c r="E2381" s="204" t="s">
        <v>235</v>
      </c>
      <c r="F2381" s="205">
        <v>1.7441248527419133</v>
      </c>
    </row>
    <row r="2382" spans="1:6">
      <c r="A2382" s="210">
        <v>242270100</v>
      </c>
      <c r="B2382" s="202" t="s">
        <v>6141</v>
      </c>
      <c r="C2382" s="203" t="s">
        <v>2143</v>
      </c>
      <c r="D2382" s="204">
        <v>1</v>
      </c>
      <c r="E2382" s="204" t="s">
        <v>235</v>
      </c>
      <c r="F2382" s="205">
        <v>1.1358452510471715</v>
      </c>
    </row>
    <row r="2383" spans="1:6">
      <c r="A2383" s="210">
        <v>242300000</v>
      </c>
      <c r="B2383" s="202" t="s">
        <v>4425</v>
      </c>
      <c r="C2383" s="203" t="s">
        <v>2143</v>
      </c>
      <c r="D2383" s="204">
        <v>1</v>
      </c>
      <c r="E2383" s="204" t="s">
        <v>235</v>
      </c>
      <c r="F2383" s="205">
        <v>1.1562738180117242</v>
      </c>
    </row>
    <row r="2384" spans="1:6">
      <c r="A2384" s="210">
        <v>242311000</v>
      </c>
      <c r="B2384" s="202" t="s">
        <v>1396</v>
      </c>
      <c r="C2384" s="203" t="s">
        <v>2143</v>
      </c>
      <c r="D2384" s="204">
        <v>1</v>
      </c>
      <c r="E2384" s="204" t="s">
        <v>235</v>
      </c>
      <c r="F2384" s="205">
        <v>1.1562738180117242</v>
      </c>
    </row>
    <row r="2385" spans="1:6">
      <c r="A2385" s="210">
        <v>242311200</v>
      </c>
      <c r="B2385" s="202" t="s">
        <v>1397</v>
      </c>
      <c r="C2385" s="203" t="s">
        <v>2143</v>
      </c>
      <c r="D2385" s="204">
        <v>1</v>
      </c>
      <c r="E2385" s="204" t="s">
        <v>235</v>
      </c>
      <c r="F2385" s="205">
        <v>0.38430897467982239</v>
      </c>
    </row>
    <row r="2386" spans="1:6">
      <c r="A2386" s="210">
        <v>242311201</v>
      </c>
      <c r="B2386" s="202" t="s">
        <v>1398</v>
      </c>
      <c r="C2386" s="203" t="s">
        <v>2143</v>
      </c>
      <c r="D2386" s="204">
        <v>1</v>
      </c>
      <c r="E2386" s="204" t="s">
        <v>235</v>
      </c>
      <c r="F2386" s="205">
        <v>21.541657099408528</v>
      </c>
    </row>
    <row r="2387" spans="1:6">
      <c r="A2387" s="210">
        <v>242311202</v>
      </c>
      <c r="B2387" s="202" t="s">
        <v>1399</v>
      </c>
      <c r="C2387" s="203" t="s">
        <v>2143</v>
      </c>
      <c r="D2387" s="204">
        <v>1</v>
      </c>
      <c r="E2387" s="204" t="s">
        <v>235</v>
      </c>
      <c r="F2387" s="205">
        <v>15.009982718170301</v>
      </c>
    </row>
    <row r="2388" spans="1:6">
      <c r="A2388" s="210">
        <v>242900000</v>
      </c>
      <c r="B2388" s="202" t="s">
        <v>4428</v>
      </c>
      <c r="C2388" s="203" t="s">
        <v>2143</v>
      </c>
      <c r="D2388" s="204">
        <v>1</v>
      </c>
      <c r="E2388" s="204" t="s">
        <v>2013</v>
      </c>
      <c r="F2388" s="205">
        <v>7.3174064766426562E-3</v>
      </c>
    </row>
    <row r="2389" spans="1:6">
      <c r="A2389" s="210">
        <v>242911000</v>
      </c>
      <c r="B2389" s="202" t="s">
        <v>2021</v>
      </c>
      <c r="C2389" s="203" t="s">
        <v>2143</v>
      </c>
      <c r="D2389" s="204">
        <v>1</v>
      </c>
      <c r="E2389" s="204" t="s">
        <v>235</v>
      </c>
      <c r="F2389" s="205">
        <v>16559.73837875593</v>
      </c>
    </row>
    <row r="2390" spans="1:6">
      <c r="A2390" s="210">
        <v>242912000</v>
      </c>
      <c r="B2390" s="202" t="s">
        <v>2023</v>
      </c>
      <c r="C2390" s="203" t="s">
        <v>2143</v>
      </c>
      <c r="D2390" s="204">
        <v>1</v>
      </c>
      <c r="E2390" s="204" t="s">
        <v>235</v>
      </c>
      <c r="F2390" s="205">
        <v>240.82382352850323</v>
      </c>
    </row>
    <row r="2391" spans="1:6">
      <c r="A2391" s="210">
        <v>242912200</v>
      </c>
      <c r="B2391" s="202" t="s">
        <v>1400</v>
      </c>
      <c r="C2391" s="203" t="s">
        <v>2143</v>
      </c>
      <c r="D2391" s="204">
        <v>1</v>
      </c>
      <c r="E2391" s="204" t="s">
        <v>235</v>
      </c>
      <c r="F2391" s="205">
        <v>20.985353763851307</v>
      </c>
    </row>
    <row r="2392" spans="1:6">
      <c r="A2392" s="210">
        <v>242913000</v>
      </c>
      <c r="B2392" s="202" t="s">
        <v>2019</v>
      </c>
      <c r="C2392" s="203" t="s">
        <v>2143</v>
      </c>
      <c r="D2392" s="204">
        <v>1</v>
      </c>
      <c r="E2392" s="204" t="s">
        <v>235</v>
      </c>
      <c r="F2392" s="205">
        <v>1.8060233404080288</v>
      </c>
    </row>
    <row r="2393" spans="1:6">
      <c r="A2393" s="210">
        <v>242919000</v>
      </c>
      <c r="B2393" s="202" t="s">
        <v>1401</v>
      </c>
      <c r="C2393" s="203" t="s">
        <v>2143</v>
      </c>
      <c r="D2393" s="204">
        <v>1</v>
      </c>
      <c r="E2393" s="204" t="s">
        <v>2013</v>
      </c>
      <c r="F2393" s="205">
        <v>9.7035711847197111E-3</v>
      </c>
    </row>
    <row r="2394" spans="1:6">
      <c r="A2394" s="210">
        <v>242919200</v>
      </c>
      <c r="B2394" s="202" t="s">
        <v>1402</v>
      </c>
      <c r="C2394" s="203" t="s">
        <v>2143</v>
      </c>
      <c r="D2394" s="204">
        <v>1</v>
      </c>
      <c r="E2394" s="204" t="s">
        <v>235</v>
      </c>
      <c r="F2394" s="205">
        <v>34.694520968589934</v>
      </c>
    </row>
    <row r="2395" spans="1:6">
      <c r="A2395" s="210">
        <v>242970100</v>
      </c>
      <c r="B2395" s="202" t="s">
        <v>6142</v>
      </c>
      <c r="C2395" s="203" t="s">
        <v>2143</v>
      </c>
      <c r="D2395" s="204">
        <v>1</v>
      </c>
      <c r="E2395" s="204" t="s">
        <v>235</v>
      </c>
      <c r="F2395" s="205">
        <v>0.10956053954592108</v>
      </c>
    </row>
    <row r="2396" spans="1:6">
      <c r="A2396" s="210">
        <v>243100000</v>
      </c>
      <c r="B2396" s="202" t="s">
        <v>4433</v>
      </c>
      <c r="C2396" s="203" t="s">
        <v>2143</v>
      </c>
      <c r="D2396" s="204">
        <v>1</v>
      </c>
      <c r="E2396" s="204" t="s">
        <v>235</v>
      </c>
      <c r="F2396" s="205">
        <v>3.1300083076678278</v>
      </c>
    </row>
    <row r="2397" spans="1:6">
      <c r="A2397" s="210">
        <v>243111000</v>
      </c>
      <c r="B2397" s="202" t="s">
        <v>1403</v>
      </c>
      <c r="C2397" s="203" t="s">
        <v>2143</v>
      </c>
      <c r="D2397" s="204">
        <v>1</v>
      </c>
      <c r="E2397" s="204" t="s">
        <v>235</v>
      </c>
      <c r="F2397" s="205">
        <v>3.9092925638650646</v>
      </c>
    </row>
    <row r="2398" spans="1:6">
      <c r="A2398" s="210">
        <v>243112000</v>
      </c>
      <c r="B2398" s="202" t="s">
        <v>1404</v>
      </c>
      <c r="C2398" s="203" t="s">
        <v>2143</v>
      </c>
      <c r="D2398" s="204">
        <v>1</v>
      </c>
      <c r="E2398" s="204" t="s">
        <v>235</v>
      </c>
      <c r="F2398" s="205">
        <v>2.2242067129709495</v>
      </c>
    </row>
    <row r="2399" spans="1:6">
      <c r="A2399" s="210">
        <v>243113000</v>
      </c>
      <c r="B2399" s="202" t="s">
        <v>1405</v>
      </c>
      <c r="C2399" s="203" t="s">
        <v>2143</v>
      </c>
      <c r="D2399" s="204">
        <v>1</v>
      </c>
      <c r="E2399" s="204" t="s">
        <v>235</v>
      </c>
      <c r="F2399" s="205">
        <v>2.2080101971192279</v>
      </c>
    </row>
    <row r="2400" spans="1:6">
      <c r="A2400" s="210">
        <v>243119000</v>
      </c>
      <c r="B2400" s="202" t="s">
        <v>4438</v>
      </c>
      <c r="C2400" s="203" t="s">
        <v>2143</v>
      </c>
      <c r="D2400" s="204">
        <v>1</v>
      </c>
      <c r="E2400" s="204" t="s">
        <v>235</v>
      </c>
      <c r="F2400" s="205">
        <v>5.1150031819579755</v>
      </c>
    </row>
    <row r="2401" spans="1:6">
      <c r="A2401" s="210">
        <v>243200000</v>
      </c>
      <c r="B2401" s="202" t="s">
        <v>4440</v>
      </c>
      <c r="C2401" s="203" t="s">
        <v>2143</v>
      </c>
      <c r="D2401" s="204">
        <v>1</v>
      </c>
      <c r="E2401" s="204" t="s">
        <v>235</v>
      </c>
      <c r="F2401" s="205">
        <v>10.332118268791517</v>
      </c>
    </row>
    <row r="2402" spans="1:6">
      <c r="A2402" s="210">
        <v>243211000</v>
      </c>
      <c r="B2402" s="202" t="s">
        <v>1406</v>
      </c>
      <c r="C2402" s="203" t="s">
        <v>2143</v>
      </c>
      <c r="D2402" s="204">
        <v>1</v>
      </c>
      <c r="E2402" s="204" t="s">
        <v>235</v>
      </c>
      <c r="F2402" s="205">
        <v>10.095276680525819</v>
      </c>
    </row>
    <row r="2403" spans="1:6">
      <c r="A2403" s="210">
        <v>243211200</v>
      </c>
      <c r="B2403" s="202" t="s">
        <v>1407</v>
      </c>
      <c r="C2403" s="203" t="s">
        <v>2143</v>
      </c>
      <c r="D2403" s="204">
        <v>1</v>
      </c>
      <c r="E2403" s="204" t="s">
        <v>235</v>
      </c>
      <c r="F2403" s="205">
        <v>4.2314819507948025</v>
      </c>
    </row>
    <row r="2404" spans="1:6">
      <c r="A2404" s="210">
        <v>243211201</v>
      </c>
      <c r="B2404" s="202" t="s">
        <v>1408</v>
      </c>
      <c r="C2404" s="203" t="s">
        <v>2143</v>
      </c>
      <c r="D2404" s="204">
        <v>1</v>
      </c>
      <c r="E2404" s="204" t="s">
        <v>235</v>
      </c>
      <c r="F2404" s="205">
        <v>9.4736736422549157</v>
      </c>
    </row>
    <row r="2405" spans="1:6">
      <c r="A2405" s="210">
        <v>243211202</v>
      </c>
      <c r="B2405" s="202" t="s">
        <v>1409</v>
      </c>
      <c r="C2405" s="203" t="s">
        <v>2143</v>
      </c>
      <c r="D2405" s="204">
        <v>1</v>
      </c>
      <c r="E2405" s="204" t="s">
        <v>235</v>
      </c>
      <c r="F2405" s="205">
        <v>11.605139794818406</v>
      </c>
    </row>
    <row r="2406" spans="1:6">
      <c r="A2406" s="210">
        <v>243211203</v>
      </c>
      <c r="B2406" s="202" t="s">
        <v>1410</v>
      </c>
      <c r="C2406" s="203" t="s">
        <v>2143</v>
      </c>
      <c r="D2406" s="204">
        <v>1</v>
      </c>
      <c r="E2406" s="204" t="s">
        <v>235</v>
      </c>
      <c r="F2406" s="205">
        <v>11.819027321576506</v>
      </c>
    </row>
    <row r="2407" spans="1:6">
      <c r="A2407" s="210">
        <v>243211204</v>
      </c>
      <c r="B2407" s="202" t="s">
        <v>1411</v>
      </c>
      <c r="C2407" s="203" t="s">
        <v>2143</v>
      </c>
      <c r="D2407" s="204">
        <v>1</v>
      </c>
      <c r="E2407" s="204" t="s">
        <v>235</v>
      </c>
      <c r="F2407" s="205">
        <v>11.575114672169743</v>
      </c>
    </row>
    <row r="2408" spans="1:6">
      <c r="A2408" s="210">
        <v>243211205</v>
      </c>
      <c r="B2408" s="202" t="s">
        <v>1412</v>
      </c>
      <c r="C2408" s="203" t="s">
        <v>2143</v>
      </c>
      <c r="D2408" s="204">
        <v>1</v>
      </c>
      <c r="E2408" s="204" t="s">
        <v>235</v>
      </c>
      <c r="F2408" s="205">
        <v>10.768289791365254</v>
      </c>
    </row>
    <row r="2409" spans="1:6">
      <c r="A2409" s="210">
        <v>243211206</v>
      </c>
      <c r="B2409" s="202" t="s">
        <v>1413</v>
      </c>
      <c r="C2409" s="203" t="s">
        <v>2143</v>
      </c>
      <c r="D2409" s="204">
        <v>1</v>
      </c>
      <c r="E2409" s="204" t="s">
        <v>235</v>
      </c>
      <c r="F2409" s="205">
        <v>11.20362015459038</v>
      </c>
    </row>
    <row r="2410" spans="1:6">
      <c r="A2410" s="210">
        <v>243211207</v>
      </c>
      <c r="B2410" s="202" t="s">
        <v>1414</v>
      </c>
      <c r="C2410" s="203" t="s">
        <v>2143</v>
      </c>
      <c r="D2410" s="204">
        <v>1</v>
      </c>
      <c r="E2410" s="204" t="s">
        <v>235</v>
      </c>
      <c r="F2410" s="205">
        <v>11.20362015459038</v>
      </c>
    </row>
    <row r="2411" spans="1:6">
      <c r="A2411" s="210">
        <v>243211208</v>
      </c>
      <c r="B2411" s="202" t="s">
        <v>1415</v>
      </c>
      <c r="C2411" s="203" t="s">
        <v>2143</v>
      </c>
      <c r="D2411" s="204">
        <v>1</v>
      </c>
      <c r="E2411" s="204" t="s">
        <v>235</v>
      </c>
      <c r="F2411" s="205">
        <v>12.399313253465239</v>
      </c>
    </row>
    <row r="2412" spans="1:6">
      <c r="A2412" s="210">
        <v>243212000</v>
      </c>
      <c r="B2412" s="202" t="s">
        <v>4443</v>
      </c>
      <c r="C2412" s="203" t="s">
        <v>2143</v>
      </c>
      <c r="D2412" s="204">
        <v>1</v>
      </c>
      <c r="E2412" s="204" t="s">
        <v>235</v>
      </c>
      <c r="F2412" s="205">
        <v>10.292002915492636</v>
      </c>
    </row>
    <row r="2413" spans="1:6">
      <c r="A2413" s="210">
        <v>243212200</v>
      </c>
      <c r="B2413" s="202" t="s">
        <v>6143</v>
      </c>
      <c r="C2413" s="203" t="s">
        <v>2143</v>
      </c>
      <c r="D2413" s="204">
        <v>1</v>
      </c>
      <c r="E2413" s="204" t="s">
        <v>235</v>
      </c>
      <c r="F2413" s="205">
        <v>9.1702985250348537</v>
      </c>
    </row>
    <row r="2414" spans="1:6">
      <c r="A2414" s="210">
        <v>243212201</v>
      </c>
      <c r="B2414" s="202" t="s">
        <v>6144</v>
      </c>
      <c r="C2414" s="203" t="s">
        <v>2143</v>
      </c>
      <c r="D2414" s="204">
        <v>1</v>
      </c>
      <c r="E2414" s="204" t="s">
        <v>235</v>
      </c>
      <c r="F2414" s="205">
        <v>11.1662663390224</v>
      </c>
    </row>
    <row r="2415" spans="1:6">
      <c r="A2415" s="210">
        <v>243212202</v>
      </c>
      <c r="B2415" s="202" t="s">
        <v>6145</v>
      </c>
      <c r="C2415" s="203" t="s">
        <v>2143</v>
      </c>
      <c r="D2415" s="204">
        <v>1</v>
      </c>
      <c r="E2415" s="204" t="s">
        <v>235</v>
      </c>
      <c r="F2415" s="205">
        <v>10.678223415021142</v>
      </c>
    </row>
    <row r="2416" spans="1:6">
      <c r="A2416" s="210">
        <v>243212203</v>
      </c>
      <c r="B2416" s="202" t="s">
        <v>1416</v>
      </c>
      <c r="C2416" s="203" t="s">
        <v>2143</v>
      </c>
      <c r="D2416" s="204">
        <v>1</v>
      </c>
      <c r="E2416" s="204" t="s">
        <v>235</v>
      </c>
      <c r="F2416" s="205">
        <v>12.682569808160482</v>
      </c>
    </row>
    <row r="2417" spans="1:6">
      <c r="A2417" s="210">
        <v>243212204</v>
      </c>
      <c r="B2417" s="202" t="s">
        <v>1417</v>
      </c>
      <c r="C2417" s="203" t="s">
        <v>2143</v>
      </c>
      <c r="D2417" s="204">
        <v>1</v>
      </c>
      <c r="E2417" s="204" t="s">
        <v>235</v>
      </c>
      <c r="F2417" s="205">
        <v>11.779464399155673</v>
      </c>
    </row>
    <row r="2418" spans="1:6">
      <c r="A2418" s="210">
        <v>243212205</v>
      </c>
      <c r="B2418" s="202" t="s">
        <v>6146</v>
      </c>
      <c r="C2418" s="203" t="s">
        <v>2143</v>
      </c>
      <c r="D2418" s="204">
        <v>1</v>
      </c>
      <c r="E2418" s="204" t="s">
        <v>235</v>
      </c>
      <c r="F2418" s="205">
        <v>12.852046171149524</v>
      </c>
    </row>
    <row r="2419" spans="1:6">
      <c r="A2419" s="210">
        <v>243213000</v>
      </c>
      <c r="B2419" s="202" t="s">
        <v>1418</v>
      </c>
      <c r="C2419" s="203" t="s">
        <v>2143</v>
      </c>
      <c r="D2419" s="204">
        <v>1</v>
      </c>
      <c r="E2419" s="204" t="s">
        <v>235</v>
      </c>
      <c r="F2419" s="205">
        <v>12.77185463626221</v>
      </c>
    </row>
    <row r="2420" spans="1:6">
      <c r="A2420" s="210">
        <v>243213200</v>
      </c>
      <c r="B2420" s="202" t="s">
        <v>1419</v>
      </c>
      <c r="C2420" s="203" t="s">
        <v>2143</v>
      </c>
      <c r="D2420" s="204">
        <v>1</v>
      </c>
      <c r="E2420" s="204" t="s">
        <v>235</v>
      </c>
      <c r="F2420" s="205">
        <v>13.022962377163241</v>
      </c>
    </row>
    <row r="2421" spans="1:6">
      <c r="A2421" s="210">
        <v>243213201</v>
      </c>
      <c r="B2421" s="202" t="s">
        <v>1420</v>
      </c>
      <c r="C2421" s="203" t="s">
        <v>2143</v>
      </c>
      <c r="D2421" s="204">
        <v>1</v>
      </c>
      <c r="E2421" s="204" t="s">
        <v>235</v>
      </c>
      <c r="F2421" s="205">
        <v>12.48168163453319</v>
      </c>
    </row>
    <row r="2422" spans="1:6">
      <c r="A2422" s="210">
        <v>243900000</v>
      </c>
      <c r="B2422" s="202" t="s">
        <v>4446</v>
      </c>
      <c r="C2422" s="203" t="s">
        <v>2143</v>
      </c>
      <c r="D2422" s="204">
        <v>1</v>
      </c>
      <c r="E2422" s="204" t="s">
        <v>2013</v>
      </c>
      <c r="F2422" s="205">
        <v>5.0235615834358415E-3</v>
      </c>
    </row>
    <row r="2423" spans="1:6">
      <c r="A2423" s="210">
        <v>243900700</v>
      </c>
      <c r="B2423" s="202" t="s">
        <v>1421</v>
      </c>
      <c r="C2423" s="203" t="s">
        <v>2143</v>
      </c>
      <c r="D2423" s="204">
        <v>1</v>
      </c>
      <c r="E2423" s="204" t="s">
        <v>235</v>
      </c>
      <c r="F2423" s="205">
        <v>1.2141937712844626</v>
      </c>
    </row>
    <row r="2424" spans="1:6">
      <c r="A2424" s="210">
        <v>243911000</v>
      </c>
      <c r="B2424" s="202" t="s">
        <v>1422</v>
      </c>
      <c r="C2424" s="203" t="s">
        <v>2143</v>
      </c>
      <c r="D2424" s="204">
        <v>1</v>
      </c>
      <c r="E2424" s="204" t="s">
        <v>235</v>
      </c>
      <c r="F2424" s="205">
        <v>2.3762651010586393</v>
      </c>
    </row>
    <row r="2425" spans="1:6">
      <c r="A2425" s="210">
        <v>243912000</v>
      </c>
      <c r="B2425" s="202" t="s">
        <v>4449</v>
      </c>
      <c r="C2425" s="203" t="s">
        <v>2143</v>
      </c>
      <c r="D2425" s="204">
        <v>1</v>
      </c>
      <c r="E2425" s="204" t="s">
        <v>235</v>
      </c>
      <c r="F2425" s="205">
        <v>6.5221717259458591</v>
      </c>
    </row>
    <row r="2426" spans="1:6">
      <c r="A2426" s="210">
        <v>243913000</v>
      </c>
      <c r="B2426" s="202" t="s">
        <v>1423</v>
      </c>
      <c r="C2426" s="203" t="s">
        <v>2143</v>
      </c>
      <c r="D2426" s="204">
        <v>1</v>
      </c>
      <c r="E2426" s="204" t="s">
        <v>235</v>
      </c>
      <c r="F2426" s="205">
        <v>13435.595563460747</v>
      </c>
    </row>
    <row r="2427" spans="1:6">
      <c r="A2427" s="210">
        <v>243914000</v>
      </c>
      <c r="B2427" s="202" t="s">
        <v>1424</v>
      </c>
      <c r="C2427" s="203" t="s">
        <v>2143</v>
      </c>
      <c r="D2427" s="204">
        <v>1</v>
      </c>
      <c r="E2427" s="204" t="s">
        <v>235</v>
      </c>
      <c r="F2427" s="205">
        <v>99.698267226438929</v>
      </c>
    </row>
    <row r="2428" spans="1:6">
      <c r="A2428" s="210">
        <v>243915000</v>
      </c>
      <c r="B2428" s="202" t="s">
        <v>1425</v>
      </c>
      <c r="C2428" s="203" t="s">
        <v>2143</v>
      </c>
      <c r="D2428" s="204">
        <v>1</v>
      </c>
      <c r="E2428" s="204" t="s">
        <v>235</v>
      </c>
      <c r="F2428" s="205">
        <v>3656.5602690521773</v>
      </c>
    </row>
    <row r="2429" spans="1:6">
      <c r="A2429" s="210">
        <v>243916000</v>
      </c>
      <c r="B2429" s="202" t="s">
        <v>1426</v>
      </c>
      <c r="C2429" s="203" t="s">
        <v>2143</v>
      </c>
      <c r="D2429" s="204">
        <v>1</v>
      </c>
      <c r="E2429" s="204" t="s">
        <v>235</v>
      </c>
      <c r="F2429" s="205">
        <v>11.450027528062659</v>
      </c>
    </row>
    <row r="2430" spans="1:6">
      <c r="A2430" s="210">
        <v>243919000</v>
      </c>
      <c r="B2430" s="202" t="s">
        <v>1427</v>
      </c>
      <c r="C2430" s="203" t="s">
        <v>2143</v>
      </c>
      <c r="D2430" s="204">
        <v>1</v>
      </c>
      <c r="E2430" s="204" t="s">
        <v>2013</v>
      </c>
      <c r="F2430" s="205">
        <v>5.8559359919901815E-3</v>
      </c>
    </row>
    <row r="2431" spans="1:6">
      <c r="A2431" s="210">
        <v>243919200</v>
      </c>
      <c r="B2431" s="202" t="s">
        <v>1428</v>
      </c>
      <c r="C2431" s="203" t="s">
        <v>2143</v>
      </c>
      <c r="D2431" s="204">
        <v>1</v>
      </c>
      <c r="E2431" s="204" t="s">
        <v>235</v>
      </c>
      <c r="F2431" s="205">
        <v>10.56156001924529</v>
      </c>
    </row>
    <row r="2432" spans="1:6">
      <c r="A2432" s="210">
        <v>243919201</v>
      </c>
      <c r="B2432" s="202" t="s">
        <v>1429</v>
      </c>
      <c r="C2432" s="203" t="s">
        <v>2143</v>
      </c>
      <c r="D2432" s="204">
        <v>1</v>
      </c>
      <c r="E2432" s="204" t="s">
        <v>235</v>
      </c>
      <c r="F2432" s="205">
        <v>17.484678233204129</v>
      </c>
    </row>
    <row r="2433" spans="1:6">
      <c r="A2433" s="210">
        <v>244100000</v>
      </c>
      <c r="B2433" s="202" t="s">
        <v>6147</v>
      </c>
      <c r="C2433" s="203" t="s">
        <v>2143</v>
      </c>
      <c r="D2433" s="204">
        <v>1</v>
      </c>
      <c r="E2433" s="204" t="s">
        <v>235</v>
      </c>
      <c r="F2433" s="205">
        <v>6.7417580861685309</v>
      </c>
    </row>
    <row r="2434" spans="1:6">
      <c r="A2434" s="210">
        <v>244111000</v>
      </c>
      <c r="B2434" s="202" t="s">
        <v>1431</v>
      </c>
      <c r="C2434" s="203" t="s">
        <v>2143</v>
      </c>
      <c r="D2434" s="204">
        <v>1</v>
      </c>
      <c r="E2434" s="204" t="s">
        <v>235</v>
      </c>
      <c r="F2434" s="205">
        <v>4.2157805793668031</v>
      </c>
    </row>
    <row r="2435" spans="1:6">
      <c r="A2435" s="210">
        <v>244112000</v>
      </c>
      <c r="B2435" s="202" t="s">
        <v>1432</v>
      </c>
      <c r="C2435" s="203" t="s">
        <v>2143</v>
      </c>
      <c r="D2435" s="204">
        <v>1</v>
      </c>
      <c r="E2435" s="204" t="s">
        <v>235</v>
      </c>
      <c r="F2435" s="205">
        <v>5.0753493807442451</v>
      </c>
    </row>
    <row r="2436" spans="1:6">
      <c r="A2436" s="210">
        <v>244113000</v>
      </c>
      <c r="B2436" s="202" t="s">
        <v>6148</v>
      </c>
      <c r="C2436" s="203" t="s">
        <v>2143</v>
      </c>
      <c r="D2436" s="204">
        <v>1</v>
      </c>
      <c r="E2436" s="204" t="s">
        <v>235</v>
      </c>
      <c r="F2436" s="205">
        <v>10.955218057870093</v>
      </c>
    </row>
    <row r="2437" spans="1:6">
      <c r="A2437" s="210">
        <v>244114000</v>
      </c>
      <c r="B2437" s="202" t="s">
        <v>6149</v>
      </c>
      <c r="C2437" s="203" t="s">
        <v>2143</v>
      </c>
      <c r="D2437" s="204">
        <v>1</v>
      </c>
      <c r="E2437" s="204" t="s">
        <v>235</v>
      </c>
      <c r="F2437" s="205">
        <v>9.0765066265767089</v>
      </c>
    </row>
    <row r="2438" spans="1:6">
      <c r="A2438" s="210">
        <v>244115000</v>
      </c>
      <c r="B2438" s="202" t="s">
        <v>6150</v>
      </c>
      <c r="C2438" s="203" t="s">
        <v>2143</v>
      </c>
      <c r="D2438" s="204">
        <v>1</v>
      </c>
      <c r="E2438" s="204" t="s">
        <v>235</v>
      </c>
      <c r="F2438" s="205">
        <v>8.68366239886217</v>
      </c>
    </row>
    <row r="2439" spans="1:6">
      <c r="A2439" s="210">
        <v>244116000</v>
      </c>
      <c r="B2439" s="202" t="s">
        <v>6151</v>
      </c>
      <c r="C2439" s="203" t="s">
        <v>2143</v>
      </c>
      <c r="D2439" s="204">
        <v>1</v>
      </c>
      <c r="E2439" s="204" t="s">
        <v>235</v>
      </c>
      <c r="F2439" s="205">
        <v>11.766161270644517</v>
      </c>
    </row>
    <row r="2440" spans="1:6">
      <c r="A2440" s="210">
        <v>244117000</v>
      </c>
      <c r="B2440" s="202" t="s">
        <v>1436</v>
      </c>
      <c r="C2440" s="203" t="s">
        <v>2143</v>
      </c>
      <c r="D2440" s="204">
        <v>1</v>
      </c>
      <c r="E2440" s="204" t="s">
        <v>235</v>
      </c>
      <c r="F2440" s="205">
        <v>22.288840157791384</v>
      </c>
    </row>
    <row r="2441" spans="1:6">
      <c r="A2441" s="210">
        <v>244118000</v>
      </c>
      <c r="B2441" s="202" t="s">
        <v>6152</v>
      </c>
      <c r="C2441" s="203" t="s">
        <v>2143</v>
      </c>
      <c r="D2441" s="204">
        <v>1</v>
      </c>
      <c r="E2441" s="204" t="s">
        <v>235</v>
      </c>
      <c r="F2441" s="205">
        <v>25.107653618587008</v>
      </c>
    </row>
    <row r="2442" spans="1:6">
      <c r="A2442" s="210">
        <v>244200000</v>
      </c>
      <c r="B2442" s="202" t="s">
        <v>6153</v>
      </c>
      <c r="C2442" s="203" t="s">
        <v>2143</v>
      </c>
      <c r="D2442" s="204">
        <v>1</v>
      </c>
      <c r="E2442" s="204" t="s">
        <v>1114</v>
      </c>
      <c r="F2442" s="205">
        <v>1.0842575134873059E-2</v>
      </c>
    </row>
    <row r="2443" spans="1:6">
      <c r="A2443" s="210">
        <v>244211000</v>
      </c>
      <c r="B2443" s="202" t="s">
        <v>6154</v>
      </c>
      <c r="C2443" s="203" t="s">
        <v>2143</v>
      </c>
      <c r="D2443" s="204">
        <v>1</v>
      </c>
      <c r="E2443" s="204" t="s">
        <v>1114</v>
      </c>
      <c r="F2443" s="205">
        <v>9.0967033095842292E-3</v>
      </c>
    </row>
    <row r="2444" spans="1:6">
      <c r="A2444" s="210">
        <v>244212000</v>
      </c>
      <c r="B2444" s="202" t="s">
        <v>6155</v>
      </c>
      <c r="C2444" s="203" t="s">
        <v>2143</v>
      </c>
      <c r="D2444" s="204">
        <v>1</v>
      </c>
      <c r="E2444" s="204" t="s">
        <v>1114</v>
      </c>
      <c r="F2444" s="205">
        <v>1.6369700226020616E-2</v>
      </c>
    </row>
    <row r="2445" spans="1:6">
      <c r="A2445" s="210">
        <v>245100000</v>
      </c>
      <c r="B2445" s="202" t="s">
        <v>4473</v>
      </c>
      <c r="C2445" s="203" t="s">
        <v>2143</v>
      </c>
      <c r="D2445" s="204">
        <v>1</v>
      </c>
      <c r="E2445" s="204" t="s">
        <v>235</v>
      </c>
      <c r="F2445" s="205">
        <v>4.3363845763864628</v>
      </c>
    </row>
    <row r="2446" spans="1:6">
      <c r="A2446" s="210">
        <v>245111000</v>
      </c>
      <c r="B2446" s="202" t="s">
        <v>4475</v>
      </c>
      <c r="C2446" s="203" t="s">
        <v>2143</v>
      </c>
      <c r="D2446" s="204">
        <v>1</v>
      </c>
      <c r="E2446" s="204" t="s">
        <v>235</v>
      </c>
      <c r="F2446" s="205">
        <v>4.3363845763864628</v>
      </c>
    </row>
    <row r="2447" spans="1:6">
      <c r="A2447" s="210">
        <v>245200000</v>
      </c>
      <c r="B2447" s="202" t="s">
        <v>4477</v>
      </c>
      <c r="C2447" s="203" t="s">
        <v>2143</v>
      </c>
      <c r="D2447" s="204">
        <v>1</v>
      </c>
      <c r="E2447" s="204" t="s">
        <v>235</v>
      </c>
      <c r="F2447" s="205">
        <v>3.0475492258273231</v>
      </c>
    </row>
    <row r="2448" spans="1:6">
      <c r="A2448" s="210">
        <v>245211000</v>
      </c>
      <c r="B2448" s="202" t="s">
        <v>4479</v>
      </c>
      <c r="C2448" s="203" t="s">
        <v>2143</v>
      </c>
      <c r="D2448" s="204">
        <v>1</v>
      </c>
      <c r="E2448" s="204" t="s">
        <v>235</v>
      </c>
      <c r="F2448" s="205">
        <v>2.6272157540845624</v>
      </c>
    </row>
    <row r="2449" spans="1:6">
      <c r="A2449" s="210">
        <v>245219000</v>
      </c>
      <c r="B2449" s="202" t="s">
        <v>1437</v>
      </c>
      <c r="C2449" s="203" t="s">
        <v>2143</v>
      </c>
      <c r="D2449" s="204">
        <v>1</v>
      </c>
      <c r="E2449" s="204" t="s">
        <v>235</v>
      </c>
      <c r="F2449" s="205">
        <v>30.652701967747305</v>
      </c>
    </row>
    <row r="2450" spans="1:6">
      <c r="A2450" s="210">
        <v>245300000</v>
      </c>
      <c r="B2450" s="202" t="s">
        <v>4482</v>
      </c>
      <c r="C2450" s="203" t="s">
        <v>2143</v>
      </c>
      <c r="D2450" s="204">
        <v>1</v>
      </c>
      <c r="E2450" s="204" t="s">
        <v>235</v>
      </c>
      <c r="F2450" s="205">
        <v>2.1805623712163058</v>
      </c>
    </row>
    <row r="2451" spans="1:6">
      <c r="A2451" s="210">
        <v>245311000</v>
      </c>
      <c r="B2451" s="202" t="s">
        <v>4484</v>
      </c>
      <c r="C2451" s="203" t="s">
        <v>2143</v>
      </c>
      <c r="D2451" s="204">
        <v>1</v>
      </c>
      <c r="E2451" s="204" t="s">
        <v>235</v>
      </c>
      <c r="F2451" s="205">
        <v>2.1805623712163058</v>
      </c>
    </row>
    <row r="2452" spans="1:6">
      <c r="A2452" s="210">
        <v>245311700</v>
      </c>
      <c r="B2452" s="202" t="s">
        <v>1438</v>
      </c>
      <c r="C2452" s="203" t="s">
        <v>2143</v>
      </c>
      <c r="D2452" s="204">
        <v>1</v>
      </c>
      <c r="E2452" s="204" t="s">
        <v>235</v>
      </c>
      <c r="F2452" s="205">
        <v>2.7862377450169529</v>
      </c>
    </row>
    <row r="2453" spans="1:6">
      <c r="A2453" s="210">
        <v>245400000</v>
      </c>
      <c r="B2453" s="202" t="s">
        <v>4486</v>
      </c>
      <c r="C2453" s="203" t="s">
        <v>2143</v>
      </c>
      <c r="D2453" s="204">
        <v>1</v>
      </c>
      <c r="E2453" s="204" t="s">
        <v>235</v>
      </c>
      <c r="F2453" s="205">
        <v>48.330790370183202</v>
      </c>
    </row>
    <row r="2454" spans="1:6">
      <c r="A2454" s="210">
        <v>245411000</v>
      </c>
      <c r="B2454" s="202" t="s">
        <v>1439</v>
      </c>
      <c r="C2454" s="203" t="s">
        <v>2143</v>
      </c>
      <c r="D2454" s="204">
        <v>1</v>
      </c>
      <c r="E2454" s="204" t="s">
        <v>235</v>
      </c>
      <c r="F2454" s="205">
        <v>9.3167114079850215</v>
      </c>
    </row>
    <row r="2455" spans="1:6">
      <c r="A2455" s="210">
        <v>245419000</v>
      </c>
      <c r="B2455" s="202" t="s">
        <v>1440</v>
      </c>
      <c r="C2455" s="203" t="s">
        <v>2143</v>
      </c>
      <c r="D2455" s="204">
        <v>1</v>
      </c>
      <c r="E2455" s="204" t="s">
        <v>235</v>
      </c>
      <c r="F2455" s="205">
        <v>258.92823467302253</v>
      </c>
    </row>
    <row r="2456" spans="1:6">
      <c r="A2456" s="210">
        <v>245500000</v>
      </c>
      <c r="B2456" s="202" t="s">
        <v>4490</v>
      </c>
      <c r="C2456" s="203" t="s">
        <v>2143</v>
      </c>
      <c r="D2456" s="204">
        <v>1</v>
      </c>
      <c r="E2456" s="204" t="s">
        <v>235</v>
      </c>
      <c r="F2456" s="205">
        <v>3.5395164470876441</v>
      </c>
    </row>
    <row r="2457" spans="1:6">
      <c r="A2457" s="210">
        <v>245511000</v>
      </c>
      <c r="B2457" s="202" t="s">
        <v>1441</v>
      </c>
      <c r="C2457" s="203" t="s">
        <v>2143</v>
      </c>
      <c r="D2457" s="204">
        <v>1</v>
      </c>
      <c r="E2457" s="204" t="s">
        <v>235</v>
      </c>
      <c r="F2457" s="205">
        <v>3.5395164470876441</v>
      </c>
    </row>
    <row r="2458" spans="1:6">
      <c r="A2458" s="210">
        <v>249100000</v>
      </c>
      <c r="B2458" s="202" t="s">
        <v>6156</v>
      </c>
      <c r="C2458" s="203" t="s">
        <v>2143</v>
      </c>
      <c r="D2458" s="204">
        <v>1</v>
      </c>
      <c r="E2458" s="204" t="s">
        <v>2013</v>
      </c>
      <c r="F2458" s="205">
        <v>3.5829643062722395E-3</v>
      </c>
    </row>
    <row r="2459" spans="1:6">
      <c r="A2459" s="210">
        <v>249111000</v>
      </c>
      <c r="B2459" s="202" t="s">
        <v>1442</v>
      </c>
      <c r="C2459" s="203" t="s">
        <v>2143</v>
      </c>
      <c r="D2459" s="204">
        <v>1</v>
      </c>
      <c r="E2459" s="204" t="s">
        <v>2013</v>
      </c>
      <c r="F2459" s="205">
        <v>3.5829643062722395E-3</v>
      </c>
    </row>
    <row r="2460" spans="1:6">
      <c r="A2460" s="210">
        <v>249111200</v>
      </c>
      <c r="B2460" s="202" t="s">
        <v>4493</v>
      </c>
      <c r="C2460" s="203" t="s">
        <v>2143</v>
      </c>
      <c r="D2460" s="204">
        <v>1</v>
      </c>
      <c r="E2460" s="204" t="s">
        <v>235</v>
      </c>
      <c r="F2460" s="205">
        <v>7511.523567670657</v>
      </c>
    </row>
    <row r="2461" spans="1:6">
      <c r="A2461" s="210">
        <v>249111201</v>
      </c>
      <c r="B2461" s="202" t="s">
        <v>4495</v>
      </c>
      <c r="C2461" s="203" t="s">
        <v>2143</v>
      </c>
      <c r="D2461" s="204">
        <v>1</v>
      </c>
      <c r="E2461" s="204" t="s">
        <v>235</v>
      </c>
      <c r="F2461" s="205">
        <v>9714.370085170056</v>
      </c>
    </row>
    <row r="2462" spans="1:6">
      <c r="A2462" s="210">
        <v>249900000</v>
      </c>
      <c r="B2462" s="202" t="s">
        <v>6157</v>
      </c>
      <c r="C2462" s="203" t="s">
        <v>2143</v>
      </c>
      <c r="D2462" s="204">
        <v>1</v>
      </c>
      <c r="E2462" s="204" t="s">
        <v>2013</v>
      </c>
      <c r="F2462" s="205">
        <v>8.5991508702230601E-3</v>
      </c>
    </row>
    <row r="2463" spans="1:6">
      <c r="A2463" s="210">
        <v>249911000</v>
      </c>
      <c r="B2463" s="202" t="s">
        <v>1443</v>
      </c>
      <c r="C2463" s="203" t="s">
        <v>2143</v>
      </c>
      <c r="D2463" s="204">
        <v>1</v>
      </c>
      <c r="E2463" s="204" t="s">
        <v>2013</v>
      </c>
      <c r="F2463" s="205">
        <v>4.807820501939313E-3</v>
      </c>
    </row>
    <row r="2464" spans="1:6">
      <c r="A2464" s="210">
        <v>249912000</v>
      </c>
      <c r="B2464" s="202" t="s">
        <v>4498</v>
      </c>
      <c r="C2464" s="203" t="s">
        <v>2143</v>
      </c>
      <c r="D2464" s="204">
        <v>1</v>
      </c>
      <c r="E2464" s="204" t="s">
        <v>235</v>
      </c>
      <c r="F2464" s="205">
        <v>4.7872731428317774</v>
      </c>
    </row>
    <row r="2465" spans="1:6">
      <c r="A2465" s="210">
        <v>249919000</v>
      </c>
      <c r="B2465" s="202" t="s">
        <v>1444</v>
      </c>
      <c r="C2465" s="203" t="s">
        <v>2143</v>
      </c>
      <c r="D2465" s="204">
        <v>1</v>
      </c>
      <c r="E2465" s="204" t="s">
        <v>2013</v>
      </c>
      <c r="F2465" s="205">
        <v>8.7417297266164113E-3</v>
      </c>
    </row>
    <row r="2466" spans="1:6">
      <c r="A2466" s="210">
        <v>249919200</v>
      </c>
      <c r="B2466" s="202" t="s">
        <v>6158</v>
      </c>
      <c r="C2466" s="203" t="s">
        <v>2143</v>
      </c>
      <c r="D2466" s="204">
        <v>1</v>
      </c>
      <c r="E2466" s="204" t="s">
        <v>235</v>
      </c>
      <c r="F2466" s="205">
        <v>4.7913972493480435</v>
      </c>
    </row>
    <row r="2467" spans="1:6">
      <c r="A2467" s="210">
        <v>249919202</v>
      </c>
      <c r="B2467" s="202" t="s">
        <v>6159</v>
      </c>
      <c r="C2467" s="203" t="s">
        <v>2143</v>
      </c>
      <c r="D2467" s="204">
        <v>1</v>
      </c>
      <c r="E2467" s="204" t="s">
        <v>235</v>
      </c>
      <c r="F2467" s="205">
        <v>17.645659110788475</v>
      </c>
    </row>
    <row r="2468" spans="1:6">
      <c r="A2468" s="210">
        <v>249929000</v>
      </c>
      <c r="B2468" s="202" t="s">
        <v>1445</v>
      </c>
      <c r="C2468" s="203" t="s">
        <v>2143</v>
      </c>
      <c r="D2468" s="204">
        <v>1</v>
      </c>
      <c r="E2468" s="204" t="s">
        <v>2013</v>
      </c>
      <c r="F2468" s="205">
        <v>8.9966167754483971E-3</v>
      </c>
    </row>
    <row r="2469" spans="1:6">
      <c r="A2469" s="210">
        <v>251100000</v>
      </c>
      <c r="B2469" s="202" t="s">
        <v>4500</v>
      </c>
      <c r="C2469" s="203" t="s">
        <v>2143</v>
      </c>
      <c r="D2469" s="204">
        <v>1</v>
      </c>
      <c r="E2469" s="204" t="s">
        <v>2013</v>
      </c>
      <c r="F2469" s="205">
        <v>8.1715783169991826E-3</v>
      </c>
    </row>
    <row r="2470" spans="1:6">
      <c r="A2470" s="210">
        <v>251111000</v>
      </c>
      <c r="B2470" s="202" t="s">
        <v>1446</v>
      </c>
      <c r="C2470" s="203" t="s">
        <v>2143</v>
      </c>
      <c r="D2470" s="204">
        <v>1</v>
      </c>
      <c r="E2470" s="204" t="s">
        <v>235</v>
      </c>
      <c r="F2470" s="205">
        <v>2.8325992364866606</v>
      </c>
    </row>
    <row r="2471" spans="1:6">
      <c r="A2471" s="210">
        <v>251112000</v>
      </c>
      <c r="B2471" s="202" t="s">
        <v>4504</v>
      </c>
      <c r="C2471" s="203" t="s">
        <v>2143</v>
      </c>
      <c r="D2471" s="204">
        <v>1</v>
      </c>
      <c r="E2471" s="204" t="s">
        <v>235</v>
      </c>
      <c r="F2471" s="205">
        <v>3.0557406819227189</v>
      </c>
    </row>
    <row r="2472" spans="1:6">
      <c r="A2472" s="210">
        <v>251119000</v>
      </c>
      <c r="B2472" s="202" t="s">
        <v>1447</v>
      </c>
      <c r="C2472" s="203" t="s">
        <v>2143</v>
      </c>
      <c r="D2472" s="204">
        <v>1</v>
      </c>
      <c r="E2472" s="204" t="s">
        <v>2013</v>
      </c>
      <c r="F2472" s="205">
        <v>8.2796199301658491E-3</v>
      </c>
    </row>
    <row r="2473" spans="1:6">
      <c r="A2473" s="210">
        <v>251129000</v>
      </c>
      <c r="B2473" s="202" t="s">
        <v>1448</v>
      </c>
      <c r="C2473" s="203" t="s">
        <v>2143</v>
      </c>
      <c r="D2473" s="204">
        <v>1</v>
      </c>
      <c r="E2473" s="204" t="s">
        <v>2013</v>
      </c>
      <c r="F2473" s="205">
        <v>8.1447072718914704E-3</v>
      </c>
    </row>
    <row r="2474" spans="1:6">
      <c r="A2474" s="210">
        <v>252100000</v>
      </c>
      <c r="B2474" s="202" t="s">
        <v>6160</v>
      </c>
      <c r="C2474" s="203" t="s">
        <v>2143</v>
      </c>
      <c r="D2474" s="204">
        <v>1</v>
      </c>
      <c r="E2474" s="204" t="s">
        <v>2013</v>
      </c>
      <c r="F2474" s="205">
        <v>1.3102024439587559E-3</v>
      </c>
    </row>
    <row r="2475" spans="1:6">
      <c r="A2475" s="210">
        <v>252111000</v>
      </c>
      <c r="B2475" s="202" t="s">
        <v>6161</v>
      </c>
      <c r="C2475" s="203" t="s">
        <v>2143</v>
      </c>
      <c r="D2475" s="204">
        <v>1</v>
      </c>
      <c r="E2475" s="204" t="s">
        <v>2013</v>
      </c>
      <c r="F2475" s="205">
        <v>1.3310829669097727E-3</v>
      </c>
    </row>
    <row r="2476" spans="1:6">
      <c r="A2476" s="210">
        <v>252119000</v>
      </c>
      <c r="B2476" s="202" t="s">
        <v>1449</v>
      </c>
      <c r="C2476" s="203" t="s">
        <v>2143</v>
      </c>
      <c r="D2476" s="204">
        <v>1</v>
      </c>
      <c r="E2476" s="204" t="s">
        <v>2013</v>
      </c>
      <c r="F2476" s="205">
        <v>1.2866373669908572E-3</v>
      </c>
    </row>
    <row r="2477" spans="1:6">
      <c r="A2477" s="210">
        <v>252200000</v>
      </c>
      <c r="B2477" s="202" t="s">
        <v>4507</v>
      </c>
      <c r="C2477" s="203" t="s">
        <v>2143</v>
      </c>
      <c r="D2477" s="204">
        <v>1</v>
      </c>
      <c r="E2477" s="204" t="s">
        <v>235</v>
      </c>
      <c r="F2477" s="205">
        <v>4.9083299999311905</v>
      </c>
    </row>
    <row r="2478" spans="1:6">
      <c r="A2478" s="210">
        <v>252211000</v>
      </c>
      <c r="B2478" s="202" t="s">
        <v>4509</v>
      </c>
      <c r="C2478" s="203" t="s">
        <v>2143</v>
      </c>
      <c r="D2478" s="204">
        <v>1</v>
      </c>
      <c r="E2478" s="204" t="s">
        <v>235</v>
      </c>
      <c r="F2478" s="205">
        <v>5.208966751001638</v>
      </c>
    </row>
    <row r="2479" spans="1:6">
      <c r="A2479" s="210">
        <v>252212000</v>
      </c>
      <c r="B2479" s="202" t="s">
        <v>1450</v>
      </c>
      <c r="C2479" s="203" t="s">
        <v>2143</v>
      </c>
      <c r="D2479" s="204">
        <v>1</v>
      </c>
      <c r="E2479" s="204" t="s">
        <v>235</v>
      </c>
      <c r="F2479" s="205">
        <v>4.155186120519148</v>
      </c>
    </row>
    <row r="2480" spans="1:6">
      <c r="A2480" s="210">
        <v>252219000</v>
      </c>
      <c r="B2480" s="202" t="s">
        <v>1451</v>
      </c>
      <c r="C2480" s="203" t="s">
        <v>2143</v>
      </c>
      <c r="D2480" s="204">
        <v>1</v>
      </c>
      <c r="E2480" s="204" t="s">
        <v>235</v>
      </c>
      <c r="F2480" s="205">
        <v>5.29393521915107</v>
      </c>
    </row>
    <row r="2481" spans="1:6">
      <c r="A2481" s="210">
        <v>252300000</v>
      </c>
      <c r="B2481" s="202" t="s">
        <v>6162</v>
      </c>
      <c r="C2481" s="203" t="s">
        <v>2143</v>
      </c>
      <c r="D2481" s="204">
        <v>1</v>
      </c>
      <c r="E2481" s="204" t="s">
        <v>2013</v>
      </c>
      <c r="F2481" s="205">
        <v>2.6760192598266055E-3</v>
      </c>
    </row>
    <row r="2482" spans="1:6">
      <c r="A2482" s="210">
        <v>252311000</v>
      </c>
      <c r="B2482" s="202" t="s">
        <v>1452</v>
      </c>
      <c r="C2482" s="203" t="s">
        <v>2143</v>
      </c>
      <c r="D2482" s="204">
        <v>1</v>
      </c>
      <c r="E2482" s="204" t="s">
        <v>2013</v>
      </c>
      <c r="F2482" s="205">
        <v>4.6910652396005481E-3</v>
      </c>
    </row>
    <row r="2483" spans="1:6">
      <c r="A2483" s="210">
        <v>252312000</v>
      </c>
      <c r="B2483" s="202" t="s">
        <v>1453</v>
      </c>
      <c r="C2483" s="203" t="s">
        <v>2143</v>
      </c>
      <c r="D2483" s="204">
        <v>1</v>
      </c>
      <c r="E2483" s="204" t="s">
        <v>2013</v>
      </c>
      <c r="F2483" s="205">
        <v>1.7887660106177278E-3</v>
      </c>
    </row>
    <row r="2484" spans="1:6">
      <c r="A2484" s="210">
        <v>252313000</v>
      </c>
      <c r="B2484" s="202" t="s">
        <v>1454</v>
      </c>
      <c r="C2484" s="203" t="s">
        <v>2143</v>
      </c>
      <c r="D2484" s="204">
        <v>1</v>
      </c>
      <c r="E2484" s="204" t="s">
        <v>2013</v>
      </c>
      <c r="F2484" s="205">
        <v>1.7729668591804106E-3</v>
      </c>
    </row>
    <row r="2485" spans="1:6">
      <c r="A2485" s="210">
        <v>252314000</v>
      </c>
      <c r="B2485" s="202" t="s">
        <v>1455</v>
      </c>
      <c r="C2485" s="203" t="s">
        <v>2143</v>
      </c>
      <c r="D2485" s="204">
        <v>1</v>
      </c>
      <c r="E2485" s="204" t="s">
        <v>2013</v>
      </c>
      <c r="F2485" s="205">
        <v>1.7983481600866344E-3</v>
      </c>
    </row>
    <row r="2486" spans="1:6">
      <c r="A2486" s="210">
        <v>252315000</v>
      </c>
      <c r="B2486" s="202" t="s">
        <v>1456</v>
      </c>
      <c r="C2486" s="203" t="s">
        <v>2143</v>
      </c>
      <c r="D2486" s="204">
        <v>1</v>
      </c>
      <c r="E2486" s="204" t="s">
        <v>2013</v>
      </c>
      <c r="F2486" s="205">
        <v>1.7968537530172529E-3</v>
      </c>
    </row>
    <row r="2487" spans="1:6">
      <c r="A2487" s="210">
        <v>252316000</v>
      </c>
      <c r="B2487" s="202" t="s">
        <v>6163</v>
      </c>
      <c r="C2487" s="203" t="s">
        <v>2143</v>
      </c>
      <c r="D2487" s="204">
        <v>1</v>
      </c>
      <c r="E2487" s="204" t="s">
        <v>2013</v>
      </c>
      <c r="F2487" s="205">
        <v>2.3134486073457267E-3</v>
      </c>
    </row>
    <row r="2488" spans="1:6">
      <c r="A2488" s="210">
        <v>252319000</v>
      </c>
      <c r="B2488" s="202" t="s">
        <v>6164</v>
      </c>
      <c r="C2488" s="203" t="s">
        <v>2143</v>
      </c>
      <c r="D2488" s="204">
        <v>1</v>
      </c>
      <c r="E2488" s="204" t="s">
        <v>2013</v>
      </c>
      <c r="F2488" s="205">
        <v>1.8130399532214226E-3</v>
      </c>
    </row>
    <row r="2489" spans="1:6">
      <c r="A2489" s="210">
        <v>252400000</v>
      </c>
      <c r="B2489" s="202" t="s">
        <v>4513</v>
      </c>
      <c r="C2489" s="203" t="s">
        <v>2143</v>
      </c>
      <c r="D2489" s="204">
        <v>1</v>
      </c>
      <c r="E2489" s="204" t="s">
        <v>2144</v>
      </c>
      <c r="F2489" s="205">
        <v>0.81548918202852705</v>
      </c>
    </row>
    <row r="2490" spans="1:6">
      <c r="A2490" s="210">
        <v>252411000</v>
      </c>
      <c r="B2490" s="202" t="s">
        <v>4515</v>
      </c>
      <c r="C2490" s="203" t="s">
        <v>2143</v>
      </c>
      <c r="D2490" s="204">
        <v>1</v>
      </c>
      <c r="E2490" s="204" t="s">
        <v>2144</v>
      </c>
      <c r="F2490" s="205">
        <v>0.81548918202852705</v>
      </c>
    </row>
    <row r="2491" spans="1:6">
      <c r="A2491" s="210">
        <v>252500000</v>
      </c>
      <c r="B2491" s="202" t="s">
        <v>4517</v>
      </c>
      <c r="C2491" s="203" t="s">
        <v>2143</v>
      </c>
      <c r="D2491" s="204">
        <v>1</v>
      </c>
      <c r="E2491" s="204" t="s">
        <v>2013</v>
      </c>
      <c r="F2491" s="205">
        <v>1.3293811870191479E-3</v>
      </c>
    </row>
    <row r="2492" spans="1:6">
      <c r="A2492" s="210">
        <v>252511000</v>
      </c>
      <c r="B2492" s="202" t="s">
        <v>1457</v>
      </c>
      <c r="C2492" s="203" t="s">
        <v>2143</v>
      </c>
      <c r="D2492" s="204">
        <v>1</v>
      </c>
      <c r="E2492" s="204" t="s">
        <v>2013</v>
      </c>
      <c r="F2492" s="205">
        <v>1.3293811870191479E-3</v>
      </c>
    </row>
    <row r="2493" spans="1:6">
      <c r="A2493" s="210">
        <v>252600000</v>
      </c>
      <c r="B2493" s="202" t="s">
        <v>6165</v>
      </c>
      <c r="C2493" s="203" t="s">
        <v>2143</v>
      </c>
      <c r="D2493" s="204">
        <v>1</v>
      </c>
      <c r="E2493" s="204" t="s">
        <v>2013</v>
      </c>
      <c r="F2493" s="205">
        <v>3.4756727056906292E-3</v>
      </c>
    </row>
    <row r="2494" spans="1:6">
      <c r="A2494" s="210">
        <v>252611000</v>
      </c>
      <c r="B2494" s="202" t="s">
        <v>1458</v>
      </c>
      <c r="C2494" s="203" t="s">
        <v>2143</v>
      </c>
      <c r="D2494" s="204">
        <v>1</v>
      </c>
      <c r="E2494" s="204" t="s">
        <v>2013</v>
      </c>
      <c r="F2494" s="205">
        <v>3.2413107353143063E-3</v>
      </c>
    </row>
    <row r="2495" spans="1:6">
      <c r="A2495" s="210">
        <v>252612000</v>
      </c>
      <c r="B2495" s="202" t="s">
        <v>1459</v>
      </c>
      <c r="C2495" s="203" t="s">
        <v>2143</v>
      </c>
      <c r="D2495" s="204">
        <v>1</v>
      </c>
      <c r="E2495" s="204" t="s">
        <v>2013</v>
      </c>
      <c r="F2495" s="205">
        <v>3.3481271590394988E-3</v>
      </c>
    </row>
    <row r="2496" spans="1:6">
      <c r="A2496" s="210">
        <v>252619000</v>
      </c>
      <c r="B2496" s="202" t="s">
        <v>1460</v>
      </c>
      <c r="C2496" s="203" t="s">
        <v>2143</v>
      </c>
      <c r="D2496" s="204">
        <v>1</v>
      </c>
      <c r="E2496" s="204" t="s">
        <v>2013</v>
      </c>
      <c r="F2496" s="205">
        <v>4.3583240225470235E-3</v>
      </c>
    </row>
    <row r="2497" spans="1:6">
      <c r="A2497" s="210">
        <v>252700000</v>
      </c>
      <c r="B2497" s="202" t="s">
        <v>6166</v>
      </c>
      <c r="C2497" s="203" t="s">
        <v>2143</v>
      </c>
      <c r="D2497" s="204">
        <v>1</v>
      </c>
      <c r="E2497" s="204" t="s">
        <v>2013</v>
      </c>
      <c r="F2497" s="205">
        <v>2.5374854613754959E-3</v>
      </c>
    </row>
    <row r="2498" spans="1:6">
      <c r="A2498" s="210">
        <v>252711000</v>
      </c>
      <c r="B2498" s="202" t="s">
        <v>1461</v>
      </c>
      <c r="C2498" s="203" t="s">
        <v>2143</v>
      </c>
      <c r="D2498" s="204">
        <v>1</v>
      </c>
      <c r="E2498" s="204" t="s">
        <v>2013</v>
      </c>
      <c r="F2498" s="205">
        <v>2.5668031484051002E-3</v>
      </c>
    </row>
    <row r="2499" spans="1:6">
      <c r="A2499" s="210">
        <v>252712000</v>
      </c>
      <c r="B2499" s="202" t="s">
        <v>1462</v>
      </c>
      <c r="C2499" s="203" t="s">
        <v>2143</v>
      </c>
      <c r="D2499" s="204">
        <v>1</v>
      </c>
      <c r="E2499" s="204" t="s">
        <v>2013</v>
      </c>
      <c r="F2499" s="205">
        <v>2.5119293978595157E-3</v>
      </c>
    </row>
    <row r="2500" spans="1:6">
      <c r="A2500" s="210">
        <v>252900000</v>
      </c>
      <c r="B2500" s="202" t="s">
        <v>6167</v>
      </c>
      <c r="C2500" s="203" t="s">
        <v>2143</v>
      </c>
      <c r="D2500" s="204">
        <v>1</v>
      </c>
      <c r="E2500" s="204" t="s">
        <v>2013</v>
      </c>
      <c r="F2500" s="205">
        <v>1.9396370715892937E-3</v>
      </c>
    </row>
    <row r="2501" spans="1:6">
      <c r="A2501" s="210">
        <v>252911000</v>
      </c>
      <c r="B2501" s="202" t="s">
        <v>1463</v>
      </c>
      <c r="C2501" s="203" t="s">
        <v>2143</v>
      </c>
      <c r="D2501" s="204">
        <v>1</v>
      </c>
      <c r="E2501" s="204" t="s">
        <v>2013</v>
      </c>
      <c r="F2501" s="205">
        <v>2.0526360838162248E-3</v>
      </c>
    </row>
    <row r="2502" spans="1:6">
      <c r="A2502" s="210">
        <v>252912000</v>
      </c>
      <c r="B2502" s="202" t="s">
        <v>1464</v>
      </c>
      <c r="C2502" s="203" t="s">
        <v>2143</v>
      </c>
      <c r="D2502" s="204">
        <v>1</v>
      </c>
      <c r="E2502" s="204" t="s">
        <v>2013</v>
      </c>
      <c r="F2502" s="205">
        <v>2.0909580993444428E-3</v>
      </c>
    </row>
    <row r="2503" spans="1:6">
      <c r="A2503" s="210">
        <v>252913000</v>
      </c>
      <c r="B2503" s="202" t="s">
        <v>1465</v>
      </c>
      <c r="C2503" s="203" t="s">
        <v>2143</v>
      </c>
      <c r="D2503" s="204">
        <v>1</v>
      </c>
      <c r="E2503" s="204" t="s">
        <v>2144</v>
      </c>
      <c r="F2503" s="205">
        <v>0.46386349047939657</v>
      </c>
    </row>
    <row r="2504" spans="1:6">
      <c r="A2504" s="210">
        <v>252919000</v>
      </c>
      <c r="B2504" s="202" t="s">
        <v>1466</v>
      </c>
      <c r="C2504" s="203" t="s">
        <v>2143</v>
      </c>
      <c r="D2504" s="204">
        <v>1</v>
      </c>
      <c r="E2504" s="204" t="s">
        <v>2013</v>
      </c>
      <c r="F2504" s="205">
        <v>1.5321432855376453E-3</v>
      </c>
    </row>
    <row r="2505" spans="1:6">
      <c r="A2505" s="210">
        <v>253100000</v>
      </c>
      <c r="B2505" s="202" t="s">
        <v>6168</v>
      </c>
      <c r="C2505" s="203" t="s">
        <v>2143</v>
      </c>
      <c r="D2505" s="204">
        <v>1</v>
      </c>
      <c r="E2505" s="204" t="s">
        <v>2013</v>
      </c>
      <c r="F2505" s="205">
        <v>1.9784706543249982E-3</v>
      </c>
    </row>
    <row r="2506" spans="1:6">
      <c r="A2506" s="210">
        <v>253111000</v>
      </c>
      <c r="B2506" s="202" t="s">
        <v>1467</v>
      </c>
      <c r="C2506" s="203" t="s">
        <v>2143</v>
      </c>
      <c r="D2506" s="204">
        <v>1</v>
      </c>
      <c r="E2506" s="204" t="s">
        <v>2144</v>
      </c>
      <c r="F2506" s="205">
        <v>0.64744458686063444</v>
      </c>
    </row>
    <row r="2507" spans="1:6">
      <c r="A2507" s="210">
        <v>253112000</v>
      </c>
      <c r="B2507" s="202" t="s">
        <v>1468</v>
      </c>
      <c r="C2507" s="203" t="s">
        <v>2143</v>
      </c>
      <c r="D2507" s="204">
        <v>1</v>
      </c>
      <c r="E2507" s="204" t="s">
        <v>2013</v>
      </c>
      <c r="F2507" s="205">
        <v>1.9942574712445778E-3</v>
      </c>
    </row>
    <row r="2508" spans="1:6">
      <c r="A2508" s="210">
        <v>253113000</v>
      </c>
      <c r="B2508" s="202" t="s">
        <v>1469</v>
      </c>
      <c r="C2508" s="203" t="s">
        <v>2143</v>
      </c>
      <c r="D2508" s="204">
        <v>1</v>
      </c>
      <c r="E2508" s="204" t="s">
        <v>2013</v>
      </c>
      <c r="F2508" s="205">
        <v>2.1471174055456687E-3</v>
      </c>
    </row>
    <row r="2509" spans="1:6">
      <c r="A2509" s="210">
        <v>253200000</v>
      </c>
      <c r="B2509" s="202" t="s">
        <v>4523</v>
      </c>
      <c r="C2509" s="203" t="s">
        <v>2143</v>
      </c>
      <c r="D2509" s="204">
        <v>1</v>
      </c>
      <c r="E2509" s="204" t="s">
        <v>2013</v>
      </c>
      <c r="F2509" s="205">
        <v>2.7492120672595846E-3</v>
      </c>
    </row>
    <row r="2510" spans="1:6">
      <c r="A2510" s="210">
        <v>253211000</v>
      </c>
      <c r="B2510" s="202" t="s">
        <v>1470</v>
      </c>
      <c r="C2510" s="203" t="s">
        <v>2143</v>
      </c>
      <c r="D2510" s="204">
        <v>1</v>
      </c>
      <c r="E2510" s="204" t="s">
        <v>2144</v>
      </c>
      <c r="F2510" s="205">
        <v>65.533189472800871</v>
      </c>
    </row>
    <row r="2511" spans="1:6">
      <c r="A2511" s="210">
        <v>253212000</v>
      </c>
      <c r="B2511" s="202" t="s">
        <v>4526</v>
      </c>
      <c r="C2511" s="203" t="s">
        <v>2143</v>
      </c>
      <c r="D2511" s="204">
        <v>1</v>
      </c>
      <c r="E2511" s="204" t="s">
        <v>2144</v>
      </c>
      <c r="F2511" s="205">
        <v>218.66681741214765</v>
      </c>
    </row>
    <row r="2512" spans="1:6">
      <c r="A2512" s="210">
        <v>253213000</v>
      </c>
      <c r="B2512" s="202" t="s">
        <v>1471</v>
      </c>
      <c r="C2512" s="203" t="s">
        <v>2143</v>
      </c>
      <c r="D2512" s="204">
        <v>1</v>
      </c>
      <c r="E2512" s="204" t="s">
        <v>2144</v>
      </c>
      <c r="F2512" s="205">
        <v>108.45585933607478</v>
      </c>
    </row>
    <row r="2513" spans="1:6">
      <c r="A2513" s="210">
        <v>253214000</v>
      </c>
      <c r="B2513" s="202" t="s">
        <v>1472</v>
      </c>
      <c r="C2513" s="203" t="s">
        <v>2143</v>
      </c>
      <c r="D2513" s="204">
        <v>1</v>
      </c>
      <c r="E2513" s="204" t="s">
        <v>2144</v>
      </c>
      <c r="F2513" s="205">
        <v>39.730110835224252</v>
      </c>
    </row>
    <row r="2514" spans="1:6">
      <c r="A2514" s="210">
        <v>253219000</v>
      </c>
      <c r="B2514" s="202" t="s">
        <v>4530</v>
      </c>
      <c r="C2514" s="203" t="s">
        <v>2143</v>
      </c>
      <c r="D2514" s="204">
        <v>1</v>
      </c>
      <c r="E2514" s="204" t="s">
        <v>2013</v>
      </c>
      <c r="F2514" s="205">
        <v>2.8144024864465204E-3</v>
      </c>
    </row>
    <row r="2515" spans="1:6">
      <c r="A2515" s="210">
        <v>253221000</v>
      </c>
      <c r="B2515" s="202" t="s">
        <v>1473</v>
      </c>
      <c r="C2515" s="203" t="s">
        <v>2143</v>
      </c>
      <c r="D2515" s="204">
        <v>1</v>
      </c>
      <c r="E2515" s="204" t="s">
        <v>2144</v>
      </c>
      <c r="F2515" s="205">
        <v>34.459834401682016</v>
      </c>
    </row>
    <row r="2516" spans="1:6">
      <c r="A2516" s="210">
        <v>253229000</v>
      </c>
      <c r="B2516" s="202" t="s">
        <v>4533</v>
      </c>
      <c r="C2516" s="203" t="s">
        <v>2143</v>
      </c>
      <c r="D2516" s="204">
        <v>1</v>
      </c>
      <c r="E2516" s="204" t="s">
        <v>2013</v>
      </c>
      <c r="F2516" s="205">
        <v>2.7999247190271335E-3</v>
      </c>
    </row>
    <row r="2517" spans="1:6">
      <c r="A2517" s="210">
        <v>253300000</v>
      </c>
      <c r="B2517" s="202" t="s">
        <v>4535</v>
      </c>
      <c r="C2517" s="203" t="s">
        <v>2143</v>
      </c>
      <c r="D2517" s="204">
        <v>1</v>
      </c>
      <c r="E2517" s="204" t="s">
        <v>2013</v>
      </c>
      <c r="F2517" s="205">
        <v>2.5978449250244088E-3</v>
      </c>
    </row>
    <row r="2518" spans="1:6">
      <c r="A2518" s="210">
        <v>253311000</v>
      </c>
      <c r="B2518" s="202" t="s">
        <v>4537</v>
      </c>
      <c r="C2518" s="203" t="s">
        <v>2143</v>
      </c>
      <c r="D2518" s="204">
        <v>1</v>
      </c>
      <c r="E2518" s="204" t="s">
        <v>2144</v>
      </c>
      <c r="F2518" s="205">
        <v>271.35753568226897</v>
      </c>
    </row>
    <row r="2519" spans="1:6">
      <c r="A2519" s="210">
        <v>253312000</v>
      </c>
      <c r="B2519" s="202" t="s">
        <v>1474</v>
      </c>
      <c r="C2519" s="203" t="s">
        <v>2143</v>
      </c>
      <c r="D2519" s="204">
        <v>1</v>
      </c>
      <c r="E2519" s="204" t="s">
        <v>2144</v>
      </c>
      <c r="F2519" s="205">
        <v>884.42844670342424</v>
      </c>
    </row>
    <row r="2520" spans="1:6">
      <c r="A2520" s="210">
        <v>253313000</v>
      </c>
      <c r="B2520" s="202" t="s">
        <v>4540</v>
      </c>
      <c r="C2520" s="203" t="s">
        <v>2143</v>
      </c>
      <c r="D2520" s="204">
        <v>1</v>
      </c>
      <c r="E2520" s="204" t="s">
        <v>2013</v>
      </c>
      <c r="F2520" s="205">
        <v>2.7800883545604903E-3</v>
      </c>
    </row>
    <row r="2521" spans="1:6">
      <c r="A2521" s="210">
        <v>253900000</v>
      </c>
      <c r="B2521" s="202" t="s">
        <v>6169</v>
      </c>
      <c r="C2521" s="203" t="s">
        <v>2143</v>
      </c>
      <c r="D2521" s="204">
        <v>1</v>
      </c>
      <c r="E2521" s="204" t="s">
        <v>2013</v>
      </c>
      <c r="F2521" s="205">
        <v>3.1595898300277431E-3</v>
      </c>
    </row>
    <row r="2522" spans="1:6">
      <c r="A2522" s="210">
        <v>253911000</v>
      </c>
      <c r="B2522" s="202" t="s">
        <v>1475</v>
      </c>
      <c r="C2522" s="203" t="s">
        <v>2143</v>
      </c>
      <c r="D2522" s="204">
        <v>1</v>
      </c>
      <c r="E2522" s="204" t="s">
        <v>2013</v>
      </c>
      <c r="F2522" s="205">
        <v>2.8056129126572205E-3</v>
      </c>
    </row>
    <row r="2523" spans="1:6">
      <c r="A2523" s="210">
        <v>253912000</v>
      </c>
      <c r="B2523" s="202" t="s">
        <v>1476</v>
      </c>
      <c r="C2523" s="203" t="s">
        <v>2143</v>
      </c>
      <c r="D2523" s="204">
        <v>1</v>
      </c>
      <c r="E2523" s="204" t="s">
        <v>2144</v>
      </c>
      <c r="F2523" s="205">
        <v>273.42597417506926</v>
      </c>
    </row>
    <row r="2524" spans="1:6">
      <c r="A2524" s="210">
        <v>254100000</v>
      </c>
      <c r="B2524" s="202" t="s">
        <v>4543</v>
      </c>
      <c r="C2524" s="203" t="s">
        <v>2143</v>
      </c>
      <c r="D2524" s="204">
        <v>1</v>
      </c>
      <c r="E2524" s="204" t="s">
        <v>2013</v>
      </c>
      <c r="F2524" s="205">
        <v>8.4753976587430661E-3</v>
      </c>
    </row>
    <row r="2525" spans="1:6">
      <c r="A2525" s="210">
        <v>254111000</v>
      </c>
      <c r="B2525" s="202" t="s">
        <v>1477</v>
      </c>
      <c r="C2525" s="203" t="s">
        <v>2143</v>
      </c>
      <c r="D2525" s="204">
        <v>1</v>
      </c>
      <c r="E2525" s="204" t="s">
        <v>235</v>
      </c>
      <c r="F2525" s="205">
        <v>1.9536349004536973</v>
      </c>
    </row>
    <row r="2526" spans="1:6">
      <c r="A2526" s="210">
        <v>254112000</v>
      </c>
      <c r="B2526" s="202" t="s">
        <v>1478</v>
      </c>
      <c r="C2526" s="203" t="s">
        <v>2143</v>
      </c>
      <c r="D2526" s="204">
        <v>1</v>
      </c>
      <c r="E2526" s="204" t="s">
        <v>235</v>
      </c>
      <c r="F2526" s="205">
        <v>1.8844477941857432</v>
      </c>
    </row>
    <row r="2527" spans="1:6">
      <c r="A2527" s="210">
        <v>254113000</v>
      </c>
      <c r="B2527" s="202" t="s">
        <v>1479</v>
      </c>
      <c r="C2527" s="203" t="s">
        <v>2143</v>
      </c>
      <c r="D2527" s="204">
        <v>1</v>
      </c>
      <c r="E2527" s="204" t="s">
        <v>235</v>
      </c>
      <c r="F2527" s="205">
        <v>2.6838596207143044</v>
      </c>
    </row>
    <row r="2528" spans="1:6">
      <c r="A2528" s="210">
        <v>254114000</v>
      </c>
      <c r="B2528" s="202" t="s">
        <v>1480</v>
      </c>
      <c r="C2528" s="203" t="s">
        <v>2143</v>
      </c>
      <c r="D2528" s="204">
        <v>1</v>
      </c>
      <c r="E2528" s="204" t="s">
        <v>235</v>
      </c>
      <c r="F2528" s="205">
        <v>2.4740415911776656</v>
      </c>
    </row>
    <row r="2529" spans="1:6">
      <c r="A2529" s="210">
        <v>254115000</v>
      </c>
      <c r="B2529" s="202" t="s">
        <v>1481</v>
      </c>
      <c r="C2529" s="203" t="s">
        <v>2143</v>
      </c>
      <c r="D2529" s="204">
        <v>1</v>
      </c>
      <c r="E2529" s="204" t="s">
        <v>235</v>
      </c>
      <c r="F2529" s="205">
        <v>3.0313499873630008</v>
      </c>
    </row>
    <row r="2530" spans="1:6">
      <c r="A2530" s="210">
        <v>254119000</v>
      </c>
      <c r="B2530" s="202" t="s">
        <v>1482</v>
      </c>
      <c r="C2530" s="203" t="s">
        <v>2143</v>
      </c>
      <c r="D2530" s="204">
        <v>1</v>
      </c>
      <c r="E2530" s="204" t="s">
        <v>2013</v>
      </c>
      <c r="F2530" s="205">
        <v>9.7047262198770058E-3</v>
      </c>
    </row>
    <row r="2531" spans="1:6">
      <c r="A2531" s="210">
        <v>254200000</v>
      </c>
      <c r="B2531" s="202" t="s">
        <v>4551</v>
      </c>
      <c r="C2531" s="203" t="s">
        <v>2143</v>
      </c>
      <c r="D2531" s="204">
        <v>1</v>
      </c>
      <c r="E2531" s="204" t="s">
        <v>2013</v>
      </c>
      <c r="F2531" s="205">
        <v>6.659559713333236E-3</v>
      </c>
    </row>
    <row r="2532" spans="1:6">
      <c r="A2532" s="210">
        <v>254211000</v>
      </c>
      <c r="B2532" s="202" t="s">
        <v>1483</v>
      </c>
      <c r="C2532" s="203" t="s">
        <v>2143</v>
      </c>
      <c r="D2532" s="204">
        <v>1</v>
      </c>
      <c r="E2532" s="204" t="s">
        <v>235</v>
      </c>
      <c r="F2532" s="205">
        <v>13.877518334896124</v>
      </c>
    </row>
    <row r="2533" spans="1:6">
      <c r="A2533" s="210">
        <v>254212000</v>
      </c>
      <c r="B2533" s="202" t="s">
        <v>1484</v>
      </c>
      <c r="C2533" s="203" t="s">
        <v>2143</v>
      </c>
      <c r="D2533" s="204">
        <v>1</v>
      </c>
      <c r="E2533" s="204" t="s">
        <v>235</v>
      </c>
      <c r="F2533" s="205">
        <v>14.164959305372394</v>
      </c>
    </row>
    <row r="2534" spans="1:6">
      <c r="A2534" s="210">
        <v>254219000</v>
      </c>
      <c r="B2534" s="202" t="s">
        <v>1485</v>
      </c>
      <c r="C2534" s="203" t="s">
        <v>2143</v>
      </c>
      <c r="D2534" s="204">
        <v>1</v>
      </c>
      <c r="E2534" s="204" t="s">
        <v>2013</v>
      </c>
      <c r="F2534" s="205">
        <v>4.0606506007056932E-2</v>
      </c>
    </row>
    <row r="2535" spans="1:6">
      <c r="A2535" s="210">
        <v>254221000</v>
      </c>
      <c r="B2535" s="202" t="s">
        <v>1486</v>
      </c>
      <c r="C2535" s="203" t="s">
        <v>2143</v>
      </c>
      <c r="D2535" s="204">
        <v>1</v>
      </c>
      <c r="E2535" s="204" t="s">
        <v>235</v>
      </c>
      <c r="F2535" s="205">
        <v>9.357769800508855</v>
      </c>
    </row>
    <row r="2536" spans="1:6">
      <c r="A2536" s="210">
        <v>254222000</v>
      </c>
      <c r="B2536" s="202" t="s">
        <v>1487</v>
      </c>
      <c r="C2536" s="203" t="s">
        <v>2143</v>
      </c>
      <c r="D2536" s="204">
        <v>1</v>
      </c>
      <c r="E2536" s="204" t="s">
        <v>235</v>
      </c>
      <c r="F2536" s="205">
        <v>2.9389686955216123</v>
      </c>
    </row>
    <row r="2537" spans="1:6">
      <c r="A2537" s="210">
        <v>254223000</v>
      </c>
      <c r="B2537" s="202" t="s">
        <v>1488</v>
      </c>
      <c r="C2537" s="203" t="s">
        <v>2143</v>
      </c>
      <c r="D2537" s="204">
        <v>1</v>
      </c>
      <c r="E2537" s="204" t="s">
        <v>235</v>
      </c>
      <c r="F2537" s="205">
        <v>2.738703000642253</v>
      </c>
    </row>
    <row r="2538" spans="1:6">
      <c r="A2538" s="210">
        <v>254224000</v>
      </c>
      <c r="B2538" s="202" t="s">
        <v>1489</v>
      </c>
      <c r="C2538" s="203" t="s">
        <v>2143</v>
      </c>
      <c r="D2538" s="204">
        <v>1</v>
      </c>
      <c r="E2538" s="204" t="s">
        <v>2013</v>
      </c>
      <c r="F2538" s="205">
        <v>4.705125074676941E-3</v>
      </c>
    </row>
    <row r="2539" spans="1:6">
      <c r="A2539" s="210">
        <v>254225000</v>
      </c>
      <c r="B2539" s="202" t="s">
        <v>1490</v>
      </c>
      <c r="C2539" s="203" t="s">
        <v>2143</v>
      </c>
      <c r="D2539" s="204">
        <v>1</v>
      </c>
      <c r="E2539" s="204" t="s">
        <v>2013</v>
      </c>
      <c r="F2539" s="205">
        <v>4.7968072347280375E-3</v>
      </c>
    </row>
    <row r="2540" spans="1:6">
      <c r="A2540" s="210">
        <v>254226000</v>
      </c>
      <c r="B2540" s="202" t="s">
        <v>1491</v>
      </c>
      <c r="C2540" s="203" t="s">
        <v>2143</v>
      </c>
      <c r="D2540" s="204">
        <v>1</v>
      </c>
      <c r="E2540" s="204" t="s">
        <v>2013</v>
      </c>
      <c r="F2540" s="205">
        <v>6.536636106232869E-3</v>
      </c>
    </row>
    <row r="2541" spans="1:6">
      <c r="A2541" s="210">
        <v>254227000</v>
      </c>
      <c r="B2541" s="202" t="s">
        <v>1493</v>
      </c>
      <c r="C2541" s="203" t="s">
        <v>2143</v>
      </c>
      <c r="D2541" s="204">
        <v>1</v>
      </c>
      <c r="E2541" s="204" t="s">
        <v>2013</v>
      </c>
      <c r="F2541" s="205">
        <v>6.2599450866266957E-3</v>
      </c>
    </row>
    <row r="2542" spans="1:6">
      <c r="A2542" s="210">
        <v>254229000</v>
      </c>
      <c r="B2542" s="202" t="s">
        <v>1494</v>
      </c>
      <c r="C2542" s="203" t="s">
        <v>2143</v>
      </c>
      <c r="D2542" s="204">
        <v>1</v>
      </c>
      <c r="E2542" s="204" t="s">
        <v>2013</v>
      </c>
      <c r="F2542" s="205">
        <v>4.7460654042156929E-3</v>
      </c>
    </row>
    <row r="2543" spans="1:6">
      <c r="A2543" s="210">
        <v>254300000</v>
      </c>
      <c r="B2543" s="202" t="s">
        <v>4561</v>
      </c>
      <c r="C2543" s="203" t="s">
        <v>2143</v>
      </c>
      <c r="D2543" s="204">
        <v>1</v>
      </c>
      <c r="E2543" s="204" t="s">
        <v>2013</v>
      </c>
      <c r="F2543" s="205">
        <v>9.8807347469457869E-3</v>
      </c>
    </row>
    <row r="2544" spans="1:6">
      <c r="A2544" s="210">
        <v>254311000</v>
      </c>
      <c r="B2544" s="202" t="s">
        <v>1495</v>
      </c>
      <c r="C2544" s="203" t="s">
        <v>2143</v>
      </c>
      <c r="D2544" s="204">
        <v>1</v>
      </c>
      <c r="E2544" s="204" t="s">
        <v>235</v>
      </c>
      <c r="F2544" s="205">
        <v>2.6101460338663602</v>
      </c>
    </row>
    <row r="2545" spans="1:6">
      <c r="A2545" s="210">
        <v>254312000</v>
      </c>
      <c r="B2545" s="202" t="s">
        <v>4564</v>
      </c>
      <c r="C2545" s="203" t="s">
        <v>2143</v>
      </c>
      <c r="D2545" s="204">
        <v>1</v>
      </c>
      <c r="E2545" s="204" t="s">
        <v>235</v>
      </c>
      <c r="F2545" s="205">
        <v>2.5344402234407459</v>
      </c>
    </row>
    <row r="2546" spans="1:6">
      <c r="A2546" s="210">
        <v>254313000</v>
      </c>
      <c r="B2546" s="202" t="s">
        <v>1496</v>
      </c>
      <c r="C2546" s="203" t="s">
        <v>2143</v>
      </c>
      <c r="D2546" s="204">
        <v>1</v>
      </c>
      <c r="E2546" s="204" t="s">
        <v>235</v>
      </c>
      <c r="F2546" s="205">
        <v>2.4241519736943933</v>
      </c>
    </row>
    <row r="2547" spans="1:6">
      <c r="A2547" s="210">
        <v>254314000</v>
      </c>
      <c r="B2547" s="202" t="s">
        <v>1497</v>
      </c>
      <c r="C2547" s="203" t="s">
        <v>2143</v>
      </c>
      <c r="D2547" s="204">
        <v>1</v>
      </c>
      <c r="E2547" s="204" t="s">
        <v>2013</v>
      </c>
      <c r="F2547" s="205">
        <v>1.042610165590277E-2</v>
      </c>
    </row>
    <row r="2548" spans="1:6">
      <c r="A2548" s="210">
        <v>254319000</v>
      </c>
      <c r="B2548" s="202" t="s">
        <v>1498</v>
      </c>
      <c r="C2548" s="203" t="s">
        <v>2143</v>
      </c>
      <c r="D2548" s="204">
        <v>1</v>
      </c>
      <c r="E2548" s="204" t="s">
        <v>2013</v>
      </c>
      <c r="F2548" s="205">
        <v>9.9210459932027803E-3</v>
      </c>
    </row>
    <row r="2549" spans="1:6">
      <c r="A2549" s="210">
        <v>254392700</v>
      </c>
      <c r="B2549" s="202" t="s">
        <v>1499</v>
      </c>
      <c r="C2549" s="203" t="s">
        <v>2143</v>
      </c>
      <c r="D2549" s="204">
        <v>1</v>
      </c>
      <c r="E2549" s="204" t="s">
        <v>235</v>
      </c>
      <c r="F2549" s="205">
        <v>0.52243714220757898</v>
      </c>
    </row>
    <row r="2550" spans="1:6">
      <c r="A2550" s="210">
        <v>255100000</v>
      </c>
      <c r="B2550" s="202" t="s">
        <v>6170</v>
      </c>
      <c r="C2550" s="203" t="s">
        <v>2143</v>
      </c>
      <c r="D2550" s="204">
        <v>1</v>
      </c>
      <c r="E2550" s="204" t="s">
        <v>2013</v>
      </c>
      <c r="F2550" s="205">
        <v>8.8027327009882316E-3</v>
      </c>
    </row>
    <row r="2551" spans="1:6">
      <c r="A2551" s="210">
        <v>255111000</v>
      </c>
      <c r="B2551" s="202" t="s">
        <v>6171</v>
      </c>
      <c r="C2551" s="203" t="s">
        <v>2143</v>
      </c>
      <c r="D2551" s="204">
        <v>1</v>
      </c>
      <c r="E2551" s="204" t="s">
        <v>2013</v>
      </c>
      <c r="F2551" s="205">
        <v>1.6951081023276445E-3</v>
      </c>
    </row>
    <row r="2552" spans="1:6">
      <c r="A2552" s="210">
        <v>255112000</v>
      </c>
      <c r="B2552" s="202" t="s">
        <v>1500</v>
      </c>
      <c r="C2552" s="203" t="s">
        <v>2143</v>
      </c>
      <c r="D2552" s="204">
        <v>1</v>
      </c>
      <c r="E2552" s="204" t="s">
        <v>2013</v>
      </c>
      <c r="F2552" s="205">
        <v>1.8011460834205129E-3</v>
      </c>
    </row>
    <row r="2553" spans="1:6">
      <c r="A2553" s="210">
        <v>255113000</v>
      </c>
      <c r="B2553" s="202" t="s">
        <v>1501</v>
      </c>
      <c r="C2553" s="203" t="s">
        <v>2143</v>
      </c>
      <c r="D2553" s="204">
        <v>1</v>
      </c>
      <c r="E2553" s="204" t="s">
        <v>235</v>
      </c>
      <c r="F2553" s="205">
        <v>14.017682848376749</v>
      </c>
    </row>
    <row r="2554" spans="1:6">
      <c r="A2554" s="210">
        <v>255119000</v>
      </c>
      <c r="B2554" s="202" t="s">
        <v>1502</v>
      </c>
      <c r="C2554" s="203" t="s">
        <v>2143</v>
      </c>
      <c r="D2554" s="204">
        <v>1</v>
      </c>
      <c r="E2554" s="204" t="s">
        <v>2013</v>
      </c>
      <c r="F2554" s="205">
        <v>1.80056026957228E-3</v>
      </c>
    </row>
    <row r="2555" spans="1:6">
      <c r="A2555" s="210">
        <v>255200000</v>
      </c>
      <c r="B2555" s="202" t="s">
        <v>6172</v>
      </c>
      <c r="C2555" s="203" t="s">
        <v>2143</v>
      </c>
      <c r="D2555" s="204">
        <v>1</v>
      </c>
      <c r="E2555" s="204" t="s">
        <v>2013</v>
      </c>
      <c r="F2555" s="205">
        <v>1.749478241163731E-3</v>
      </c>
    </row>
    <row r="2556" spans="1:6">
      <c r="A2556" s="210">
        <v>255211000</v>
      </c>
      <c r="B2556" s="202" t="s">
        <v>6173</v>
      </c>
      <c r="C2556" s="203" t="s">
        <v>2143</v>
      </c>
      <c r="D2556" s="204">
        <v>1</v>
      </c>
      <c r="E2556" s="204" t="s">
        <v>2013</v>
      </c>
      <c r="F2556" s="205">
        <v>1.7834799261894603E-3</v>
      </c>
    </row>
    <row r="2557" spans="1:6">
      <c r="A2557" s="210">
        <v>255212000</v>
      </c>
      <c r="B2557" s="202" t="s">
        <v>1503</v>
      </c>
      <c r="C2557" s="203" t="s">
        <v>2143</v>
      </c>
      <c r="D2557" s="204">
        <v>1</v>
      </c>
      <c r="E2557" s="204" t="s">
        <v>2013</v>
      </c>
      <c r="F2557" s="205">
        <v>1.7652505806828207E-3</v>
      </c>
    </row>
    <row r="2558" spans="1:6">
      <c r="A2558" s="210">
        <v>255219000</v>
      </c>
      <c r="B2558" s="202" t="s">
        <v>1504</v>
      </c>
      <c r="C2558" s="203" t="s">
        <v>2143</v>
      </c>
      <c r="D2558" s="204">
        <v>1</v>
      </c>
      <c r="E2558" s="204" t="s">
        <v>2013</v>
      </c>
      <c r="F2558" s="205">
        <v>1.5340382498191078E-3</v>
      </c>
    </row>
    <row r="2559" spans="1:6">
      <c r="A2559" s="210">
        <v>255300000</v>
      </c>
      <c r="B2559" s="202" t="s">
        <v>4569</v>
      </c>
      <c r="C2559" s="203" t="s">
        <v>2143</v>
      </c>
      <c r="D2559" s="204">
        <v>1</v>
      </c>
      <c r="E2559" s="204" t="s">
        <v>235</v>
      </c>
      <c r="F2559" s="205">
        <v>11.832585260415675</v>
      </c>
    </row>
    <row r="2560" spans="1:6">
      <c r="A2560" s="210">
        <v>255311000</v>
      </c>
      <c r="B2560" s="202" t="s">
        <v>1505</v>
      </c>
      <c r="C2560" s="203" t="s">
        <v>2143</v>
      </c>
      <c r="D2560" s="204">
        <v>1</v>
      </c>
      <c r="E2560" s="204" t="s">
        <v>235</v>
      </c>
      <c r="F2560" s="205">
        <v>11.832585260415675</v>
      </c>
    </row>
    <row r="2561" spans="1:6">
      <c r="A2561" s="210">
        <v>256919700</v>
      </c>
      <c r="B2561" s="202" t="s">
        <v>1506</v>
      </c>
      <c r="C2561" s="203" t="s">
        <v>2143</v>
      </c>
      <c r="D2561" s="204">
        <v>1</v>
      </c>
      <c r="E2561" s="204" t="s">
        <v>2013</v>
      </c>
      <c r="F2561" s="205">
        <v>6.1474679080203241E-3</v>
      </c>
    </row>
    <row r="2562" spans="1:6">
      <c r="A2562" s="210">
        <v>257100000</v>
      </c>
      <c r="B2562" s="202" t="s">
        <v>4572</v>
      </c>
      <c r="C2562" s="203" t="s">
        <v>2143</v>
      </c>
      <c r="D2562" s="204">
        <v>1</v>
      </c>
      <c r="E2562" s="204" t="s">
        <v>2013</v>
      </c>
      <c r="F2562" s="205">
        <v>8.2106933696256823E-3</v>
      </c>
    </row>
    <row r="2563" spans="1:6">
      <c r="A2563" s="210">
        <v>257111000</v>
      </c>
      <c r="B2563" s="202" t="s">
        <v>1507</v>
      </c>
      <c r="C2563" s="203" t="s">
        <v>2143</v>
      </c>
      <c r="D2563" s="204">
        <v>1</v>
      </c>
      <c r="E2563" s="204" t="s">
        <v>235</v>
      </c>
      <c r="F2563" s="205">
        <v>1.5907936124547797</v>
      </c>
    </row>
    <row r="2564" spans="1:6">
      <c r="A2564" s="210">
        <v>257112000</v>
      </c>
      <c r="B2564" s="202" t="s">
        <v>1508</v>
      </c>
      <c r="C2564" s="203" t="s">
        <v>2143</v>
      </c>
      <c r="D2564" s="204">
        <v>1</v>
      </c>
      <c r="E2564" s="204" t="s">
        <v>235</v>
      </c>
      <c r="F2564" s="205">
        <v>1.6740731342868254</v>
      </c>
    </row>
    <row r="2565" spans="1:6">
      <c r="A2565" s="210">
        <v>257119000</v>
      </c>
      <c r="B2565" s="202" t="s">
        <v>1509</v>
      </c>
      <c r="C2565" s="203" t="s">
        <v>2143</v>
      </c>
      <c r="D2565" s="204">
        <v>1</v>
      </c>
      <c r="E2565" s="204" t="s">
        <v>2013</v>
      </c>
      <c r="F2565" s="205">
        <v>9.7045747445672539E-3</v>
      </c>
    </row>
    <row r="2566" spans="1:6">
      <c r="A2566" s="210">
        <v>257900000</v>
      </c>
      <c r="B2566" s="202" t="s">
        <v>4576</v>
      </c>
      <c r="C2566" s="203" t="s">
        <v>2143</v>
      </c>
      <c r="D2566" s="204">
        <v>1</v>
      </c>
      <c r="E2566" s="204" t="s">
        <v>2013</v>
      </c>
      <c r="F2566" s="205">
        <v>1.3975176937289932E-2</v>
      </c>
    </row>
    <row r="2567" spans="1:6">
      <c r="A2567" s="210">
        <v>257911000</v>
      </c>
      <c r="B2567" s="202" t="s">
        <v>4578</v>
      </c>
      <c r="C2567" s="203" t="s">
        <v>2143</v>
      </c>
      <c r="D2567" s="204">
        <v>1</v>
      </c>
      <c r="E2567" s="204" t="s">
        <v>235</v>
      </c>
      <c r="F2567" s="205">
        <v>2.8562158866754821</v>
      </c>
    </row>
    <row r="2568" spans="1:6">
      <c r="A2568" s="210">
        <v>257912000</v>
      </c>
      <c r="B2568" s="202" t="s">
        <v>1510</v>
      </c>
      <c r="C2568" s="203" t="s">
        <v>2143</v>
      </c>
      <c r="D2568" s="204">
        <v>1</v>
      </c>
      <c r="E2568" s="204" t="s">
        <v>235</v>
      </c>
      <c r="F2568" s="205">
        <v>5.3475323641245573</v>
      </c>
    </row>
    <row r="2569" spans="1:6">
      <c r="A2569" s="210">
        <v>257913000</v>
      </c>
      <c r="B2569" s="202" t="s">
        <v>4581</v>
      </c>
      <c r="C2569" s="203" t="s">
        <v>2143</v>
      </c>
      <c r="D2569" s="204">
        <v>1</v>
      </c>
      <c r="E2569" s="204" t="s">
        <v>235</v>
      </c>
      <c r="F2569" s="205">
        <v>3.2770087338753657</v>
      </c>
    </row>
    <row r="2570" spans="1:6">
      <c r="A2570" s="210">
        <v>257914000</v>
      </c>
      <c r="B2570" s="202" t="s">
        <v>1511</v>
      </c>
      <c r="C2570" s="203" t="s">
        <v>2143</v>
      </c>
      <c r="D2570" s="204">
        <v>1</v>
      </c>
      <c r="E2570" s="204" t="s">
        <v>235</v>
      </c>
      <c r="F2570" s="205">
        <v>3.4205045099158</v>
      </c>
    </row>
    <row r="2571" spans="1:6">
      <c r="A2571" s="210">
        <v>257915000</v>
      </c>
      <c r="B2571" s="202" t="s">
        <v>1512</v>
      </c>
      <c r="C2571" s="203" t="s">
        <v>2143</v>
      </c>
      <c r="D2571" s="204">
        <v>1</v>
      </c>
      <c r="E2571" s="204" t="s">
        <v>235</v>
      </c>
      <c r="F2571" s="205">
        <v>2.1928685569255602</v>
      </c>
    </row>
    <row r="2572" spans="1:6">
      <c r="A2572" s="210">
        <v>257919000</v>
      </c>
      <c r="B2572" s="202" t="s">
        <v>1513</v>
      </c>
      <c r="C2572" s="203" t="s">
        <v>2143</v>
      </c>
      <c r="D2572" s="204">
        <v>1</v>
      </c>
      <c r="E2572" s="204" t="s">
        <v>2013</v>
      </c>
      <c r="F2572" s="205">
        <v>1.3967993254977018E-2</v>
      </c>
    </row>
    <row r="2573" spans="1:6">
      <c r="A2573" s="210">
        <v>258100000</v>
      </c>
      <c r="B2573" s="202" t="s">
        <v>4585</v>
      </c>
      <c r="C2573" s="203" t="s">
        <v>2143</v>
      </c>
      <c r="D2573" s="204">
        <v>1</v>
      </c>
      <c r="E2573" s="204" t="s">
        <v>2013</v>
      </c>
      <c r="F2573" s="205">
        <v>7.5636744763182768E-3</v>
      </c>
    </row>
    <row r="2574" spans="1:6">
      <c r="A2574" s="210">
        <v>258111000</v>
      </c>
      <c r="B2574" s="202" t="s">
        <v>4587</v>
      </c>
      <c r="C2574" s="203" t="s">
        <v>2143</v>
      </c>
      <c r="D2574" s="204">
        <v>1</v>
      </c>
      <c r="E2574" s="204" t="s">
        <v>235</v>
      </c>
      <c r="F2574" s="205">
        <v>2.3547255439489123</v>
      </c>
    </row>
    <row r="2575" spans="1:6">
      <c r="A2575" s="210">
        <v>258112000</v>
      </c>
      <c r="B2575" s="202" t="s">
        <v>1514</v>
      </c>
      <c r="C2575" s="203" t="s">
        <v>2143</v>
      </c>
      <c r="D2575" s="204">
        <v>1</v>
      </c>
      <c r="E2575" s="204" t="s">
        <v>235</v>
      </c>
      <c r="F2575" s="205">
        <v>2.5259357446183945</v>
      </c>
    </row>
    <row r="2576" spans="1:6">
      <c r="A2576" s="210">
        <v>258113000</v>
      </c>
      <c r="B2576" s="202" t="s">
        <v>6174</v>
      </c>
      <c r="C2576" s="203" t="s">
        <v>2143</v>
      </c>
      <c r="D2576" s="204">
        <v>1</v>
      </c>
      <c r="E2576" s="204" t="s">
        <v>2013</v>
      </c>
      <c r="F2576" s="205">
        <v>9.9816289043414518E-3</v>
      </c>
    </row>
    <row r="2577" spans="1:6">
      <c r="A2577" s="210">
        <v>258114000</v>
      </c>
      <c r="B2577" s="202" t="s">
        <v>4590</v>
      </c>
      <c r="C2577" s="203" t="s">
        <v>2143</v>
      </c>
      <c r="D2577" s="204">
        <v>1</v>
      </c>
      <c r="E2577" s="204" t="s">
        <v>235</v>
      </c>
      <c r="F2577" s="205">
        <v>3.3553747472493134</v>
      </c>
    </row>
    <row r="2578" spans="1:6">
      <c r="A2578" s="210">
        <v>258119000</v>
      </c>
      <c r="B2578" s="202" t="s">
        <v>1515</v>
      </c>
      <c r="C2578" s="203" t="s">
        <v>2143</v>
      </c>
      <c r="D2578" s="204">
        <v>1</v>
      </c>
      <c r="E2578" s="204" t="s">
        <v>2013</v>
      </c>
      <c r="F2578" s="205">
        <v>1.2046766297520158E-2</v>
      </c>
    </row>
    <row r="2579" spans="1:6">
      <c r="A2579" s="210">
        <v>259100000</v>
      </c>
      <c r="B2579" s="202" t="s">
        <v>4592</v>
      </c>
      <c r="C2579" s="203" t="s">
        <v>2143</v>
      </c>
      <c r="D2579" s="204">
        <v>1</v>
      </c>
      <c r="E2579" s="204" t="s">
        <v>2013</v>
      </c>
      <c r="F2579" s="205">
        <v>9.6445330949774394E-3</v>
      </c>
    </row>
    <row r="2580" spans="1:6">
      <c r="A2580" s="210">
        <v>259111000</v>
      </c>
      <c r="B2580" s="202" t="s">
        <v>1516</v>
      </c>
      <c r="C2580" s="203" t="s">
        <v>2143</v>
      </c>
      <c r="D2580" s="204">
        <v>1</v>
      </c>
      <c r="E2580" s="204" t="s">
        <v>2013</v>
      </c>
      <c r="F2580" s="205">
        <v>9.6445330949774394E-3</v>
      </c>
    </row>
    <row r="2581" spans="1:6">
      <c r="A2581" s="210">
        <v>259200000</v>
      </c>
      <c r="B2581" s="202" t="s">
        <v>4595</v>
      </c>
      <c r="C2581" s="203" t="s">
        <v>2143</v>
      </c>
      <c r="D2581" s="204">
        <v>1</v>
      </c>
      <c r="E2581" s="204" t="s">
        <v>2013</v>
      </c>
      <c r="F2581" s="205">
        <v>2.3716885715737736E-2</v>
      </c>
    </row>
    <row r="2582" spans="1:6">
      <c r="A2582" s="210">
        <v>259211000</v>
      </c>
      <c r="B2582" s="202" t="s">
        <v>1517</v>
      </c>
      <c r="C2582" s="203" t="s">
        <v>2143</v>
      </c>
      <c r="D2582" s="204">
        <v>1</v>
      </c>
      <c r="E2582" s="204" t="s">
        <v>235</v>
      </c>
      <c r="F2582" s="205">
        <v>2.534338253026668</v>
      </c>
    </row>
    <row r="2583" spans="1:6">
      <c r="A2583" s="210">
        <v>259212000</v>
      </c>
      <c r="B2583" s="202" t="s">
        <v>1518</v>
      </c>
      <c r="C2583" s="203" t="s">
        <v>2143</v>
      </c>
      <c r="D2583" s="204">
        <v>1</v>
      </c>
      <c r="E2583" s="204" t="s">
        <v>235</v>
      </c>
      <c r="F2583" s="205">
        <v>2.6810976103534223</v>
      </c>
    </row>
    <row r="2584" spans="1:6">
      <c r="A2584" s="210">
        <v>259213000</v>
      </c>
      <c r="B2584" s="202" t="s">
        <v>1519</v>
      </c>
      <c r="C2584" s="203" t="s">
        <v>2143</v>
      </c>
      <c r="D2584" s="204">
        <v>1</v>
      </c>
      <c r="E2584" s="204" t="s">
        <v>235</v>
      </c>
      <c r="F2584" s="205">
        <v>3.1510878587560653</v>
      </c>
    </row>
    <row r="2585" spans="1:6">
      <c r="A2585" s="210">
        <v>259214000</v>
      </c>
      <c r="B2585" s="202" t="s">
        <v>1520</v>
      </c>
      <c r="C2585" s="203" t="s">
        <v>2143</v>
      </c>
      <c r="D2585" s="204">
        <v>1</v>
      </c>
      <c r="E2585" s="204" t="s">
        <v>235</v>
      </c>
      <c r="F2585" s="205">
        <v>2.8035403366296952</v>
      </c>
    </row>
    <row r="2586" spans="1:6">
      <c r="A2586" s="210">
        <v>259219000</v>
      </c>
      <c r="B2586" s="202" t="s">
        <v>1521</v>
      </c>
      <c r="C2586" s="203" t="s">
        <v>2143</v>
      </c>
      <c r="D2586" s="204">
        <v>1</v>
      </c>
      <c r="E2586" s="204" t="s">
        <v>2013</v>
      </c>
      <c r="F2586" s="205">
        <v>0.10000139118474449</v>
      </c>
    </row>
    <row r="2587" spans="1:6">
      <c r="A2587" s="210">
        <v>259900000</v>
      </c>
      <c r="B2587" s="202" t="s">
        <v>6175</v>
      </c>
      <c r="C2587" s="203" t="s">
        <v>2143</v>
      </c>
      <c r="D2587" s="204">
        <v>1</v>
      </c>
      <c r="E2587" s="204" t="s">
        <v>2013</v>
      </c>
      <c r="F2587" s="205">
        <v>1.9275131075791579E-3</v>
      </c>
    </row>
    <row r="2588" spans="1:6">
      <c r="A2588" s="210">
        <v>259911000</v>
      </c>
      <c r="B2588" s="202" t="s">
        <v>6176</v>
      </c>
      <c r="C2588" s="203" t="s">
        <v>2143</v>
      </c>
      <c r="D2588" s="204">
        <v>1</v>
      </c>
      <c r="E2588" s="204" t="s">
        <v>2013</v>
      </c>
      <c r="F2588" s="205">
        <v>1.370071721622692E-3</v>
      </c>
    </row>
    <row r="2589" spans="1:6">
      <c r="A2589" s="210">
        <v>259912000</v>
      </c>
      <c r="B2589" s="202" t="s">
        <v>1522</v>
      </c>
      <c r="C2589" s="203" t="s">
        <v>2143</v>
      </c>
      <c r="D2589" s="204">
        <v>1</v>
      </c>
      <c r="E2589" s="204" t="s">
        <v>2013</v>
      </c>
      <c r="F2589" s="205">
        <v>1.3761057664513441E-3</v>
      </c>
    </row>
    <row r="2590" spans="1:6">
      <c r="A2590" s="210">
        <v>259913000</v>
      </c>
      <c r="B2590" s="202" t="s">
        <v>1523</v>
      </c>
      <c r="C2590" s="203" t="s">
        <v>2143</v>
      </c>
      <c r="D2590" s="204">
        <v>1</v>
      </c>
      <c r="E2590" s="204" t="s">
        <v>2013</v>
      </c>
      <c r="F2590" s="205">
        <v>1.4335482265393337E-3</v>
      </c>
    </row>
    <row r="2591" spans="1:6">
      <c r="A2591" s="210">
        <v>259914000</v>
      </c>
      <c r="B2591" s="202" t="s">
        <v>1524</v>
      </c>
      <c r="C2591" s="203" t="s">
        <v>2143</v>
      </c>
      <c r="D2591" s="204">
        <v>1</v>
      </c>
      <c r="E2591" s="204" t="s">
        <v>2013</v>
      </c>
      <c r="F2591" s="205">
        <v>1.4241987369178269E-3</v>
      </c>
    </row>
    <row r="2592" spans="1:6">
      <c r="A2592" s="210">
        <v>259915000</v>
      </c>
      <c r="B2592" s="202" t="s">
        <v>6177</v>
      </c>
      <c r="C2592" s="203" t="s">
        <v>2143</v>
      </c>
      <c r="D2592" s="204">
        <v>1</v>
      </c>
      <c r="E2592" s="204" t="s">
        <v>2013</v>
      </c>
      <c r="F2592" s="205">
        <v>1.6332728759989902E-3</v>
      </c>
    </row>
    <row r="2593" spans="1:6">
      <c r="A2593" s="210">
        <v>259919000</v>
      </c>
      <c r="B2593" s="202" t="s">
        <v>6178</v>
      </c>
      <c r="C2593" s="203" t="s">
        <v>2143</v>
      </c>
      <c r="D2593" s="204">
        <v>1</v>
      </c>
      <c r="E2593" s="204" t="s">
        <v>2013</v>
      </c>
      <c r="F2593" s="205">
        <v>2.8920861602145381E-3</v>
      </c>
    </row>
    <row r="2594" spans="1:6">
      <c r="A2594" s="210">
        <v>259919100</v>
      </c>
      <c r="B2594" s="202" t="s">
        <v>6179</v>
      </c>
      <c r="C2594" s="203" t="s">
        <v>2143</v>
      </c>
      <c r="D2594" s="204">
        <v>1</v>
      </c>
      <c r="E2594" s="204" t="s">
        <v>235</v>
      </c>
      <c r="F2594" s="205">
        <v>2.2942177751200838</v>
      </c>
    </row>
    <row r="2595" spans="1:6">
      <c r="A2595" s="210">
        <v>261100000</v>
      </c>
      <c r="B2595" s="202" t="s">
        <v>4602</v>
      </c>
      <c r="C2595" s="203" t="s">
        <v>2143</v>
      </c>
      <c r="D2595" s="204">
        <v>1</v>
      </c>
      <c r="E2595" s="204" t="s">
        <v>2013</v>
      </c>
      <c r="F2595" s="205">
        <v>6.181853450511742E-4</v>
      </c>
    </row>
    <row r="2596" spans="1:6">
      <c r="A2596" s="210">
        <v>261111000</v>
      </c>
      <c r="B2596" s="202" t="s">
        <v>1525</v>
      </c>
      <c r="C2596" s="203" t="s">
        <v>2143</v>
      </c>
      <c r="D2596" s="204">
        <v>1</v>
      </c>
      <c r="E2596" s="204" t="s">
        <v>2144</v>
      </c>
      <c r="F2596" s="205">
        <v>7424.1417101188445</v>
      </c>
    </row>
    <row r="2597" spans="1:6">
      <c r="A2597" s="210">
        <v>261112000</v>
      </c>
      <c r="B2597" s="202" t="s">
        <v>1526</v>
      </c>
      <c r="C2597" s="203" t="s">
        <v>2143</v>
      </c>
      <c r="D2597" s="204">
        <v>1</v>
      </c>
      <c r="E2597" s="204" t="s">
        <v>2144</v>
      </c>
      <c r="F2597" s="205">
        <v>24654.318900827635</v>
      </c>
    </row>
    <row r="2598" spans="1:6">
      <c r="A2598" s="210">
        <v>261119000</v>
      </c>
      <c r="B2598" s="202" t="s">
        <v>4606</v>
      </c>
      <c r="C2598" s="203" t="s">
        <v>2143</v>
      </c>
      <c r="D2598" s="204">
        <v>1</v>
      </c>
      <c r="E2598" s="204" t="s">
        <v>2013</v>
      </c>
      <c r="F2598" s="205">
        <v>7.6539576384756949E-4</v>
      </c>
    </row>
    <row r="2599" spans="1:6">
      <c r="A2599" s="210">
        <v>261200000</v>
      </c>
      <c r="B2599" s="202" t="s">
        <v>4608</v>
      </c>
      <c r="C2599" s="203" t="s">
        <v>2143</v>
      </c>
      <c r="D2599" s="204">
        <v>1</v>
      </c>
      <c r="E2599" s="204" t="s">
        <v>2013</v>
      </c>
      <c r="F2599" s="205">
        <v>1.0840890328249989E-3</v>
      </c>
    </row>
    <row r="2600" spans="1:6">
      <c r="A2600" s="210">
        <v>261211000</v>
      </c>
      <c r="B2600" s="202" t="s">
        <v>1527</v>
      </c>
      <c r="C2600" s="203" t="s">
        <v>2143</v>
      </c>
      <c r="D2600" s="204">
        <v>1</v>
      </c>
      <c r="E2600" s="204" t="s">
        <v>2144</v>
      </c>
      <c r="F2600" s="205">
        <v>637983.4873402454</v>
      </c>
    </row>
    <row r="2601" spans="1:6">
      <c r="A2601" s="210">
        <v>261219000</v>
      </c>
      <c r="B2601" s="202" t="s">
        <v>1528</v>
      </c>
      <c r="C2601" s="203" t="s">
        <v>2143</v>
      </c>
      <c r="D2601" s="204">
        <v>1</v>
      </c>
      <c r="E2601" s="204" t="s">
        <v>2013</v>
      </c>
      <c r="F2601" s="205">
        <v>1.0950909708026563E-3</v>
      </c>
    </row>
    <row r="2602" spans="1:6">
      <c r="A2602" s="210">
        <v>261300000</v>
      </c>
      <c r="B2602" s="202" t="s">
        <v>4612</v>
      </c>
      <c r="C2602" s="203" t="s">
        <v>2143</v>
      </c>
      <c r="D2602" s="204">
        <v>1</v>
      </c>
      <c r="E2602" s="204" t="s">
        <v>2144</v>
      </c>
      <c r="F2602" s="205">
        <v>124.20985326847517</v>
      </c>
    </row>
    <row r="2603" spans="1:6">
      <c r="A2603" s="210">
        <v>261311000</v>
      </c>
      <c r="B2603" s="202" t="s">
        <v>1529</v>
      </c>
      <c r="C2603" s="203" t="s">
        <v>2143</v>
      </c>
      <c r="D2603" s="204">
        <v>1</v>
      </c>
      <c r="E2603" s="204" t="s">
        <v>2144</v>
      </c>
      <c r="F2603" s="205">
        <v>43.16233476039924</v>
      </c>
    </row>
    <row r="2604" spans="1:6">
      <c r="A2604" s="210">
        <v>261311200</v>
      </c>
      <c r="B2604" s="202" t="s">
        <v>1530</v>
      </c>
      <c r="C2604" s="203" t="s">
        <v>2143</v>
      </c>
      <c r="D2604" s="204">
        <v>1</v>
      </c>
      <c r="E2604" s="204" t="s">
        <v>2144</v>
      </c>
      <c r="F2604" s="205">
        <v>233.27937797518967</v>
      </c>
    </row>
    <row r="2605" spans="1:6">
      <c r="A2605" s="210">
        <v>261312000</v>
      </c>
      <c r="B2605" s="202" t="s">
        <v>1531</v>
      </c>
      <c r="C2605" s="203" t="s">
        <v>2143</v>
      </c>
      <c r="D2605" s="204">
        <v>1</v>
      </c>
      <c r="E2605" s="204" t="s">
        <v>2144</v>
      </c>
      <c r="F2605" s="205">
        <v>356.05321997730937</v>
      </c>
    </row>
    <row r="2606" spans="1:6">
      <c r="A2606" s="210">
        <v>261900000</v>
      </c>
      <c r="B2606" s="202" t="s">
        <v>6180</v>
      </c>
      <c r="C2606" s="203" t="s">
        <v>2143</v>
      </c>
      <c r="D2606" s="204">
        <v>1</v>
      </c>
      <c r="E2606" s="204" t="s">
        <v>2013</v>
      </c>
      <c r="F2606" s="205">
        <v>1.4461822306366581E-3</v>
      </c>
    </row>
    <row r="2607" spans="1:6">
      <c r="A2607" s="210">
        <v>261911000</v>
      </c>
      <c r="B2607" s="202" t="s">
        <v>1532</v>
      </c>
      <c r="C2607" s="203" t="s">
        <v>2143</v>
      </c>
      <c r="D2607" s="204">
        <v>1</v>
      </c>
      <c r="E2607" s="204" t="s">
        <v>2013</v>
      </c>
      <c r="F2607" s="205">
        <v>1.4486333896760427E-3</v>
      </c>
    </row>
    <row r="2608" spans="1:6">
      <c r="A2608" s="210">
        <v>261919000</v>
      </c>
      <c r="B2608" s="202" t="s">
        <v>1533</v>
      </c>
      <c r="C2608" s="203" t="s">
        <v>2143</v>
      </c>
      <c r="D2608" s="204">
        <v>1</v>
      </c>
      <c r="E2608" s="204" t="s">
        <v>2013</v>
      </c>
      <c r="F2608" s="205">
        <v>1.3325535372915879E-3</v>
      </c>
    </row>
    <row r="2609" spans="1:6">
      <c r="A2609" s="210">
        <v>262100000</v>
      </c>
      <c r="B2609" s="202" t="s">
        <v>4616</v>
      </c>
      <c r="C2609" s="203" t="s">
        <v>2143</v>
      </c>
      <c r="D2609" s="204">
        <v>1</v>
      </c>
      <c r="E2609" s="204" t="s">
        <v>2013</v>
      </c>
      <c r="F2609" s="205">
        <v>1.8267160655611632E-3</v>
      </c>
    </row>
    <row r="2610" spans="1:6">
      <c r="A2610" s="210">
        <v>262111000</v>
      </c>
      <c r="B2610" s="202" t="s">
        <v>4618</v>
      </c>
      <c r="C2610" s="203" t="s">
        <v>2143</v>
      </c>
      <c r="D2610" s="204">
        <v>1</v>
      </c>
      <c r="E2610" s="204" t="s">
        <v>2144</v>
      </c>
      <c r="F2610" s="205">
        <v>195.61465727384689</v>
      </c>
    </row>
    <row r="2611" spans="1:6">
      <c r="A2611" s="210">
        <v>262112000</v>
      </c>
      <c r="B2611" s="202" t="s">
        <v>1534</v>
      </c>
      <c r="C2611" s="203" t="s">
        <v>2143</v>
      </c>
      <c r="D2611" s="204">
        <v>1</v>
      </c>
      <c r="E2611" s="204" t="s">
        <v>2144</v>
      </c>
      <c r="F2611" s="205">
        <v>2126.5332087713423</v>
      </c>
    </row>
    <row r="2612" spans="1:6">
      <c r="A2612" s="210">
        <v>262119000</v>
      </c>
      <c r="B2612" s="202" t="s">
        <v>1535</v>
      </c>
      <c r="C2612" s="203" t="s">
        <v>2143</v>
      </c>
      <c r="D2612" s="204">
        <v>1</v>
      </c>
      <c r="E2612" s="204" t="s">
        <v>2013</v>
      </c>
      <c r="F2612" s="205">
        <v>2.385718499126787E-3</v>
      </c>
    </row>
    <row r="2613" spans="1:6">
      <c r="A2613" s="210">
        <v>262121000</v>
      </c>
      <c r="B2613" s="202" t="s">
        <v>1536</v>
      </c>
      <c r="C2613" s="203" t="s">
        <v>2143</v>
      </c>
      <c r="D2613" s="204">
        <v>1</v>
      </c>
      <c r="E2613" s="204" t="s">
        <v>2144</v>
      </c>
      <c r="F2613" s="205">
        <v>74.212082341261237</v>
      </c>
    </row>
    <row r="2614" spans="1:6">
      <c r="A2614" s="210">
        <v>262122000</v>
      </c>
      <c r="B2614" s="202" t="s">
        <v>1537</v>
      </c>
      <c r="C2614" s="203" t="s">
        <v>2143</v>
      </c>
      <c r="D2614" s="204">
        <v>1</v>
      </c>
      <c r="E2614" s="204" t="s">
        <v>2144</v>
      </c>
      <c r="F2614" s="205">
        <v>1094.3223779621694</v>
      </c>
    </row>
    <row r="2615" spans="1:6">
      <c r="A2615" s="210">
        <v>262129000</v>
      </c>
      <c r="B2615" s="202" t="s">
        <v>1538</v>
      </c>
      <c r="C2615" s="203" t="s">
        <v>2143</v>
      </c>
      <c r="D2615" s="204">
        <v>1</v>
      </c>
      <c r="E2615" s="204" t="s">
        <v>2013</v>
      </c>
      <c r="F2615" s="205">
        <v>1.7002898544507053E-3</v>
      </c>
    </row>
    <row r="2616" spans="1:6">
      <c r="A2616" s="210">
        <v>262131000</v>
      </c>
      <c r="B2616" s="202" t="s">
        <v>1539</v>
      </c>
      <c r="C2616" s="203" t="s">
        <v>2143</v>
      </c>
      <c r="D2616" s="204">
        <v>1</v>
      </c>
      <c r="E2616" s="204" t="s">
        <v>2144</v>
      </c>
      <c r="F2616" s="205">
        <v>1071.3286542725978</v>
      </c>
    </row>
    <row r="2617" spans="1:6">
      <c r="A2617" s="210">
        <v>262132000</v>
      </c>
      <c r="B2617" s="202" t="s">
        <v>1540</v>
      </c>
      <c r="C2617" s="203" t="s">
        <v>2143</v>
      </c>
      <c r="D2617" s="204">
        <v>1</v>
      </c>
      <c r="E2617" s="204" t="s">
        <v>2144</v>
      </c>
      <c r="F2617" s="205">
        <v>2560.3099112824975</v>
      </c>
    </row>
    <row r="2618" spans="1:6">
      <c r="A2618" s="210">
        <v>262139000</v>
      </c>
      <c r="B2618" s="202" t="s">
        <v>1541</v>
      </c>
      <c r="C2618" s="203" t="s">
        <v>2143</v>
      </c>
      <c r="D2618" s="204">
        <v>1</v>
      </c>
      <c r="E2618" s="204" t="s">
        <v>2013</v>
      </c>
      <c r="F2618" s="205">
        <v>1.6918038117146508E-3</v>
      </c>
    </row>
    <row r="2619" spans="1:6">
      <c r="A2619" s="210">
        <v>262141000</v>
      </c>
      <c r="B2619" s="202" t="s">
        <v>1542</v>
      </c>
      <c r="C2619" s="203" t="s">
        <v>2143</v>
      </c>
      <c r="D2619" s="204">
        <v>1</v>
      </c>
      <c r="E2619" s="204" t="s">
        <v>2013</v>
      </c>
      <c r="F2619" s="205">
        <v>1.6931341624009605E-3</v>
      </c>
    </row>
    <row r="2620" spans="1:6">
      <c r="A2620" s="210">
        <v>262149000</v>
      </c>
      <c r="B2620" s="202" t="s">
        <v>1543</v>
      </c>
      <c r="C2620" s="203" t="s">
        <v>2143</v>
      </c>
      <c r="D2620" s="204">
        <v>1</v>
      </c>
      <c r="E2620" s="204" t="s">
        <v>2013</v>
      </c>
      <c r="F2620" s="205">
        <v>2.2915502407644152E-3</v>
      </c>
    </row>
    <row r="2621" spans="1:6">
      <c r="A2621" s="210">
        <v>263100000</v>
      </c>
      <c r="B2621" s="202" t="s">
        <v>4628</v>
      </c>
      <c r="C2621" s="203" t="s">
        <v>2143</v>
      </c>
      <c r="D2621" s="204">
        <v>1</v>
      </c>
      <c r="E2621" s="204" t="s">
        <v>2013</v>
      </c>
      <c r="F2621" s="205">
        <v>1.5173072672255306E-3</v>
      </c>
    </row>
    <row r="2622" spans="1:6">
      <c r="A2622" s="210">
        <v>263111000</v>
      </c>
      <c r="B2622" s="202" t="s">
        <v>1544</v>
      </c>
      <c r="C2622" s="203" t="s">
        <v>2143</v>
      </c>
      <c r="D2622" s="204">
        <v>1</v>
      </c>
      <c r="E2622" s="204" t="s">
        <v>2144</v>
      </c>
      <c r="F2622" s="205">
        <v>11050.326807347297</v>
      </c>
    </row>
    <row r="2623" spans="1:6">
      <c r="A2623" s="210">
        <v>263112000</v>
      </c>
      <c r="B2623" s="202" t="s">
        <v>4631</v>
      </c>
      <c r="C2623" s="203" t="s">
        <v>2143</v>
      </c>
      <c r="D2623" s="204">
        <v>1</v>
      </c>
      <c r="E2623" s="204" t="s">
        <v>2144</v>
      </c>
      <c r="F2623" s="205">
        <v>65838.233966604486</v>
      </c>
    </row>
    <row r="2624" spans="1:6">
      <c r="A2624" s="210">
        <v>263113000</v>
      </c>
      <c r="B2624" s="202" t="s">
        <v>1545</v>
      </c>
      <c r="C2624" s="203" t="s">
        <v>2143</v>
      </c>
      <c r="D2624" s="204">
        <v>1</v>
      </c>
      <c r="E2624" s="204" t="s">
        <v>2144</v>
      </c>
      <c r="F2624" s="205">
        <v>85581.373729664949</v>
      </c>
    </row>
    <row r="2625" spans="1:6">
      <c r="A2625" s="210">
        <v>263114000</v>
      </c>
      <c r="B2625" s="202" t="s">
        <v>1546</v>
      </c>
      <c r="C2625" s="203" t="s">
        <v>2143</v>
      </c>
      <c r="D2625" s="204">
        <v>1</v>
      </c>
      <c r="E2625" s="204" t="s">
        <v>2144</v>
      </c>
      <c r="F2625" s="205">
        <v>1160.3346795145671</v>
      </c>
    </row>
    <row r="2626" spans="1:6">
      <c r="A2626" s="210">
        <v>263115000</v>
      </c>
      <c r="B2626" s="202" t="s">
        <v>1547</v>
      </c>
      <c r="C2626" s="203" t="s">
        <v>2143</v>
      </c>
      <c r="D2626" s="204">
        <v>1</v>
      </c>
      <c r="E2626" s="204" t="s">
        <v>2144</v>
      </c>
      <c r="F2626" s="205">
        <v>21882.966851486912</v>
      </c>
    </row>
    <row r="2627" spans="1:6">
      <c r="A2627" s="210">
        <v>263116000</v>
      </c>
      <c r="B2627" s="202" t="s">
        <v>1548</v>
      </c>
      <c r="C2627" s="203" t="s">
        <v>2143</v>
      </c>
      <c r="D2627" s="204">
        <v>1</v>
      </c>
      <c r="E2627" s="204" t="s">
        <v>2144</v>
      </c>
      <c r="F2627" s="205">
        <v>559.16235911561807</v>
      </c>
    </row>
    <row r="2628" spans="1:6">
      <c r="A2628" s="210">
        <v>263117000</v>
      </c>
      <c r="B2628" s="202" t="s">
        <v>1549</v>
      </c>
      <c r="C2628" s="203" t="s">
        <v>2143</v>
      </c>
      <c r="D2628" s="204">
        <v>1</v>
      </c>
      <c r="E2628" s="204" t="s">
        <v>2144</v>
      </c>
      <c r="F2628" s="205">
        <v>18547.52452196263</v>
      </c>
    </row>
    <row r="2629" spans="1:6">
      <c r="A2629" s="210">
        <v>263118000</v>
      </c>
      <c r="B2629" s="202" t="s">
        <v>1550</v>
      </c>
      <c r="C2629" s="203" t="s">
        <v>2143</v>
      </c>
      <c r="D2629" s="204">
        <v>1</v>
      </c>
      <c r="E2629" s="204" t="s">
        <v>2144</v>
      </c>
      <c r="F2629" s="205">
        <v>14737.484559653727</v>
      </c>
    </row>
    <row r="2630" spans="1:6">
      <c r="A2630" s="210">
        <v>263121000</v>
      </c>
      <c r="B2630" s="202" t="s">
        <v>1551</v>
      </c>
      <c r="C2630" s="203" t="s">
        <v>2143</v>
      </c>
      <c r="D2630" s="204">
        <v>1</v>
      </c>
      <c r="E2630" s="204" t="s">
        <v>2144</v>
      </c>
      <c r="F2630" s="205">
        <v>15024.474290994352</v>
      </c>
    </row>
    <row r="2631" spans="1:6">
      <c r="A2631" s="210">
        <v>263122000</v>
      </c>
      <c r="B2631" s="202" t="s">
        <v>4640</v>
      </c>
      <c r="C2631" s="203" t="s">
        <v>2143</v>
      </c>
      <c r="D2631" s="204">
        <v>1</v>
      </c>
      <c r="E2631" s="204" t="s">
        <v>2144</v>
      </c>
      <c r="F2631" s="205">
        <v>3077.963855528531</v>
      </c>
    </row>
    <row r="2632" spans="1:6">
      <c r="A2632" s="210">
        <v>263131000</v>
      </c>
      <c r="B2632" s="202" t="s">
        <v>1552</v>
      </c>
      <c r="C2632" s="203" t="s">
        <v>2143</v>
      </c>
      <c r="D2632" s="204">
        <v>1</v>
      </c>
      <c r="E2632" s="204" t="s">
        <v>2144</v>
      </c>
      <c r="F2632" s="205">
        <v>1205.0768947463962</v>
      </c>
    </row>
    <row r="2633" spans="1:6">
      <c r="A2633" s="210">
        <v>263132000</v>
      </c>
      <c r="B2633" s="202" t="s">
        <v>1553</v>
      </c>
      <c r="C2633" s="203" t="s">
        <v>2143</v>
      </c>
      <c r="D2633" s="204">
        <v>1</v>
      </c>
      <c r="E2633" s="204" t="s">
        <v>2144</v>
      </c>
      <c r="F2633" s="205">
        <v>31482.822077294957</v>
      </c>
    </row>
    <row r="2634" spans="1:6">
      <c r="A2634" s="210">
        <v>263133000</v>
      </c>
      <c r="B2634" s="202" t="s">
        <v>1554</v>
      </c>
      <c r="C2634" s="203" t="s">
        <v>2143</v>
      </c>
      <c r="D2634" s="204">
        <v>1</v>
      </c>
      <c r="E2634" s="204" t="s">
        <v>2013</v>
      </c>
      <c r="F2634" s="205">
        <v>6.7644643623872508E-3</v>
      </c>
    </row>
    <row r="2635" spans="1:6">
      <c r="A2635" s="210">
        <v>263134000</v>
      </c>
      <c r="B2635" s="202" t="s">
        <v>1555</v>
      </c>
      <c r="C2635" s="203" t="s">
        <v>2143</v>
      </c>
      <c r="D2635" s="204">
        <v>1</v>
      </c>
      <c r="E2635" s="204" t="s">
        <v>2013</v>
      </c>
      <c r="F2635" s="205">
        <v>1.989461272401424E-3</v>
      </c>
    </row>
    <row r="2636" spans="1:6">
      <c r="A2636" s="210">
        <v>263139000</v>
      </c>
      <c r="B2636" s="202" t="s">
        <v>1556</v>
      </c>
      <c r="C2636" s="203" t="s">
        <v>2143</v>
      </c>
      <c r="D2636" s="204">
        <v>1</v>
      </c>
      <c r="E2636" s="204" t="s">
        <v>2013</v>
      </c>
      <c r="F2636" s="205">
        <v>1.4706686051239944E-3</v>
      </c>
    </row>
    <row r="2637" spans="1:6">
      <c r="A2637" s="210">
        <v>264100000</v>
      </c>
      <c r="B2637" s="202" t="s">
        <v>4644</v>
      </c>
      <c r="C2637" s="203" t="s">
        <v>2143</v>
      </c>
      <c r="D2637" s="204">
        <v>1</v>
      </c>
      <c r="E2637" s="204" t="s">
        <v>2013</v>
      </c>
      <c r="F2637" s="205">
        <v>1.8655410935290264E-3</v>
      </c>
    </row>
    <row r="2638" spans="1:6">
      <c r="A2638" s="210">
        <v>264111000</v>
      </c>
      <c r="B2638" s="202" t="s">
        <v>1557</v>
      </c>
      <c r="C2638" s="203" t="s">
        <v>2143</v>
      </c>
      <c r="D2638" s="204">
        <v>1</v>
      </c>
      <c r="E2638" s="204" t="s">
        <v>2144</v>
      </c>
      <c r="F2638" s="205">
        <v>18270.905648986354</v>
      </c>
    </row>
    <row r="2639" spans="1:6">
      <c r="A2639" s="210">
        <v>264119000</v>
      </c>
      <c r="B2639" s="202" t="s">
        <v>1558</v>
      </c>
      <c r="C2639" s="203" t="s">
        <v>2143</v>
      </c>
      <c r="D2639" s="204">
        <v>1</v>
      </c>
      <c r="E2639" s="204" t="s">
        <v>2144</v>
      </c>
      <c r="F2639" s="205">
        <v>14572.851921464557</v>
      </c>
    </row>
    <row r="2640" spans="1:6">
      <c r="A2640" s="210">
        <v>264121000</v>
      </c>
      <c r="B2640" s="202" t="s">
        <v>1559</v>
      </c>
      <c r="C2640" s="203" t="s">
        <v>2143</v>
      </c>
      <c r="D2640" s="204">
        <v>1</v>
      </c>
      <c r="E2640" s="204" t="s">
        <v>2144</v>
      </c>
      <c r="F2640" s="205">
        <v>1698.2601619683846</v>
      </c>
    </row>
    <row r="2641" spans="1:6">
      <c r="A2641" s="210">
        <v>264122000</v>
      </c>
      <c r="B2641" s="202" t="s">
        <v>1560</v>
      </c>
      <c r="C2641" s="203" t="s">
        <v>2143</v>
      </c>
      <c r="D2641" s="204">
        <v>1</v>
      </c>
      <c r="E2641" s="204" t="s">
        <v>2144</v>
      </c>
      <c r="F2641" s="205">
        <v>97108.957108454473</v>
      </c>
    </row>
    <row r="2642" spans="1:6">
      <c r="A2642" s="210">
        <v>264123000</v>
      </c>
      <c r="B2642" s="202" t="s">
        <v>1561</v>
      </c>
      <c r="C2642" s="203" t="s">
        <v>2143</v>
      </c>
      <c r="D2642" s="204">
        <v>1</v>
      </c>
      <c r="E2642" s="204" t="s">
        <v>2144</v>
      </c>
      <c r="F2642" s="205">
        <v>35450.912929858678</v>
      </c>
    </row>
    <row r="2643" spans="1:6">
      <c r="A2643" s="210">
        <v>264124000</v>
      </c>
      <c r="B2643" s="202" t="s">
        <v>1562</v>
      </c>
      <c r="C2643" s="203" t="s">
        <v>2143</v>
      </c>
      <c r="D2643" s="204">
        <v>1</v>
      </c>
      <c r="E2643" s="204" t="s">
        <v>2144</v>
      </c>
      <c r="F2643" s="205">
        <v>21458.097522212014</v>
      </c>
    </row>
    <row r="2644" spans="1:6">
      <c r="A2644" s="210">
        <v>264125000</v>
      </c>
      <c r="B2644" s="202" t="s">
        <v>1563</v>
      </c>
      <c r="C2644" s="203" t="s">
        <v>2143</v>
      </c>
      <c r="D2644" s="204">
        <v>1</v>
      </c>
      <c r="E2644" s="204" t="s">
        <v>2144</v>
      </c>
      <c r="F2644" s="205">
        <v>49896.126852406189</v>
      </c>
    </row>
    <row r="2645" spans="1:6">
      <c r="A2645" s="210">
        <v>264126000</v>
      </c>
      <c r="B2645" s="202" t="s">
        <v>1564</v>
      </c>
      <c r="C2645" s="203" t="s">
        <v>2143</v>
      </c>
      <c r="D2645" s="204">
        <v>1</v>
      </c>
      <c r="E2645" s="204" t="s">
        <v>2144</v>
      </c>
      <c r="F2645" s="205">
        <v>26117.23373277553</v>
      </c>
    </row>
    <row r="2646" spans="1:6">
      <c r="A2646" s="210">
        <v>264127000</v>
      </c>
      <c r="B2646" s="202" t="s">
        <v>1565</v>
      </c>
      <c r="C2646" s="203" t="s">
        <v>2143</v>
      </c>
      <c r="D2646" s="204">
        <v>1</v>
      </c>
      <c r="E2646" s="204" t="s">
        <v>2144</v>
      </c>
      <c r="F2646" s="205">
        <v>18648.145181774264</v>
      </c>
    </row>
    <row r="2647" spans="1:6">
      <c r="A2647" s="210">
        <v>264129000</v>
      </c>
      <c r="B2647" s="202" t="s">
        <v>1566</v>
      </c>
      <c r="C2647" s="203" t="s">
        <v>2143</v>
      </c>
      <c r="D2647" s="204">
        <v>1</v>
      </c>
      <c r="E2647" s="204" t="s">
        <v>2013</v>
      </c>
      <c r="F2647" s="205">
        <v>1.6917138405198732E-3</v>
      </c>
    </row>
    <row r="2648" spans="1:6">
      <c r="A2648" s="210">
        <v>264200000</v>
      </c>
      <c r="B2648" s="202" t="s">
        <v>4656</v>
      </c>
      <c r="C2648" s="203" t="s">
        <v>2143</v>
      </c>
      <c r="D2648" s="204">
        <v>1</v>
      </c>
      <c r="E2648" s="204" t="s">
        <v>2013</v>
      </c>
      <c r="F2648" s="205">
        <v>7.5763074661972787E-4</v>
      </c>
    </row>
    <row r="2649" spans="1:6">
      <c r="A2649" s="210">
        <v>264211000</v>
      </c>
      <c r="B2649" s="202" t="s">
        <v>1567</v>
      </c>
      <c r="C2649" s="203" t="s">
        <v>2143</v>
      </c>
      <c r="D2649" s="204">
        <v>1</v>
      </c>
      <c r="E2649" s="204" t="s">
        <v>2013</v>
      </c>
      <c r="F2649" s="205">
        <v>6.8877284245765944E-4</v>
      </c>
    </row>
    <row r="2650" spans="1:6">
      <c r="A2650" s="210">
        <v>264212000</v>
      </c>
      <c r="B2650" s="202" t="s">
        <v>1568</v>
      </c>
      <c r="C2650" s="203" t="s">
        <v>2143</v>
      </c>
      <c r="D2650" s="204">
        <v>1</v>
      </c>
      <c r="E2650" s="204" t="s">
        <v>2013</v>
      </c>
      <c r="F2650" s="205">
        <v>9.5196160545413157E-4</v>
      </c>
    </row>
    <row r="2651" spans="1:6">
      <c r="A2651" s="210">
        <v>264213000</v>
      </c>
      <c r="B2651" s="202" t="s">
        <v>1569</v>
      </c>
      <c r="C2651" s="203" t="s">
        <v>2143</v>
      </c>
      <c r="D2651" s="204">
        <v>1</v>
      </c>
      <c r="E2651" s="204" t="s">
        <v>2144</v>
      </c>
      <c r="F2651" s="205">
        <v>7143.6737976897748</v>
      </c>
    </row>
    <row r="2652" spans="1:6">
      <c r="A2652" s="210">
        <v>264214000</v>
      </c>
      <c r="B2652" s="202" t="s">
        <v>1570</v>
      </c>
      <c r="C2652" s="203" t="s">
        <v>2143</v>
      </c>
      <c r="D2652" s="204">
        <v>1</v>
      </c>
      <c r="E2652" s="204" t="s">
        <v>2144</v>
      </c>
      <c r="F2652" s="205">
        <v>7458.9337062548439</v>
      </c>
    </row>
    <row r="2653" spans="1:6">
      <c r="A2653" s="210">
        <v>264215000</v>
      </c>
      <c r="B2653" s="202" t="s">
        <v>1571</v>
      </c>
      <c r="C2653" s="203" t="s">
        <v>2143</v>
      </c>
      <c r="D2653" s="204">
        <v>1</v>
      </c>
      <c r="E2653" s="204" t="s">
        <v>2144</v>
      </c>
      <c r="F2653" s="205">
        <v>12694.379191241591</v>
      </c>
    </row>
    <row r="2654" spans="1:6">
      <c r="A2654" s="210">
        <v>264216000</v>
      </c>
      <c r="B2654" s="202" t="s">
        <v>4663</v>
      </c>
      <c r="C2654" s="203" t="s">
        <v>2143</v>
      </c>
      <c r="D2654" s="204">
        <v>1</v>
      </c>
      <c r="E2654" s="204" t="s">
        <v>2144</v>
      </c>
      <c r="F2654" s="205">
        <v>3396.8195815160525</v>
      </c>
    </row>
    <row r="2655" spans="1:6">
      <c r="A2655" s="210">
        <v>264217000</v>
      </c>
      <c r="B2655" s="202" t="s">
        <v>1572</v>
      </c>
      <c r="C2655" s="203" t="s">
        <v>2143</v>
      </c>
      <c r="D2655" s="204">
        <v>1</v>
      </c>
      <c r="E2655" s="204" t="s">
        <v>2144</v>
      </c>
      <c r="F2655" s="205">
        <v>21486.887380409928</v>
      </c>
    </row>
    <row r="2656" spans="1:6">
      <c r="A2656" s="210">
        <v>264218000</v>
      </c>
      <c r="B2656" s="202" t="s">
        <v>1573</v>
      </c>
      <c r="C2656" s="203" t="s">
        <v>2143</v>
      </c>
      <c r="D2656" s="204">
        <v>1</v>
      </c>
      <c r="E2656" s="204" t="s">
        <v>2144</v>
      </c>
      <c r="F2656" s="205">
        <v>5193.9605241685967</v>
      </c>
    </row>
    <row r="2657" spans="1:6">
      <c r="A2657" s="210">
        <v>264221000</v>
      </c>
      <c r="B2657" s="202" t="s">
        <v>1574</v>
      </c>
      <c r="C2657" s="203" t="s">
        <v>2143</v>
      </c>
      <c r="D2657" s="204">
        <v>1</v>
      </c>
      <c r="E2657" s="204" t="s">
        <v>2013</v>
      </c>
      <c r="F2657" s="205">
        <v>1.2159834436670357E-3</v>
      </c>
    </row>
    <row r="2658" spans="1:6">
      <c r="A2658" s="210">
        <v>264229000</v>
      </c>
      <c r="B2658" s="202" t="s">
        <v>1575</v>
      </c>
      <c r="C2658" s="203" t="s">
        <v>2143</v>
      </c>
      <c r="D2658" s="204">
        <v>1</v>
      </c>
      <c r="E2658" s="204" t="s">
        <v>2013</v>
      </c>
      <c r="F2658" s="205">
        <v>7.7594592713713453E-4</v>
      </c>
    </row>
    <row r="2659" spans="1:6">
      <c r="A2659" s="210">
        <v>264300000</v>
      </c>
      <c r="B2659" s="202" t="s">
        <v>6181</v>
      </c>
      <c r="C2659" s="203" t="s">
        <v>2143</v>
      </c>
      <c r="D2659" s="204">
        <v>1</v>
      </c>
      <c r="E2659" s="204" t="s">
        <v>2013</v>
      </c>
      <c r="F2659" s="205">
        <v>1.4810884331195847E-3</v>
      </c>
    </row>
    <row r="2660" spans="1:6">
      <c r="A2660" s="210">
        <v>264311000</v>
      </c>
      <c r="B2660" s="202" t="s">
        <v>1576</v>
      </c>
      <c r="C2660" s="203" t="s">
        <v>2143</v>
      </c>
      <c r="D2660" s="204">
        <v>1</v>
      </c>
      <c r="E2660" s="204" t="s">
        <v>2013</v>
      </c>
      <c r="F2660" s="205">
        <v>1.3992750604573901E-3</v>
      </c>
    </row>
    <row r="2661" spans="1:6">
      <c r="A2661" s="210">
        <v>264312000</v>
      </c>
      <c r="B2661" s="202" t="s">
        <v>1577</v>
      </c>
      <c r="C2661" s="203" t="s">
        <v>2143</v>
      </c>
      <c r="D2661" s="204">
        <v>1</v>
      </c>
      <c r="E2661" s="204" t="s">
        <v>2144</v>
      </c>
      <c r="F2661" s="205">
        <v>1851.3205501153616</v>
      </c>
    </row>
    <row r="2662" spans="1:6">
      <c r="A2662" s="210">
        <v>264313000</v>
      </c>
      <c r="B2662" s="202" t="s">
        <v>1578</v>
      </c>
      <c r="C2662" s="203" t="s">
        <v>2143</v>
      </c>
      <c r="D2662" s="204">
        <v>1</v>
      </c>
      <c r="E2662" s="204" t="s">
        <v>2013</v>
      </c>
      <c r="F2662" s="205">
        <v>1.8662215559535371E-3</v>
      </c>
    </row>
    <row r="2663" spans="1:6">
      <c r="A2663" s="210">
        <v>264400000</v>
      </c>
      <c r="B2663" s="202" t="s">
        <v>4669</v>
      </c>
      <c r="C2663" s="203" t="s">
        <v>2143</v>
      </c>
      <c r="D2663" s="204">
        <v>1</v>
      </c>
      <c r="E2663" s="204" t="s">
        <v>2013</v>
      </c>
      <c r="F2663" s="205">
        <v>2.1413321070952911E-3</v>
      </c>
    </row>
    <row r="2664" spans="1:6">
      <c r="A2664" s="210">
        <v>264411000</v>
      </c>
      <c r="B2664" s="202" t="s">
        <v>1579</v>
      </c>
      <c r="C2664" s="203" t="s">
        <v>2143</v>
      </c>
      <c r="D2664" s="204">
        <v>1</v>
      </c>
      <c r="E2664" s="204" t="s">
        <v>2144</v>
      </c>
      <c r="F2664" s="205">
        <v>2.4688936313379548</v>
      </c>
    </row>
    <row r="2665" spans="1:6">
      <c r="A2665" s="210">
        <v>264412000</v>
      </c>
      <c r="B2665" s="202" t="s">
        <v>4672</v>
      </c>
      <c r="C2665" s="203" t="s">
        <v>2143</v>
      </c>
      <c r="D2665" s="204">
        <v>1</v>
      </c>
      <c r="E2665" s="204" t="s">
        <v>2144</v>
      </c>
      <c r="F2665" s="205">
        <v>0.42875662211572829</v>
      </c>
    </row>
    <row r="2666" spans="1:6">
      <c r="A2666" s="210">
        <v>264413000</v>
      </c>
      <c r="B2666" s="202" t="s">
        <v>1580</v>
      </c>
      <c r="C2666" s="203" t="s">
        <v>2143</v>
      </c>
      <c r="D2666" s="204">
        <v>1</v>
      </c>
      <c r="E2666" s="204" t="s">
        <v>2144</v>
      </c>
      <c r="F2666" s="205">
        <v>14.912376789493639</v>
      </c>
    </row>
    <row r="2667" spans="1:6">
      <c r="A2667" s="210">
        <v>264414000</v>
      </c>
      <c r="B2667" s="202" t="s">
        <v>1581</v>
      </c>
      <c r="C2667" s="203" t="s">
        <v>2143</v>
      </c>
      <c r="D2667" s="204">
        <v>1</v>
      </c>
      <c r="E2667" s="204" t="s">
        <v>2144</v>
      </c>
      <c r="F2667" s="205">
        <v>40.156791282590262</v>
      </c>
    </row>
    <row r="2668" spans="1:6">
      <c r="A2668" s="210">
        <v>264415000</v>
      </c>
      <c r="B2668" s="202" t="s">
        <v>1582</v>
      </c>
      <c r="C2668" s="203" t="s">
        <v>2143</v>
      </c>
      <c r="D2668" s="204">
        <v>1</v>
      </c>
      <c r="E2668" s="204" t="s">
        <v>2144</v>
      </c>
      <c r="F2668" s="205">
        <v>37.102022112069918</v>
      </c>
    </row>
    <row r="2669" spans="1:6">
      <c r="A2669" s="210">
        <v>264416000</v>
      </c>
      <c r="B2669" s="202" t="s">
        <v>6182</v>
      </c>
      <c r="C2669" s="203" t="s">
        <v>2143</v>
      </c>
      <c r="D2669" s="204">
        <v>1</v>
      </c>
      <c r="E2669" s="204" t="s">
        <v>2013</v>
      </c>
      <c r="F2669" s="205">
        <v>2.8145356069177851E-3</v>
      </c>
    </row>
    <row r="2670" spans="1:6">
      <c r="A2670" s="210">
        <v>264419000</v>
      </c>
      <c r="B2670" s="202" t="s">
        <v>1583</v>
      </c>
      <c r="C2670" s="203" t="s">
        <v>2143</v>
      </c>
      <c r="D2670" s="204">
        <v>1</v>
      </c>
      <c r="E2670" s="204" t="s">
        <v>2013</v>
      </c>
      <c r="F2670" s="205">
        <v>2.0372825425141405E-3</v>
      </c>
    </row>
    <row r="2671" spans="1:6">
      <c r="A2671" s="210">
        <v>265100000</v>
      </c>
      <c r="B2671" s="202" t="s">
        <v>4677</v>
      </c>
      <c r="C2671" s="203" t="s">
        <v>2143</v>
      </c>
      <c r="D2671" s="204">
        <v>1</v>
      </c>
      <c r="E2671" s="204" t="s">
        <v>2013</v>
      </c>
      <c r="F2671" s="205">
        <v>2.8554373434430298E-3</v>
      </c>
    </row>
    <row r="2672" spans="1:6">
      <c r="A2672" s="210">
        <v>265111000</v>
      </c>
      <c r="B2672" s="202" t="s">
        <v>1584</v>
      </c>
      <c r="C2672" s="203" t="s">
        <v>2143</v>
      </c>
      <c r="D2672" s="204">
        <v>1</v>
      </c>
      <c r="E2672" s="204" t="s">
        <v>2144</v>
      </c>
      <c r="F2672" s="205">
        <v>14127.246932832444</v>
      </c>
    </row>
    <row r="2673" spans="1:6">
      <c r="A2673" s="210">
        <v>265112000</v>
      </c>
      <c r="B2673" s="202" t="s">
        <v>1585</v>
      </c>
      <c r="C2673" s="203" t="s">
        <v>2143</v>
      </c>
      <c r="D2673" s="204">
        <v>1</v>
      </c>
      <c r="E2673" s="204" t="s">
        <v>2144</v>
      </c>
      <c r="F2673" s="205">
        <v>20860.046483530925</v>
      </c>
    </row>
    <row r="2674" spans="1:6">
      <c r="A2674" s="210">
        <v>265119000</v>
      </c>
      <c r="B2674" s="202" t="s">
        <v>1586</v>
      </c>
      <c r="C2674" s="203" t="s">
        <v>2143</v>
      </c>
      <c r="D2674" s="204">
        <v>1</v>
      </c>
      <c r="E2674" s="204" t="s">
        <v>2013</v>
      </c>
      <c r="F2674" s="205">
        <v>1.4580409286033824E-3</v>
      </c>
    </row>
    <row r="2675" spans="1:6">
      <c r="A2675" s="210">
        <v>265200000</v>
      </c>
      <c r="B2675" s="202" t="s">
        <v>4682</v>
      </c>
      <c r="C2675" s="203" t="s">
        <v>2143</v>
      </c>
      <c r="D2675" s="204">
        <v>1</v>
      </c>
      <c r="E2675" s="204" t="s">
        <v>2013</v>
      </c>
      <c r="F2675" s="205">
        <v>9.6980473480910365E-4</v>
      </c>
    </row>
    <row r="2676" spans="1:6">
      <c r="A2676" s="210">
        <v>265211000</v>
      </c>
      <c r="B2676" s="202" t="s">
        <v>4684</v>
      </c>
      <c r="C2676" s="203" t="s">
        <v>2143</v>
      </c>
      <c r="D2676" s="204">
        <v>1</v>
      </c>
      <c r="E2676" s="204" t="s">
        <v>2144</v>
      </c>
      <c r="F2676" s="205">
        <v>4936.0960827377057</v>
      </c>
    </row>
    <row r="2677" spans="1:6">
      <c r="A2677" s="210">
        <v>265219000</v>
      </c>
      <c r="B2677" s="202" t="s">
        <v>1587</v>
      </c>
      <c r="C2677" s="203" t="s">
        <v>2143</v>
      </c>
      <c r="D2677" s="204">
        <v>1</v>
      </c>
      <c r="E2677" s="204" t="s">
        <v>2013</v>
      </c>
      <c r="F2677" s="205">
        <v>1.0875137452482676E-3</v>
      </c>
    </row>
    <row r="2678" spans="1:6">
      <c r="A2678" s="210">
        <v>265221000</v>
      </c>
      <c r="B2678" s="202" t="s">
        <v>1588</v>
      </c>
      <c r="C2678" s="203" t="s">
        <v>2143</v>
      </c>
      <c r="D2678" s="204">
        <v>1</v>
      </c>
      <c r="E2678" s="204" t="s">
        <v>2013</v>
      </c>
      <c r="F2678" s="205">
        <v>1.0302782800081286E-3</v>
      </c>
    </row>
    <row r="2679" spans="1:6">
      <c r="A2679" s="210">
        <v>265229000</v>
      </c>
      <c r="B2679" s="202" t="s">
        <v>1589</v>
      </c>
      <c r="C2679" s="203" t="s">
        <v>2143</v>
      </c>
      <c r="D2679" s="204">
        <v>1</v>
      </c>
      <c r="E2679" s="204" t="s">
        <v>2013</v>
      </c>
      <c r="F2679" s="205">
        <v>1.0386781107922117E-3</v>
      </c>
    </row>
    <row r="2680" spans="1:6">
      <c r="A2680" s="210">
        <v>265231000</v>
      </c>
      <c r="B2680" s="202" t="s">
        <v>1590</v>
      </c>
      <c r="C2680" s="203" t="s">
        <v>2143</v>
      </c>
      <c r="D2680" s="204">
        <v>1</v>
      </c>
      <c r="E2680" s="204" t="s">
        <v>2013</v>
      </c>
      <c r="F2680" s="205">
        <v>1.0466377730431829E-3</v>
      </c>
    </row>
    <row r="2681" spans="1:6">
      <c r="A2681" s="210">
        <v>265300000</v>
      </c>
      <c r="B2681" s="202" t="s">
        <v>4690</v>
      </c>
      <c r="C2681" s="203" t="s">
        <v>2143</v>
      </c>
      <c r="D2681" s="204">
        <v>1</v>
      </c>
      <c r="E2681" s="204" t="s">
        <v>2013</v>
      </c>
      <c r="F2681" s="205">
        <v>1.8266034892973973E-3</v>
      </c>
    </row>
    <row r="2682" spans="1:6">
      <c r="A2682" s="210">
        <v>265311000</v>
      </c>
      <c r="B2682" s="202" t="s">
        <v>4692</v>
      </c>
      <c r="C2682" s="203" t="s">
        <v>2143</v>
      </c>
      <c r="D2682" s="204">
        <v>1</v>
      </c>
      <c r="E2682" s="204" t="s">
        <v>2013</v>
      </c>
      <c r="F2682" s="205">
        <v>1.6310308863237977E-3</v>
      </c>
    </row>
    <row r="2683" spans="1:6">
      <c r="A2683" s="210">
        <v>265312000</v>
      </c>
      <c r="B2683" s="202" t="s">
        <v>1591</v>
      </c>
      <c r="C2683" s="203" t="s">
        <v>2143</v>
      </c>
      <c r="D2683" s="204">
        <v>1</v>
      </c>
      <c r="E2683" s="204" t="s">
        <v>2144</v>
      </c>
      <c r="F2683" s="205">
        <v>29941.513210403733</v>
      </c>
    </row>
    <row r="2684" spans="1:6">
      <c r="A2684" s="210">
        <v>265319000</v>
      </c>
      <c r="B2684" s="202" t="s">
        <v>1592</v>
      </c>
      <c r="C2684" s="203" t="s">
        <v>2143</v>
      </c>
      <c r="D2684" s="204">
        <v>1</v>
      </c>
      <c r="E2684" s="204" t="s">
        <v>2144</v>
      </c>
      <c r="F2684" s="205">
        <v>7918.7186167418331</v>
      </c>
    </row>
    <row r="2685" spans="1:6">
      <c r="A2685" s="210">
        <v>265400000</v>
      </c>
      <c r="B2685" s="202" t="s">
        <v>6183</v>
      </c>
      <c r="C2685" s="203" t="s">
        <v>2143</v>
      </c>
      <c r="D2685" s="204">
        <v>1</v>
      </c>
      <c r="E2685" s="204" t="s">
        <v>2013</v>
      </c>
      <c r="F2685" s="205">
        <v>2.275807054141453E-3</v>
      </c>
    </row>
    <row r="2686" spans="1:6">
      <c r="A2686" s="210">
        <v>265411000</v>
      </c>
      <c r="B2686" s="202" t="s">
        <v>1593</v>
      </c>
      <c r="C2686" s="203" t="s">
        <v>2143</v>
      </c>
      <c r="D2686" s="204">
        <v>1</v>
      </c>
      <c r="E2686" s="204" t="s">
        <v>2013</v>
      </c>
      <c r="F2686" s="205">
        <v>2.4226272391165322E-3</v>
      </c>
    </row>
    <row r="2687" spans="1:6">
      <c r="A2687" s="210">
        <v>265412000</v>
      </c>
      <c r="B2687" s="202" t="s">
        <v>1594</v>
      </c>
      <c r="C2687" s="203" t="s">
        <v>2143</v>
      </c>
      <c r="D2687" s="204">
        <v>1</v>
      </c>
      <c r="E2687" s="204" t="s">
        <v>2013</v>
      </c>
      <c r="F2687" s="205">
        <v>2.157408645739E-3</v>
      </c>
    </row>
    <row r="2688" spans="1:6">
      <c r="A2688" s="210">
        <v>265413000</v>
      </c>
      <c r="B2688" s="202" t="s">
        <v>1595</v>
      </c>
      <c r="C2688" s="203" t="s">
        <v>2143</v>
      </c>
      <c r="D2688" s="204">
        <v>1</v>
      </c>
      <c r="E2688" s="204" t="s">
        <v>2013</v>
      </c>
      <c r="F2688" s="205">
        <v>2.0369996346012581E-3</v>
      </c>
    </row>
    <row r="2689" spans="1:6">
      <c r="A2689" s="210">
        <v>265500000</v>
      </c>
      <c r="B2689" s="202" t="s">
        <v>4696</v>
      </c>
      <c r="C2689" s="203" t="s">
        <v>2143</v>
      </c>
      <c r="D2689" s="204">
        <v>1</v>
      </c>
      <c r="E2689" s="204" t="s">
        <v>2013</v>
      </c>
      <c r="F2689" s="205">
        <v>1.8167106443286781E-3</v>
      </c>
    </row>
    <row r="2690" spans="1:6">
      <c r="A2690" s="210">
        <v>265511000</v>
      </c>
      <c r="B2690" s="202" t="s">
        <v>1596</v>
      </c>
      <c r="C2690" s="203" t="s">
        <v>2143</v>
      </c>
      <c r="D2690" s="204">
        <v>1</v>
      </c>
      <c r="E2690" s="204" t="s">
        <v>2144</v>
      </c>
      <c r="F2690" s="205">
        <v>38.090846840831944</v>
      </c>
    </row>
    <row r="2691" spans="1:6">
      <c r="A2691" s="210">
        <v>265512000</v>
      </c>
      <c r="B2691" s="202" t="s">
        <v>1597</v>
      </c>
      <c r="C2691" s="203" t="s">
        <v>2143</v>
      </c>
      <c r="D2691" s="204">
        <v>1</v>
      </c>
      <c r="E2691" s="204" t="s">
        <v>2144</v>
      </c>
      <c r="F2691" s="205">
        <v>110.73486131312075</v>
      </c>
    </row>
    <row r="2692" spans="1:6">
      <c r="A2692" s="210">
        <v>265519000</v>
      </c>
      <c r="B2692" s="202" t="s">
        <v>1598</v>
      </c>
      <c r="C2692" s="203" t="s">
        <v>2143</v>
      </c>
      <c r="D2692" s="204">
        <v>1</v>
      </c>
      <c r="E2692" s="204" t="s">
        <v>2013</v>
      </c>
      <c r="F2692" s="205">
        <v>2.4125140074643947E-3</v>
      </c>
    </row>
    <row r="2693" spans="1:6">
      <c r="A2693" s="210">
        <v>266100000</v>
      </c>
      <c r="B2693" s="202" t="s">
        <v>4700</v>
      </c>
      <c r="C2693" s="203" t="s">
        <v>2143</v>
      </c>
      <c r="D2693" s="204">
        <v>1</v>
      </c>
      <c r="E2693" s="204" t="s">
        <v>2013</v>
      </c>
      <c r="F2693" s="205">
        <v>2.1459204294765021E-3</v>
      </c>
    </row>
    <row r="2694" spans="1:6">
      <c r="A2694" s="210">
        <v>266111000</v>
      </c>
      <c r="B2694" s="202" t="s">
        <v>4702</v>
      </c>
      <c r="C2694" s="203" t="s">
        <v>2143</v>
      </c>
      <c r="D2694" s="204">
        <v>1</v>
      </c>
      <c r="E2694" s="204" t="s">
        <v>2013</v>
      </c>
      <c r="F2694" s="205">
        <v>2.0616592934778813E-3</v>
      </c>
    </row>
    <row r="2695" spans="1:6">
      <c r="A2695" s="210">
        <v>266112000</v>
      </c>
      <c r="B2695" s="202" t="s">
        <v>1599</v>
      </c>
      <c r="C2695" s="203" t="s">
        <v>2143</v>
      </c>
      <c r="D2695" s="204">
        <v>1</v>
      </c>
      <c r="E2695" s="204" t="s">
        <v>2144</v>
      </c>
      <c r="F2695" s="205">
        <v>5265.2261716441317</v>
      </c>
    </row>
    <row r="2696" spans="1:6">
      <c r="A2696" s="210">
        <v>266113000</v>
      </c>
      <c r="B2696" s="202" t="s">
        <v>1600</v>
      </c>
      <c r="C2696" s="203" t="s">
        <v>2143</v>
      </c>
      <c r="D2696" s="204">
        <v>1</v>
      </c>
      <c r="E2696" s="204" t="s">
        <v>2144</v>
      </c>
      <c r="F2696" s="205">
        <v>6098.6165634528406</v>
      </c>
    </row>
    <row r="2697" spans="1:6">
      <c r="A2697" s="210">
        <v>266114000</v>
      </c>
      <c r="B2697" s="202" t="s">
        <v>1601</v>
      </c>
      <c r="C2697" s="203" t="s">
        <v>2143</v>
      </c>
      <c r="D2697" s="204">
        <v>1</v>
      </c>
      <c r="E2697" s="204" t="s">
        <v>2144</v>
      </c>
      <c r="F2697" s="205">
        <v>2069.2214545291081</v>
      </c>
    </row>
    <row r="2698" spans="1:6">
      <c r="A2698" s="210">
        <v>266115000</v>
      </c>
      <c r="B2698" s="202" t="s">
        <v>1602</v>
      </c>
      <c r="C2698" s="203" t="s">
        <v>2143</v>
      </c>
      <c r="D2698" s="204">
        <v>1</v>
      </c>
      <c r="E2698" s="204" t="s">
        <v>2144</v>
      </c>
      <c r="F2698" s="205">
        <v>3898.5541650865143</v>
      </c>
    </row>
    <row r="2699" spans="1:6">
      <c r="A2699" s="210">
        <v>266119000</v>
      </c>
      <c r="B2699" s="202" t="s">
        <v>1603</v>
      </c>
      <c r="C2699" s="203" t="s">
        <v>2143</v>
      </c>
      <c r="D2699" s="204">
        <v>1</v>
      </c>
      <c r="E2699" s="204" t="s">
        <v>2013</v>
      </c>
      <c r="F2699" s="205">
        <v>2.1297647648206314E-3</v>
      </c>
    </row>
    <row r="2700" spans="1:6">
      <c r="A2700" s="210">
        <v>266200000</v>
      </c>
      <c r="B2700" s="202" t="s">
        <v>4709</v>
      </c>
      <c r="C2700" s="203" t="s">
        <v>2143</v>
      </c>
      <c r="D2700" s="204">
        <v>1</v>
      </c>
      <c r="E2700" s="204" t="s">
        <v>2144</v>
      </c>
      <c r="F2700" s="205">
        <v>5086.3025092519092</v>
      </c>
    </row>
    <row r="2701" spans="1:6">
      <c r="A2701" s="210">
        <v>266211000</v>
      </c>
      <c r="B2701" s="202" t="s">
        <v>1604</v>
      </c>
      <c r="C2701" s="203" t="s">
        <v>2143</v>
      </c>
      <c r="D2701" s="204">
        <v>1</v>
      </c>
      <c r="E2701" s="204" t="s">
        <v>2144</v>
      </c>
      <c r="F2701" s="205">
        <v>5783.5446108141114</v>
      </c>
    </row>
    <row r="2702" spans="1:6">
      <c r="A2702" s="210">
        <v>266212000</v>
      </c>
      <c r="B2702" s="202" t="s">
        <v>4712</v>
      </c>
      <c r="C2702" s="203" t="s">
        <v>2143</v>
      </c>
      <c r="D2702" s="204">
        <v>1</v>
      </c>
      <c r="E2702" s="204" t="s">
        <v>2144</v>
      </c>
      <c r="F2702" s="205">
        <v>3042.7567871558495</v>
      </c>
    </row>
    <row r="2703" spans="1:6">
      <c r="A2703" s="210">
        <v>266213000</v>
      </c>
      <c r="B2703" s="202" t="s">
        <v>4714</v>
      </c>
      <c r="C2703" s="203" t="s">
        <v>2143</v>
      </c>
      <c r="D2703" s="204">
        <v>1</v>
      </c>
      <c r="E2703" s="204" t="s">
        <v>2144</v>
      </c>
      <c r="F2703" s="205">
        <v>15878.712355559168</v>
      </c>
    </row>
    <row r="2704" spans="1:6">
      <c r="A2704" s="210">
        <v>266300000</v>
      </c>
      <c r="B2704" s="202" t="s">
        <v>4716</v>
      </c>
      <c r="C2704" s="203" t="s">
        <v>2143</v>
      </c>
      <c r="D2704" s="204">
        <v>1</v>
      </c>
      <c r="E2704" s="204" t="s">
        <v>2013</v>
      </c>
      <c r="F2704" s="205">
        <v>8.108665061398318E-4</v>
      </c>
    </row>
    <row r="2705" spans="1:6">
      <c r="A2705" s="210">
        <v>266311000</v>
      </c>
      <c r="B2705" s="202" t="s">
        <v>4718</v>
      </c>
      <c r="C2705" s="203" t="s">
        <v>2143</v>
      </c>
      <c r="D2705" s="204">
        <v>1</v>
      </c>
      <c r="E2705" s="204" t="s">
        <v>2144</v>
      </c>
      <c r="F2705" s="205">
        <v>11271.505212343618</v>
      </c>
    </row>
    <row r="2706" spans="1:6">
      <c r="A2706" s="210">
        <v>266312000</v>
      </c>
      <c r="B2706" s="202" t="s">
        <v>1605</v>
      </c>
      <c r="C2706" s="203" t="s">
        <v>2143</v>
      </c>
      <c r="D2706" s="204">
        <v>1</v>
      </c>
      <c r="E2706" s="204" t="s">
        <v>2144</v>
      </c>
      <c r="F2706" s="205">
        <v>215925.93889396312</v>
      </c>
    </row>
    <row r="2707" spans="1:6">
      <c r="A2707" s="210">
        <v>266319000</v>
      </c>
      <c r="B2707" s="202" t="s">
        <v>1606</v>
      </c>
      <c r="C2707" s="203" t="s">
        <v>2143</v>
      </c>
      <c r="D2707" s="204">
        <v>1</v>
      </c>
      <c r="E2707" s="204" t="s">
        <v>2013</v>
      </c>
      <c r="F2707" s="205">
        <v>9.2299426238025978E-4</v>
      </c>
    </row>
    <row r="2708" spans="1:6">
      <c r="A2708" s="210">
        <v>266400000</v>
      </c>
      <c r="B2708" s="202" t="s">
        <v>4722</v>
      </c>
      <c r="C2708" s="203" t="s">
        <v>2143</v>
      </c>
      <c r="D2708" s="204">
        <v>1</v>
      </c>
      <c r="E2708" s="204" t="s">
        <v>2013</v>
      </c>
      <c r="F2708" s="205">
        <v>9.8784322446859862E-4</v>
      </c>
    </row>
    <row r="2709" spans="1:6">
      <c r="A2709" s="210">
        <v>266411000</v>
      </c>
      <c r="B2709" s="202" t="s">
        <v>1607</v>
      </c>
      <c r="C2709" s="203" t="s">
        <v>2143</v>
      </c>
      <c r="D2709" s="204">
        <v>1</v>
      </c>
      <c r="E2709" s="204" t="s">
        <v>2144</v>
      </c>
      <c r="F2709" s="205">
        <v>29682.306183878216</v>
      </c>
    </row>
    <row r="2710" spans="1:6">
      <c r="A2710" s="210">
        <v>266412000</v>
      </c>
      <c r="B2710" s="202" t="s">
        <v>1608</v>
      </c>
      <c r="C2710" s="203" t="s">
        <v>2143</v>
      </c>
      <c r="D2710" s="204">
        <v>1</v>
      </c>
      <c r="E2710" s="204" t="s">
        <v>2013</v>
      </c>
      <c r="F2710" s="205">
        <v>8.9415064670246049E-4</v>
      </c>
    </row>
    <row r="2711" spans="1:6">
      <c r="A2711" s="210">
        <v>266413000</v>
      </c>
      <c r="B2711" s="202" t="s">
        <v>1609</v>
      </c>
      <c r="C2711" s="203" t="s">
        <v>2143</v>
      </c>
      <c r="D2711" s="204">
        <v>1</v>
      </c>
      <c r="E2711" s="204" t="s">
        <v>2013</v>
      </c>
      <c r="F2711" s="205">
        <v>9.0312649432410137E-4</v>
      </c>
    </row>
    <row r="2712" spans="1:6">
      <c r="A2712" s="210">
        <v>266414000</v>
      </c>
      <c r="B2712" s="202" t="s">
        <v>4727</v>
      </c>
      <c r="C2712" s="203" t="s">
        <v>2143</v>
      </c>
      <c r="D2712" s="204">
        <v>1</v>
      </c>
      <c r="E2712" s="204" t="s">
        <v>2144</v>
      </c>
      <c r="F2712" s="205">
        <v>3740.0105755441837</v>
      </c>
    </row>
    <row r="2713" spans="1:6">
      <c r="A2713" s="210">
        <v>266500000</v>
      </c>
      <c r="B2713" s="202" t="s">
        <v>4729</v>
      </c>
      <c r="C2713" s="203" t="s">
        <v>2143</v>
      </c>
      <c r="D2713" s="204">
        <v>1</v>
      </c>
      <c r="E2713" s="204" t="s">
        <v>2013</v>
      </c>
      <c r="F2713" s="205">
        <v>1.1686929166705804E-3</v>
      </c>
    </row>
    <row r="2714" spans="1:6">
      <c r="A2714" s="210">
        <v>266511000</v>
      </c>
      <c r="B2714" s="202" t="s">
        <v>1610</v>
      </c>
      <c r="C2714" s="203" t="s">
        <v>2143</v>
      </c>
      <c r="D2714" s="204">
        <v>1</v>
      </c>
      <c r="E2714" s="204" t="s">
        <v>2144</v>
      </c>
      <c r="F2714" s="205">
        <v>25481.392090561101</v>
      </c>
    </row>
    <row r="2715" spans="1:6">
      <c r="A2715" s="210">
        <v>266519000</v>
      </c>
      <c r="B2715" s="202" t="s">
        <v>1611</v>
      </c>
      <c r="C2715" s="203" t="s">
        <v>2143</v>
      </c>
      <c r="D2715" s="204">
        <v>1</v>
      </c>
      <c r="E2715" s="204" t="s">
        <v>2013</v>
      </c>
      <c r="F2715" s="205">
        <v>1.1051134201337503E-3</v>
      </c>
    </row>
    <row r="2716" spans="1:6">
      <c r="A2716" s="210">
        <v>266521000</v>
      </c>
      <c r="B2716" s="202" t="s">
        <v>4733</v>
      </c>
      <c r="C2716" s="203" t="s">
        <v>2143</v>
      </c>
      <c r="D2716" s="204">
        <v>1</v>
      </c>
      <c r="E2716" s="204" t="s">
        <v>2013</v>
      </c>
      <c r="F2716" s="205">
        <v>1.8410115547914368E-3</v>
      </c>
    </row>
    <row r="2717" spans="1:6">
      <c r="A2717" s="210">
        <v>266600000</v>
      </c>
      <c r="B2717" s="202" t="s">
        <v>4735</v>
      </c>
      <c r="C2717" s="203" t="s">
        <v>2143</v>
      </c>
      <c r="D2717" s="204">
        <v>1</v>
      </c>
      <c r="E2717" s="204" t="s">
        <v>2013</v>
      </c>
      <c r="F2717" s="205">
        <v>1.011699243543808E-3</v>
      </c>
    </row>
    <row r="2718" spans="1:6">
      <c r="A2718" s="210">
        <v>266611000</v>
      </c>
      <c r="B2718" s="202" t="s">
        <v>1612</v>
      </c>
      <c r="C2718" s="203" t="s">
        <v>2143</v>
      </c>
      <c r="D2718" s="204">
        <v>1</v>
      </c>
      <c r="E2718" s="204" t="s">
        <v>2144</v>
      </c>
      <c r="F2718" s="205">
        <v>9341.6086321714538</v>
      </c>
    </row>
    <row r="2719" spans="1:6">
      <c r="A2719" s="210">
        <v>266612000</v>
      </c>
      <c r="B2719" s="202" t="s">
        <v>1613</v>
      </c>
      <c r="C2719" s="203" t="s">
        <v>2143</v>
      </c>
      <c r="D2719" s="204">
        <v>1</v>
      </c>
      <c r="E2719" s="204" t="s">
        <v>2144</v>
      </c>
      <c r="F2719" s="205">
        <v>24991.844883408165</v>
      </c>
    </row>
    <row r="2720" spans="1:6">
      <c r="A2720" s="210">
        <v>266619000</v>
      </c>
      <c r="B2720" s="202" t="s">
        <v>4739</v>
      </c>
      <c r="C2720" s="203" t="s">
        <v>2143</v>
      </c>
      <c r="D2720" s="204">
        <v>1</v>
      </c>
      <c r="E2720" s="204" t="s">
        <v>2013</v>
      </c>
      <c r="F2720" s="205">
        <v>1.0450936195040856E-3</v>
      </c>
    </row>
    <row r="2721" spans="1:6">
      <c r="A2721" s="210">
        <v>266700000</v>
      </c>
      <c r="B2721" s="202" t="s">
        <v>4741</v>
      </c>
      <c r="C2721" s="203" t="s">
        <v>2143</v>
      </c>
      <c r="D2721" s="204">
        <v>1</v>
      </c>
      <c r="E2721" s="204" t="s">
        <v>2144</v>
      </c>
      <c r="F2721" s="205">
        <v>28774.078388134396</v>
      </c>
    </row>
    <row r="2722" spans="1:6">
      <c r="A2722" s="210">
        <v>266711000</v>
      </c>
      <c r="B2722" s="202" t="s">
        <v>4743</v>
      </c>
      <c r="C2722" s="203" t="s">
        <v>2143</v>
      </c>
      <c r="D2722" s="204">
        <v>1</v>
      </c>
      <c r="E2722" s="204" t="s">
        <v>2144</v>
      </c>
      <c r="F2722" s="205">
        <v>95472.902673032135</v>
      </c>
    </row>
    <row r="2723" spans="1:6">
      <c r="A2723" s="210">
        <v>266712000</v>
      </c>
      <c r="B2723" s="202" t="s">
        <v>1614</v>
      </c>
      <c r="C2723" s="203" t="s">
        <v>2143</v>
      </c>
      <c r="D2723" s="204">
        <v>1</v>
      </c>
      <c r="E2723" s="204" t="s">
        <v>2144</v>
      </c>
      <c r="F2723" s="205">
        <v>8041.436683172753</v>
      </c>
    </row>
    <row r="2724" spans="1:6">
      <c r="A2724" s="210">
        <v>266719000</v>
      </c>
      <c r="B2724" s="202" t="s">
        <v>1615</v>
      </c>
      <c r="C2724" s="203" t="s">
        <v>2143</v>
      </c>
      <c r="D2724" s="204">
        <v>1</v>
      </c>
      <c r="E2724" s="204" t="s">
        <v>2144</v>
      </c>
      <c r="F2724" s="205">
        <v>10792.192097433435</v>
      </c>
    </row>
    <row r="2725" spans="1:6">
      <c r="A2725" s="210">
        <v>266721000</v>
      </c>
      <c r="B2725" s="202" t="s">
        <v>1616</v>
      </c>
      <c r="C2725" s="203" t="s">
        <v>2143</v>
      </c>
      <c r="D2725" s="204">
        <v>1</v>
      </c>
      <c r="E2725" s="204" t="s">
        <v>2144</v>
      </c>
      <c r="F2725" s="205">
        <v>86957.025795660214</v>
      </c>
    </row>
    <row r="2726" spans="1:6">
      <c r="A2726" s="210">
        <v>266800000</v>
      </c>
      <c r="B2726" s="202" t="s">
        <v>4748</v>
      </c>
      <c r="C2726" s="203" t="s">
        <v>2143</v>
      </c>
      <c r="D2726" s="204">
        <v>1</v>
      </c>
      <c r="E2726" s="204" t="s">
        <v>2144</v>
      </c>
      <c r="F2726" s="205">
        <v>487.61808385381141</v>
      </c>
    </row>
    <row r="2727" spans="1:6">
      <c r="A2727" s="210">
        <v>266811000</v>
      </c>
      <c r="B2727" s="202" t="s">
        <v>1617</v>
      </c>
      <c r="C2727" s="203" t="s">
        <v>2143</v>
      </c>
      <c r="D2727" s="204">
        <v>1</v>
      </c>
      <c r="E2727" s="204" t="s">
        <v>2144</v>
      </c>
      <c r="F2727" s="205">
        <v>393.5693368700197</v>
      </c>
    </row>
    <row r="2728" spans="1:6">
      <c r="A2728" s="210">
        <v>266819000</v>
      </c>
      <c r="B2728" s="202" t="s">
        <v>1618</v>
      </c>
      <c r="C2728" s="203" t="s">
        <v>2143</v>
      </c>
      <c r="D2728" s="204">
        <v>1</v>
      </c>
      <c r="E2728" s="204" t="s">
        <v>2144</v>
      </c>
      <c r="F2728" s="205">
        <v>618.38076494058851</v>
      </c>
    </row>
    <row r="2729" spans="1:6">
      <c r="A2729" s="210">
        <v>266900000</v>
      </c>
      <c r="B2729" s="202" t="s">
        <v>6184</v>
      </c>
      <c r="C2729" s="203" t="s">
        <v>2143</v>
      </c>
      <c r="D2729" s="204">
        <v>1</v>
      </c>
      <c r="E2729" s="204" t="s">
        <v>2013</v>
      </c>
      <c r="F2729" s="205">
        <v>1.8044302658017757E-3</v>
      </c>
    </row>
    <row r="2730" spans="1:6">
      <c r="A2730" s="210">
        <v>266911000</v>
      </c>
      <c r="B2730" s="202" t="s">
        <v>1619</v>
      </c>
      <c r="C2730" s="203" t="s">
        <v>2143</v>
      </c>
      <c r="D2730" s="204">
        <v>1</v>
      </c>
      <c r="E2730" s="204" t="s">
        <v>2013</v>
      </c>
      <c r="F2730" s="205">
        <v>1.6287313033702885E-3</v>
      </c>
    </row>
    <row r="2731" spans="1:6">
      <c r="A2731" s="210">
        <v>266912000</v>
      </c>
      <c r="B2731" s="202" t="s">
        <v>1620</v>
      </c>
      <c r="C2731" s="203" t="s">
        <v>2143</v>
      </c>
      <c r="D2731" s="204">
        <v>1</v>
      </c>
      <c r="E2731" s="204" t="s">
        <v>2013</v>
      </c>
      <c r="F2731" s="205">
        <v>1.6554082151436812E-3</v>
      </c>
    </row>
    <row r="2732" spans="1:6">
      <c r="A2732" s="210">
        <v>266919000</v>
      </c>
      <c r="B2732" s="202" t="s">
        <v>1621</v>
      </c>
      <c r="C2732" s="203" t="s">
        <v>2143</v>
      </c>
      <c r="D2732" s="204">
        <v>1</v>
      </c>
      <c r="E2732" s="204" t="s">
        <v>2013</v>
      </c>
      <c r="F2732" s="205">
        <v>1.8329024532590318E-3</v>
      </c>
    </row>
    <row r="2733" spans="1:6">
      <c r="A2733" s="210">
        <v>267100000</v>
      </c>
      <c r="B2733" s="202" t="s">
        <v>4752</v>
      </c>
      <c r="C2733" s="203" t="s">
        <v>2143</v>
      </c>
      <c r="D2733" s="204">
        <v>1</v>
      </c>
      <c r="E2733" s="204" t="s">
        <v>2013</v>
      </c>
      <c r="F2733" s="205">
        <v>1.3339178939069558E-3</v>
      </c>
    </row>
    <row r="2734" spans="1:6">
      <c r="A2734" s="210">
        <v>267111000</v>
      </c>
      <c r="B2734" s="202" t="s">
        <v>4754</v>
      </c>
      <c r="C2734" s="203" t="s">
        <v>2143</v>
      </c>
      <c r="D2734" s="204">
        <v>1</v>
      </c>
      <c r="E2734" s="204" t="s">
        <v>2144</v>
      </c>
      <c r="F2734" s="205">
        <v>167.97968792959819</v>
      </c>
    </row>
    <row r="2735" spans="1:6">
      <c r="A2735" s="210">
        <v>267111200</v>
      </c>
      <c r="B2735" s="202" t="s">
        <v>6185</v>
      </c>
      <c r="C2735" s="203" t="s">
        <v>2143</v>
      </c>
      <c r="D2735" s="204">
        <v>1</v>
      </c>
      <c r="E2735" s="204" t="s">
        <v>2144</v>
      </c>
      <c r="F2735" s="205">
        <v>418.43278957073767</v>
      </c>
    </row>
    <row r="2736" spans="1:6">
      <c r="A2736" s="210">
        <v>267112000</v>
      </c>
      <c r="B2736" s="202" t="s">
        <v>4756</v>
      </c>
      <c r="C2736" s="203" t="s">
        <v>2143</v>
      </c>
      <c r="D2736" s="204">
        <v>1</v>
      </c>
      <c r="E2736" s="204" t="s">
        <v>2144</v>
      </c>
      <c r="F2736" s="205">
        <v>537.97903438579397</v>
      </c>
    </row>
    <row r="2737" spans="1:6">
      <c r="A2737" s="210">
        <v>267113000</v>
      </c>
      <c r="B2737" s="202" t="s">
        <v>4758</v>
      </c>
      <c r="C2737" s="203" t="s">
        <v>2143</v>
      </c>
      <c r="D2737" s="204">
        <v>1</v>
      </c>
      <c r="E2737" s="204" t="s">
        <v>2144</v>
      </c>
      <c r="F2737" s="205">
        <v>220.18143250319463</v>
      </c>
    </row>
    <row r="2738" spans="1:6">
      <c r="A2738" s="210">
        <v>267114000</v>
      </c>
      <c r="B2738" s="202" t="s">
        <v>1622</v>
      </c>
      <c r="C2738" s="203" t="s">
        <v>2143</v>
      </c>
      <c r="D2738" s="204">
        <v>1</v>
      </c>
      <c r="E2738" s="204" t="s">
        <v>2144</v>
      </c>
      <c r="F2738" s="205">
        <v>33.407937299674927</v>
      </c>
    </row>
    <row r="2739" spans="1:6">
      <c r="A2739" s="210">
        <v>267119000</v>
      </c>
      <c r="B2739" s="202" t="s">
        <v>1623</v>
      </c>
      <c r="C2739" s="203" t="s">
        <v>2143</v>
      </c>
      <c r="D2739" s="204">
        <v>1</v>
      </c>
      <c r="E2739" s="204" t="s">
        <v>2013</v>
      </c>
      <c r="F2739" s="205">
        <v>1.3648443084525296E-3</v>
      </c>
    </row>
    <row r="2740" spans="1:6">
      <c r="A2740" s="210">
        <v>267200000</v>
      </c>
      <c r="B2740" s="202" t="s">
        <v>4762</v>
      </c>
      <c r="C2740" s="203" t="s">
        <v>2143</v>
      </c>
      <c r="D2740" s="204">
        <v>1</v>
      </c>
      <c r="E2740" s="204" t="s">
        <v>2144</v>
      </c>
      <c r="F2740" s="205">
        <v>575.88260115046614</v>
      </c>
    </row>
    <row r="2741" spans="1:6">
      <c r="A2741" s="210">
        <v>267211000</v>
      </c>
      <c r="B2741" s="202" t="s">
        <v>1624</v>
      </c>
      <c r="C2741" s="203" t="s">
        <v>2143</v>
      </c>
      <c r="D2741" s="204">
        <v>1</v>
      </c>
      <c r="E2741" s="204" t="s">
        <v>2144</v>
      </c>
      <c r="F2741" s="205">
        <v>881.54067692045101</v>
      </c>
    </row>
    <row r="2742" spans="1:6">
      <c r="A2742" s="210">
        <v>267212000</v>
      </c>
      <c r="B2742" s="202" t="s">
        <v>1625</v>
      </c>
      <c r="C2742" s="203" t="s">
        <v>2143</v>
      </c>
      <c r="D2742" s="204">
        <v>1</v>
      </c>
      <c r="E2742" s="204" t="s">
        <v>2144</v>
      </c>
      <c r="F2742" s="205">
        <v>3550.5166038891293</v>
      </c>
    </row>
    <row r="2743" spans="1:6">
      <c r="A2743" s="210">
        <v>267213000</v>
      </c>
      <c r="B2743" s="202" t="s">
        <v>1626</v>
      </c>
      <c r="C2743" s="203" t="s">
        <v>2143</v>
      </c>
      <c r="D2743" s="204">
        <v>1</v>
      </c>
      <c r="E2743" s="204" t="s">
        <v>2144</v>
      </c>
      <c r="F2743" s="205">
        <v>139883.30259290501</v>
      </c>
    </row>
    <row r="2744" spans="1:6">
      <c r="A2744" s="210">
        <v>267214000</v>
      </c>
      <c r="B2744" s="202" t="s">
        <v>1627</v>
      </c>
      <c r="C2744" s="203" t="s">
        <v>2143</v>
      </c>
      <c r="D2744" s="204">
        <v>1</v>
      </c>
      <c r="E2744" s="204" t="s">
        <v>2144</v>
      </c>
      <c r="F2744" s="205">
        <v>228.40771087074313</v>
      </c>
    </row>
    <row r="2745" spans="1:6">
      <c r="A2745" s="210">
        <v>267214200</v>
      </c>
      <c r="B2745" s="202" t="s">
        <v>6186</v>
      </c>
      <c r="C2745" s="203" t="s">
        <v>2143</v>
      </c>
      <c r="D2745" s="204">
        <v>1</v>
      </c>
      <c r="E2745" s="204" t="s">
        <v>2144</v>
      </c>
      <c r="F2745" s="205">
        <v>427.24078070576064</v>
      </c>
    </row>
    <row r="2746" spans="1:6">
      <c r="A2746" s="210">
        <v>267215000</v>
      </c>
      <c r="B2746" s="202" t="s">
        <v>1628</v>
      </c>
      <c r="C2746" s="203" t="s">
        <v>2143</v>
      </c>
      <c r="D2746" s="204">
        <v>1</v>
      </c>
      <c r="E2746" s="204" t="s">
        <v>2144</v>
      </c>
      <c r="F2746" s="205">
        <v>184.63244252588527</v>
      </c>
    </row>
    <row r="2747" spans="1:6">
      <c r="A2747" s="210">
        <v>267219000</v>
      </c>
      <c r="B2747" s="202" t="s">
        <v>1629</v>
      </c>
      <c r="C2747" s="203" t="s">
        <v>2143</v>
      </c>
      <c r="D2747" s="204">
        <v>1</v>
      </c>
      <c r="E2747" s="204" t="s">
        <v>2144</v>
      </c>
      <c r="F2747" s="205">
        <v>311.6457646754377</v>
      </c>
    </row>
    <row r="2748" spans="1:6">
      <c r="A2748" s="210">
        <v>267300000</v>
      </c>
      <c r="B2748" s="202" t="s">
        <v>4770</v>
      </c>
      <c r="C2748" s="203" t="s">
        <v>2143</v>
      </c>
      <c r="D2748" s="204">
        <v>1</v>
      </c>
      <c r="E2748" s="204" t="s">
        <v>2144</v>
      </c>
      <c r="F2748" s="205">
        <v>5707.0703414361633</v>
      </c>
    </row>
    <row r="2749" spans="1:6">
      <c r="A2749" s="210">
        <v>267311000</v>
      </c>
      <c r="B2749" s="202" t="s">
        <v>1630</v>
      </c>
      <c r="C2749" s="203" t="s">
        <v>2143</v>
      </c>
      <c r="D2749" s="204">
        <v>1</v>
      </c>
      <c r="E2749" s="204" t="s">
        <v>2144</v>
      </c>
      <c r="F2749" s="205">
        <v>5464.5285782656429</v>
      </c>
    </row>
    <row r="2750" spans="1:6">
      <c r="A2750" s="210">
        <v>267312000</v>
      </c>
      <c r="B2750" s="202" t="s">
        <v>1632</v>
      </c>
      <c r="C2750" s="203" t="s">
        <v>2143</v>
      </c>
      <c r="D2750" s="204">
        <v>1</v>
      </c>
      <c r="E2750" s="204" t="s">
        <v>2144</v>
      </c>
      <c r="F2750" s="205">
        <v>7995.6341045052104</v>
      </c>
    </row>
    <row r="2751" spans="1:6">
      <c r="A2751" s="210">
        <v>267400000</v>
      </c>
      <c r="B2751" s="202" t="s">
        <v>4774</v>
      </c>
      <c r="C2751" s="203" t="s">
        <v>2143</v>
      </c>
      <c r="D2751" s="204">
        <v>1</v>
      </c>
      <c r="E2751" s="204" t="s">
        <v>2013</v>
      </c>
      <c r="F2751" s="205">
        <v>1.08085719421833E-3</v>
      </c>
    </row>
    <row r="2752" spans="1:6">
      <c r="A2752" s="210">
        <v>267411000</v>
      </c>
      <c r="B2752" s="202" t="s">
        <v>1633</v>
      </c>
      <c r="C2752" s="203" t="s">
        <v>2143</v>
      </c>
      <c r="D2752" s="204">
        <v>1</v>
      </c>
      <c r="E2752" s="204" t="s">
        <v>2144</v>
      </c>
      <c r="F2752" s="205">
        <v>6316.8448605883023</v>
      </c>
    </row>
    <row r="2753" spans="1:6">
      <c r="A2753" s="210">
        <v>267419000</v>
      </c>
      <c r="B2753" s="202" t="s">
        <v>1634</v>
      </c>
      <c r="C2753" s="203" t="s">
        <v>2143</v>
      </c>
      <c r="D2753" s="204">
        <v>1</v>
      </c>
      <c r="E2753" s="204" t="s">
        <v>2144</v>
      </c>
      <c r="F2753" s="205">
        <v>5907.7758568933205</v>
      </c>
    </row>
    <row r="2754" spans="1:6">
      <c r="A2754" s="210">
        <v>267421000</v>
      </c>
      <c r="B2754" s="202" t="s">
        <v>1635</v>
      </c>
      <c r="C2754" s="203" t="s">
        <v>2143</v>
      </c>
      <c r="D2754" s="204">
        <v>1</v>
      </c>
      <c r="E2754" s="204" t="s">
        <v>2144</v>
      </c>
      <c r="F2754" s="205">
        <v>76.925313432323264</v>
      </c>
    </row>
    <row r="2755" spans="1:6">
      <c r="A2755" s="210">
        <v>267422000</v>
      </c>
      <c r="B2755" s="202" t="s">
        <v>1636</v>
      </c>
      <c r="C2755" s="203" t="s">
        <v>2143</v>
      </c>
      <c r="D2755" s="204">
        <v>1</v>
      </c>
      <c r="E2755" s="204" t="s">
        <v>2144</v>
      </c>
      <c r="F2755" s="205">
        <v>514.8277319021945</v>
      </c>
    </row>
    <row r="2756" spans="1:6">
      <c r="A2756" s="210">
        <v>267429000</v>
      </c>
      <c r="B2756" s="202" t="s">
        <v>1637</v>
      </c>
      <c r="C2756" s="203" t="s">
        <v>2143</v>
      </c>
      <c r="D2756" s="204">
        <v>1</v>
      </c>
      <c r="E2756" s="204" t="s">
        <v>2013</v>
      </c>
      <c r="F2756" s="205">
        <v>9.3603567769152789E-4</v>
      </c>
    </row>
    <row r="2757" spans="1:6">
      <c r="A2757" s="210">
        <v>267500000</v>
      </c>
      <c r="B2757" s="202" t="s">
        <v>6187</v>
      </c>
      <c r="C2757" s="203" t="s">
        <v>2143</v>
      </c>
      <c r="D2757" s="204">
        <v>1</v>
      </c>
      <c r="E2757" s="204" t="s">
        <v>2013</v>
      </c>
      <c r="F2757" s="205">
        <v>2.2993253983407992E-3</v>
      </c>
    </row>
    <row r="2758" spans="1:6">
      <c r="A2758" s="210">
        <v>267511000</v>
      </c>
      <c r="B2758" s="202" t="s">
        <v>1638</v>
      </c>
      <c r="C2758" s="203" t="s">
        <v>2143</v>
      </c>
      <c r="D2758" s="204">
        <v>1</v>
      </c>
      <c r="E2758" s="204" t="s">
        <v>2144</v>
      </c>
      <c r="F2758" s="205">
        <v>90.763236590351994</v>
      </c>
    </row>
    <row r="2759" spans="1:6">
      <c r="A2759" s="210">
        <v>267512000</v>
      </c>
      <c r="B2759" s="202" t="s">
        <v>4781</v>
      </c>
      <c r="C2759" s="203" t="s">
        <v>2143</v>
      </c>
      <c r="D2759" s="204">
        <v>1</v>
      </c>
      <c r="E2759" s="204" t="s">
        <v>2144</v>
      </c>
      <c r="F2759" s="205">
        <v>1.9316586343771733</v>
      </c>
    </row>
    <row r="2760" spans="1:6">
      <c r="A2760" s="210">
        <v>267513000</v>
      </c>
      <c r="B2760" s="202" t="s">
        <v>1639</v>
      </c>
      <c r="C2760" s="203" t="s">
        <v>2143</v>
      </c>
      <c r="D2760" s="204">
        <v>1</v>
      </c>
      <c r="E2760" s="204" t="s">
        <v>1114</v>
      </c>
      <c r="F2760" s="205">
        <v>3.0118294179781868</v>
      </c>
    </row>
    <row r="2761" spans="1:6">
      <c r="A2761" s="210">
        <v>267519000</v>
      </c>
      <c r="B2761" s="202" t="s">
        <v>1640</v>
      </c>
      <c r="C2761" s="203" t="s">
        <v>2143</v>
      </c>
      <c r="D2761" s="204">
        <v>1</v>
      </c>
      <c r="E2761" s="204" t="s">
        <v>2013</v>
      </c>
      <c r="F2761" s="205">
        <v>2.5180852064396824E-3</v>
      </c>
    </row>
    <row r="2762" spans="1:6">
      <c r="A2762" s="210">
        <v>267600000</v>
      </c>
      <c r="B2762" s="202" t="s">
        <v>4784</v>
      </c>
      <c r="C2762" s="203" t="s">
        <v>2143</v>
      </c>
      <c r="D2762" s="204">
        <v>1</v>
      </c>
      <c r="E2762" s="204" t="s">
        <v>2013</v>
      </c>
      <c r="F2762" s="205">
        <v>9.0669080274165918E-3</v>
      </c>
    </row>
    <row r="2763" spans="1:6">
      <c r="A2763" s="210">
        <v>267611000</v>
      </c>
      <c r="B2763" s="202" t="s">
        <v>1641</v>
      </c>
      <c r="C2763" s="203" t="s">
        <v>2143</v>
      </c>
      <c r="D2763" s="204">
        <v>1</v>
      </c>
      <c r="E2763" s="204" t="s">
        <v>2013</v>
      </c>
      <c r="F2763" s="205">
        <v>9.0669080274165918E-3</v>
      </c>
    </row>
    <row r="2764" spans="1:6">
      <c r="A2764" s="210">
        <v>267700000</v>
      </c>
      <c r="B2764" s="202" t="s">
        <v>4787</v>
      </c>
      <c r="C2764" s="203" t="s">
        <v>2143</v>
      </c>
      <c r="D2764" s="204">
        <v>1</v>
      </c>
      <c r="E2764" s="204" t="s">
        <v>2013</v>
      </c>
      <c r="F2764" s="205">
        <v>1.5702743336069329E-3</v>
      </c>
    </row>
    <row r="2765" spans="1:6">
      <c r="A2765" s="210">
        <v>267711000</v>
      </c>
      <c r="B2765" s="202" t="s">
        <v>1642</v>
      </c>
      <c r="C2765" s="203" t="s">
        <v>2143</v>
      </c>
      <c r="D2765" s="204">
        <v>1</v>
      </c>
      <c r="E2765" s="204" t="s">
        <v>2144</v>
      </c>
      <c r="F2765" s="205">
        <v>95.637752919836842</v>
      </c>
    </row>
    <row r="2766" spans="1:6">
      <c r="A2766" s="210">
        <v>267712000</v>
      </c>
      <c r="B2766" s="202" t="s">
        <v>1643</v>
      </c>
      <c r="C2766" s="203" t="s">
        <v>2143</v>
      </c>
      <c r="D2766" s="204">
        <v>1</v>
      </c>
      <c r="E2766" s="204" t="s">
        <v>2144</v>
      </c>
      <c r="F2766" s="205">
        <v>117.03040870955036</v>
      </c>
    </row>
    <row r="2767" spans="1:6">
      <c r="A2767" s="210">
        <v>267713000</v>
      </c>
      <c r="B2767" s="202" t="s">
        <v>1644</v>
      </c>
      <c r="C2767" s="203" t="s">
        <v>2143</v>
      </c>
      <c r="D2767" s="204">
        <v>1</v>
      </c>
      <c r="E2767" s="204" t="s">
        <v>2144</v>
      </c>
      <c r="F2767" s="205">
        <v>54.502961963273506</v>
      </c>
    </row>
    <row r="2768" spans="1:6">
      <c r="A2768" s="210">
        <v>267714000</v>
      </c>
      <c r="B2768" s="202" t="s">
        <v>1645</v>
      </c>
      <c r="C2768" s="203" t="s">
        <v>2143</v>
      </c>
      <c r="D2768" s="204">
        <v>1</v>
      </c>
      <c r="E2768" s="204" t="s">
        <v>2144</v>
      </c>
      <c r="F2768" s="205">
        <v>25.406611018917914</v>
      </c>
    </row>
    <row r="2769" spans="1:6">
      <c r="A2769" s="210">
        <v>267719000</v>
      </c>
      <c r="B2769" s="202" t="s">
        <v>1646</v>
      </c>
      <c r="C2769" s="203" t="s">
        <v>2143</v>
      </c>
      <c r="D2769" s="204">
        <v>1</v>
      </c>
      <c r="E2769" s="204" t="s">
        <v>2013</v>
      </c>
      <c r="F2769" s="205">
        <v>1.5012906968662077E-3</v>
      </c>
    </row>
    <row r="2770" spans="1:6">
      <c r="A2770" s="210">
        <v>267722000</v>
      </c>
      <c r="B2770" s="202" t="s">
        <v>4794</v>
      </c>
      <c r="C2770" s="203" t="s">
        <v>2143</v>
      </c>
      <c r="D2770" s="204">
        <v>1</v>
      </c>
      <c r="E2770" s="204" t="s">
        <v>2144</v>
      </c>
      <c r="F2770" s="205">
        <v>5.447305736387257</v>
      </c>
    </row>
    <row r="2771" spans="1:6">
      <c r="A2771" s="210">
        <v>267800000</v>
      </c>
      <c r="B2771" s="202" t="s">
        <v>6188</v>
      </c>
      <c r="C2771" s="203" t="s">
        <v>2143</v>
      </c>
      <c r="D2771" s="204">
        <v>1</v>
      </c>
      <c r="E2771" s="204" t="s">
        <v>2013</v>
      </c>
      <c r="F2771" s="205">
        <v>1.9470381951817925E-3</v>
      </c>
    </row>
    <row r="2772" spans="1:6">
      <c r="A2772" s="210">
        <v>267811000</v>
      </c>
      <c r="B2772" s="202" t="s">
        <v>1647</v>
      </c>
      <c r="C2772" s="203" t="s">
        <v>2143</v>
      </c>
      <c r="D2772" s="204">
        <v>1</v>
      </c>
      <c r="E2772" s="204" t="s">
        <v>2144</v>
      </c>
      <c r="F2772" s="205">
        <v>15501.57559530891</v>
      </c>
    </row>
    <row r="2773" spans="1:6">
      <c r="A2773" s="210">
        <v>267812000</v>
      </c>
      <c r="B2773" s="202" t="s">
        <v>1648</v>
      </c>
      <c r="C2773" s="203" t="s">
        <v>2143</v>
      </c>
      <c r="D2773" s="204">
        <v>1</v>
      </c>
      <c r="E2773" s="204" t="s">
        <v>2144</v>
      </c>
      <c r="F2773" s="205">
        <v>5114.6451281721675</v>
      </c>
    </row>
    <row r="2774" spans="1:6">
      <c r="A2774" s="210">
        <v>267813000</v>
      </c>
      <c r="B2774" s="202" t="s">
        <v>4798</v>
      </c>
      <c r="C2774" s="203" t="s">
        <v>2143</v>
      </c>
      <c r="D2774" s="204">
        <v>1</v>
      </c>
      <c r="E2774" s="204" t="s">
        <v>2144</v>
      </c>
      <c r="F2774" s="205">
        <v>9200.8009100283962</v>
      </c>
    </row>
    <row r="2775" spans="1:6">
      <c r="A2775" s="210">
        <v>267814000</v>
      </c>
      <c r="B2775" s="202" t="s">
        <v>1649</v>
      </c>
      <c r="C2775" s="203" t="s">
        <v>2143</v>
      </c>
      <c r="D2775" s="204">
        <v>1</v>
      </c>
      <c r="E2775" s="204" t="s">
        <v>2144</v>
      </c>
      <c r="F2775" s="205">
        <v>15332.531173396972</v>
      </c>
    </row>
    <row r="2776" spans="1:6">
      <c r="A2776" s="210">
        <v>267815000</v>
      </c>
      <c r="B2776" s="219" t="s">
        <v>6963</v>
      </c>
      <c r="C2776" s="203" t="s">
        <v>2143</v>
      </c>
      <c r="D2776" s="204">
        <v>1</v>
      </c>
      <c r="E2776" s="204" t="s">
        <v>2144</v>
      </c>
      <c r="F2776" s="205">
        <v>132699.38264074642</v>
      </c>
    </row>
    <row r="2777" spans="1:6">
      <c r="A2777" s="210">
        <v>267816000</v>
      </c>
      <c r="B2777" s="202" t="s">
        <v>1651</v>
      </c>
      <c r="C2777" s="203" t="s">
        <v>2143</v>
      </c>
      <c r="D2777" s="204">
        <v>1</v>
      </c>
      <c r="E2777" s="204" t="s">
        <v>2144</v>
      </c>
      <c r="F2777" s="205">
        <v>14818.075608514482</v>
      </c>
    </row>
    <row r="2778" spans="1:6">
      <c r="A2778" s="210">
        <v>267817000</v>
      </c>
      <c r="B2778" s="202" t="s">
        <v>1652</v>
      </c>
      <c r="C2778" s="203" t="s">
        <v>2143</v>
      </c>
      <c r="D2778" s="204">
        <v>1</v>
      </c>
      <c r="E2778" s="204" t="s">
        <v>2144</v>
      </c>
      <c r="F2778" s="205">
        <v>6748.9725681208947</v>
      </c>
    </row>
    <row r="2779" spans="1:6">
      <c r="A2779" s="210">
        <v>267818000</v>
      </c>
      <c r="B2779" s="202" t="s">
        <v>1653</v>
      </c>
      <c r="C2779" s="203" t="s">
        <v>2143</v>
      </c>
      <c r="D2779" s="204">
        <v>1</v>
      </c>
      <c r="E2779" s="204" t="s">
        <v>2144</v>
      </c>
      <c r="F2779" s="205">
        <v>966.91943458795868</v>
      </c>
    </row>
    <row r="2780" spans="1:6">
      <c r="A2780" s="210">
        <v>267821000</v>
      </c>
      <c r="B2780" s="202" t="s">
        <v>1654</v>
      </c>
      <c r="C2780" s="203" t="s">
        <v>2143</v>
      </c>
      <c r="D2780" s="204">
        <v>1</v>
      </c>
      <c r="E2780" s="204" t="s">
        <v>2144</v>
      </c>
      <c r="F2780" s="205">
        <v>52751.650023298571</v>
      </c>
    </row>
    <row r="2781" spans="1:6">
      <c r="A2781" s="210">
        <v>267821200</v>
      </c>
      <c r="B2781" s="202" t="s">
        <v>6189</v>
      </c>
      <c r="C2781" s="203" t="s">
        <v>2143</v>
      </c>
      <c r="D2781" s="204">
        <v>1</v>
      </c>
      <c r="E2781" s="204" t="s">
        <v>2144</v>
      </c>
      <c r="F2781" s="205">
        <v>15502.32370258294</v>
      </c>
    </row>
    <row r="2782" spans="1:6">
      <c r="A2782" s="210">
        <v>267821201</v>
      </c>
      <c r="B2782" s="202" t="s">
        <v>6190</v>
      </c>
      <c r="C2782" s="203" t="s">
        <v>2143</v>
      </c>
      <c r="D2782" s="204">
        <v>1</v>
      </c>
      <c r="E2782" s="204" t="s">
        <v>2144</v>
      </c>
      <c r="F2782" s="205">
        <v>12767.557919310708</v>
      </c>
    </row>
    <row r="2783" spans="1:6">
      <c r="A2783" s="210">
        <v>267822000</v>
      </c>
      <c r="B2783" s="202" t="s">
        <v>6191</v>
      </c>
      <c r="C2783" s="203" t="s">
        <v>2143</v>
      </c>
      <c r="D2783" s="204">
        <v>1</v>
      </c>
      <c r="E2783" s="204" t="s">
        <v>2013</v>
      </c>
      <c r="F2783" s="205">
        <v>1.9532073873553546E-3</v>
      </c>
    </row>
    <row r="2784" spans="1:6">
      <c r="A2784" s="210">
        <v>267829000</v>
      </c>
      <c r="B2784" s="202" t="s">
        <v>1656</v>
      </c>
      <c r="C2784" s="203" t="s">
        <v>2143</v>
      </c>
      <c r="D2784" s="204">
        <v>1</v>
      </c>
      <c r="E2784" s="204" t="s">
        <v>2013</v>
      </c>
      <c r="F2784" s="205">
        <v>2.0235255510877362E-3</v>
      </c>
    </row>
    <row r="2785" spans="1:6">
      <c r="A2785" s="210">
        <v>267900000</v>
      </c>
      <c r="B2785" s="202" t="s">
        <v>6192</v>
      </c>
      <c r="C2785" s="203" t="s">
        <v>2143</v>
      </c>
      <c r="D2785" s="204">
        <v>1</v>
      </c>
      <c r="E2785" s="204" t="s">
        <v>2013</v>
      </c>
      <c r="F2785" s="205">
        <v>2.6872566151898529E-3</v>
      </c>
    </row>
    <row r="2786" spans="1:6">
      <c r="A2786" s="210">
        <v>267911000</v>
      </c>
      <c r="B2786" s="202" t="s">
        <v>6193</v>
      </c>
      <c r="C2786" s="203" t="s">
        <v>2143</v>
      </c>
      <c r="D2786" s="204">
        <v>1</v>
      </c>
      <c r="E2786" s="204" t="s">
        <v>2013</v>
      </c>
      <c r="F2786" s="205">
        <v>1.3267371971444133E-2</v>
      </c>
    </row>
    <row r="2787" spans="1:6">
      <c r="A2787" s="210">
        <v>267919000</v>
      </c>
      <c r="B2787" s="202" t="s">
        <v>1657</v>
      </c>
      <c r="C2787" s="203" t="s">
        <v>2143</v>
      </c>
      <c r="D2787" s="204">
        <v>1</v>
      </c>
      <c r="E2787" s="204" t="s">
        <v>2013</v>
      </c>
      <c r="F2787" s="205">
        <v>1.8919174134808465E-3</v>
      </c>
    </row>
    <row r="2788" spans="1:6">
      <c r="A2788" s="210">
        <v>268100000</v>
      </c>
      <c r="B2788" s="202" t="s">
        <v>4807</v>
      </c>
      <c r="C2788" s="203" t="s">
        <v>2143</v>
      </c>
      <c r="D2788" s="204">
        <v>1</v>
      </c>
      <c r="E2788" s="204" t="s">
        <v>2013</v>
      </c>
      <c r="F2788" s="205">
        <v>2.4157272484153641E-3</v>
      </c>
    </row>
    <row r="2789" spans="1:6">
      <c r="A2789" s="210">
        <v>268112000</v>
      </c>
      <c r="B2789" s="202" t="s">
        <v>1658</v>
      </c>
      <c r="C2789" s="203" t="s">
        <v>2143</v>
      </c>
      <c r="D2789" s="204">
        <v>1</v>
      </c>
      <c r="E2789" s="204" t="s">
        <v>2013</v>
      </c>
      <c r="F2789" s="205">
        <v>1.7178111029389834E-3</v>
      </c>
    </row>
    <row r="2790" spans="1:6">
      <c r="A2790" s="210">
        <v>268113000</v>
      </c>
      <c r="B2790" s="202" t="s">
        <v>1659</v>
      </c>
      <c r="C2790" s="203" t="s">
        <v>2143</v>
      </c>
      <c r="D2790" s="204">
        <v>1</v>
      </c>
      <c r="E2790" s="204" t="s">
        <v>2144</v>
      </c>
      <c r="F2790" s="205">
        <v>913.30548834331967</v>
      </c>
    </row>
    <row r="2791" spans="1:6">
      <c r="A2791" s="210">
        <v>268114000</v>
      </c>
      <c r="B2791" s="202" t="s">
        <v>1660</v>
      </c>
      <c r="C2791" s="203" t="s">
        <v>2143</v>
      </c>
      <c r="D2791" s="204">
        <v>1</v>
      </c>
      <c r="E2791" s="204" t="s">
        <v>2144</v>
      </c>
      <c r="F2791" s="205">
        <v>1445.5817793400383</v>
      </c>
    </row>
    <row r="2792" spans="1:6">
      <c r="A2792" s="210">
        <v>268115000</v>
      </c>
      <c r="B2792" s="202" t="s">
        <v>4812</v>
      </c>
      <c r="C2792" s="203" t="s">
        <v>2143</v>
      </c>
      <c r="D2792" s="204">
        <v>1</v>
      </c>
      <c r="E2792" s="204" t="s">
        <v>2144</v>
      </c>
      <c r="F2792" s="205">
        <v>511.56724642569839</v>
      </c>
    </row>
    <row r="2793" spans="1:6">
      <c r="A2793" s="210">
        <v>268119000</v>
      </c>
      <c r="B2793" s="202" t="s">
        <v>1661</v>
      </c>
      <c r="C2793" s="203" t="s">
        <v>2143</v>
      </c>
      <c r="D2793" s="204">
        <v>1</v>
      </c>
      <c r="E2793" s="204" t="s">
        <v>2013</v>
      </c>
      <c r="F2793" s="205">
        <v>3.1243922956943511E-3</v>
      </c>
    </row>
    <row r="2794" spans="1:6">
      <c r="A2794" s="210">
        <v>268200000</v>
      </c>
      <c r="B2794" s="202" t="s">
        <v>4815</v>
      </c>
      <c r="C2794" s="203" t="s">
        <v>2143</v>
      </c>
      <c r="D2794" s="204">
        <v>1</v>
      </c>
      <c r="E2794" s="204" t="s">
        <v>2013</v>
      </c>
      <c r="F2794" s="205">
        <v>1.3391532724234319E-3</v>
      </c>
    </row>
    <row r="2795" spans="1:6">
      <c r="A2795" s="210">
        <v>268211000</v>
      </c>
      <c r="B2795" s="202" t="s">
        <v>1662</v>
      </c>
      <c r="C2795" s="203" t="s">
        <v>2143</v>
      </c>
      <c r="D2795" s="204">
        <v>1</v>
      </c>
      <c r="E2795" s="204" t="s">
        <v>2144</v>
      </c>
      <c r="F2795" s="205">
        <v>23.293487849617748</v>
      </c>
    </row>
    <row r="2796" spans="1:6">
      <c r="A2796" s="210">
        <v>268212000</v>
      </c>
      <c r="B2796" s="202" t="s">
        <v>4818</v>
      </c>
      <c r="C2796" s="203" t="s">
        <v>2143</v>
      </c>
      <c r="D2796" s="204">
        <v>1</v>
      </c>
      <c r="E2796" s="204" t="s">
        <v>2144</v>
      </c>
      <c r="F2796" s="205">
        <v>433.54767081056798</v>
      </c>
    </row>
    <row r="2797" spans="1:6">
      <c r="A2797" s="210">
        <v>268213000</v>
      </c>
      <c r="B2797" s="202" t="s">
        <v>4820</v>
      </c>
      <c r="C2797" s="203" t="s">
        <v>2143</v>
      </c>
      <c r="D2797" s="204">
        <v>1</v>
      </c>
      <c r="E2797" s="204" t="s">
        <v>2144</v>
      </c>
      <c r="F2797" s="205">
        <v>947.70088728309838</v>
      </c>
    </row>
    <row r="2798" spans="1:6">
      <c r="A2798" s="210">
        <v>268219000</v>
      </c>
      <c r="B2798" s="202" t="s">
        <v>1663</v>
      </c>
      <c r="C2798" s="203" t="s">
        <v>2143</v>
      </c>
      <c r="D2798" s="204">
        <v>1</v>
      </c>
      <c r="E2798" s="204" t="s">
        <v>2013</v>
      </c>
      <c r="F2798" s="205">
        <v>1.3363887782323874E-3</v>
      </c>
    </row>
    <row r="2799" spans="1:6">
      <c r="A2799" s="210">
        <v>268221000</v>
      </c>
      <c r="B2799" s="202" t="s">
        <v>1664</v>
      </c>
      <c r="C2799" s="203" t="s">
        <v>2143</v>
      </c>
      <c r="D2799" s="204">
        <v>1</v>
      </c>
      <c r="E2799" s="204" t="s">
        <v>2144</v>
      </c>
      <c r="F2799" s="205">
        <v>1530.2667693970452</v>
      </c>
    </row>
    <row r="2800" spans="1:6">
      <c r="A2800" s="210">
        <v>268222000</v>
      </c>
      <c r="B2800" s="202" t="s">
        <v>1665</v>
      </c>
      <c r="C2800" s="203" t="s">
        <v>2143</v>
      </c>
      <c r="D2800" s="204">
        <v>1</v>
      </c>
      <c r="E2800" s="204" t="s">
        <v>2144</v>
      </c>
      <c r="F2800" s="205">
        <v>203.46024240274141</v>
      </c>
    </row>
    <row r="2801" spans="1:6">
      <c r="A2801" s="210">
        <v>268300000</v>
      </c>
      <c r="B2801" s="202" t="s">
        <v>6194</v>
      </c>
      <c r="C2801" s="203" t="s">
        <v>2143</v>
      </c>
      <c r="D2801" s="204">
        <v>1</v>
      </c>
      <c r="E2801" s="204" t="s">
        <v>2013</v>
      </c>
      <c r="F2801" s="205">
        <v>2.1750479161236659E-3</v>
      </c>
    </row>
    <row r="2802" spans="1:6">
      <c r="A2802" s="210">
        <v>268311000</v>
      </c>
      <c r="B2802" s="202" t="s">
        <v>1666</v>
      </c>
      <c r="C2802" s="203" t="s">
        <v>2143</v>
      </c>
      <c r="D2802" s="204">
        <v>1</v>
      </c>
      <c r="E2802" s="204" t="s">
        <v>2013</v>
      </c>
      <c r="F2802" s="205">
        <v>2.167014194970722E-3</v>
      </c>
    </row>
    <row r="2803" spans="1:6">
      <c r="A2803" s="210">
        <v>268312000</v>
      </c>
      <c r="B2803" s="202" t="s">
        <v>1667</v>
      </c>
      <c r="C2803" s="203" t="s">
        <v>2143</v>
      </c>
      <c r="D2803" s="204">
        <v>1</v>
      </c>
      <c r="E2803" s="204" t="s">
        <v>2013</v>
      </c>
      <c r="F2803" s="205">
        <v>2.7877485527228914E-3</v>
      </c>
    </row>
    <row r="2804" spans="1:6">
      <c r="A2804" s="210">
        <v>268313000</v>
      </c>
      <c r="B2804" s="202" t="s">
        <v>1668</v>
      </c>
      <c r="C2804" s="203" t="s">
        <v>2143</v>
      </c>
      <c r="D2804" s="204">
        <v>1</v>
      </c>
      <c r="E2804" s="204" t="s">
        <v>2013</v>
      </c>
      <c r="F2804" s="205">
        <v>2.9619900780171148E-3</v>
      </c>
    </row>
    <row r="2805" spans="1:6">
      <c r="A2805" s="210">
        <v>268319000</v>
      </c>
      <c r="B2805" s="202" t="s">
        <v>1669</v>
      </c>
      <c r="C2805" s="203" t="s">
        <v>2143</v>
      </c>
      <c r="D2805" s="204">
        <v>1</v>
      </c>
      <c r="E2805" s="204" t="s">
        <v>2013</v>
      </c>
      <c r="F2805" s="205">
        <v>2.7883773053188794E-3</v>
      </c>
    </row>
    <row r="2806" spans="1:6">
      <c r="A2806" s="210">
        <v>268400000</v>
      </c>
      <c r="B2806" s="202" t="s">
        <v>4825</v>
      </c>
      <c r="C2806" s="203" t="s">
        <v>2143</v>
      </c>
      <c r="D2806" s="204">
        <v>1</v>
      </c>
      <c r="E2806" s="204" t="s">
        <v>2144</v>
      </c>
      <c r="F2806" s="205">
        <v>379.10370046173193</v>
      </c>
    </row>
    <row r="2807" spans="1:6">
      <c r="A2807" s="210">
        <v>268411000</v>
      </c>
      <c r="B2807" s="202" t="s">
        <v>1670</v>
      </c>
      <c r="C2807" s="203" t="s">
        <v>2143</v>
      </c>
      <c r="D2807" s="204">
        <v>1</v>
      </c>
      <c r="E2807" s="204" t="s">
        <v>2144</v>
      </c>
      <c r="F2807" s="205">
        <v>379.10370046173193</v>
      </c>
    </row>
    <row r="2808" spans="1:6">
      <c r="A2808" s="210">
        <v>268900000</v>
      </c>
      <c r="B2808" s="202" t="s">
        <v>6195</v>
      </c>
      <c r="C2808" s="203" t="s">
        <v>2143</v>
      </c>
      <c r="D2808" s="204">
        <v>1</v>
      </c>
      <c r="E2808" s="204" t="s">
        <v>2013</v>
      </c>
      <c r="F2808" s="205">
        <v>1.5710001140644605E-3</v>
      </c>
    </row>
    <row r="2809" spans="1:6">
      <c r="A2809" s="210">
        <v>268911000</v>
      </c>
      <c r="B2809" s="202" t="s">
        <v>1671</v>
      </c>
      <c r="C2809" s="203" t="s">
        <v>2143</v>
      </c>
      <c r="D2809" s="204">
        <v>1</v>
      </c>
      <c r="E2809" s="204" t="s">
        <v>2144</v>
      </c>
      <c r="F2809" s="205">
        <v>1978.1636179417401</v>
      </c>
    </row>
    <row r="2810" spans="1:6">
      <c r="A2810" s="210">
        <v>268912000</v>
      </c>
      <c r="B2810" s="202" t="s">
        <v>1672</v>
      </c>
      <c r="C2810" s="203" t="s">
        <v>2143</v>
      </c>
      <c r="D2810" s="204">
        <v>1</v>
      </c>
      <c r="E2810" s="204" t="s">
        <v>2144</v>
      </c>
      <c r="F2810" s="205">
        <v>687.14872612453019</v>
      </c>
    </row>
    <row r="2811" spans="1:6">
      <c r="A2811" s="210">
        <v>268919000</v>
      </c>
      <c r="B2811" s="202" t="s">
        <v>4830</v>
      </c>
      <c r="C2811" s="203" t="s">
        <v>2143</v>
      </c>
      <c r="D2811" s="204">
        <v>1</v>
      </c>
      <c r="E2811" s="204" t="s">
        <v>2013</v>
      </c>
      <c r="F2811" s="205">
        <v>1.9984617490813664E-3</v>
      </c>
    </row>
    <row r="2812" spans="1:6">
      <c r="A2812" s="210">
        <v>269100000</v>
      </c>
      <c r="B2812" s="202" t="s">
        <v>6196</v>
      </c>
      <c r="C2812" s="203" t="s">
        <v>2143</v>
      </c>
      <c r="D2812" s="204">
        <v>1</v>
      </c>
      <c r="E2812" s="204" t="s">
        <v>2013</v>
      </c>
      <c r="F2812" s="205">
        <v>3.2880087124793136E-3</v>
      </c>
    </row>
    <row r="2813" spans="1:6">
      <c r="A2813" s="210">
        <v>269111000</v>
      </c>
      <c r="B2813" s="202" t="s">
        <v>6197</v>
      </c>
      <c r="C2813" s="203" t="s">
        <v>2143</v>
      </c>
      <c r="D2813" s="204">
        <v>1</v>
      </c>
      <c r="E2813" s="204" t="s">
        <v>2013</v>
      </c>
      <c r="F2813" s="205">
        <v>3.2880087124793136E-3</v>
      </c>
    </row>
    <row r="2814" spans="1:6">
      <c r="A2814" s="210">
        <v>269200000</v>
      </c>
      <c r="B2814" s="202" t="s">
        <v>4832</v>
      </c>
      <c r="C2814" s="203" t="s">
        <v>2143</v>
      </c>
      <c r="D2814" s="204">
        <v>1</v>
      </c>
      <c r="E2814" s="204" t="s">
        <v>2013</v>
      </c>
      <c r="F2814" s="205">
        <v>2.1679042083241106E-3</v>
      </c>
    </row>
    <row r="2815" spans="1:6">
      <c r="A2815" s="210">
        <v>269211000</v>
      </c>
      <c r="B2815" s="202" t="s">
        <v>1673</v>
      </c>
      <c r="C2815" s="203" t="s">
        <v>2143</v>
      </c>
      <c r="D2815" s="204">
        <v>1</v>
      </c>
      <c r="E2815" s="204" t="s">
        <v>235</v>
      </c>
      <c r="F2815" s="205">
        <v>4.7178878047540929</v>
      </c>
    </row>
    <row r="2816" spans="1:6">
      <c r="A2816" s="210">
        <v>269212000</v>
      </c>
      <c r="B2816" s="202" t="s">
        <v>1674</v>
      </c>
      <c r="C2816" s="203" t="s">
        <v>2143</v>
      </c>
      <c r="D2816" s="204">
        <v>1</v>
      </c>
      <c r="E2816" s="204" t="s">
        <v>235</v>
      </c>
      <c r="F2816" s="205">
        <v>2.5077261024128132</v>
      </c>
    </row>
    <row r="2817" spans="1:6">
      <c r="A2817" s="210">
        <v>269213000</v>
      </c>
      <c r="B2817" s="202" t="s">
        <v>1675</v>
      </c>
      <c r="C2817" s="203" t="s">
        <v>2143</v>
      </c>
      <c r="D2817" s="204">
        <v>1</v>
      </c>
      <c r="E2817" s="204" t="s">
        <v>235</v>
      </c>
      <c r="F2817" s="205">
        <v>4.9927873023020659</v>
      </c>
    </row>
    <row r="2818" spans="1:6">
      <c r="A2818" s="210">
        <v>269214000</v>
      </c>
      <c r="B2818" s="202" t="s">
        <v>1676</v>
      </c>
      <c r="C2818" s="203" t="s">
        <v>2143</v>
      </c>
      <c r="D2818" s="204">
        <v>1</v>
      </c>
      <c r="E2818" s="204" t="s">
        <v>2144</v>
      </c>
      <c r="F2818" s="205">
        <v>13.012454190310619</v>
      </c>
    </row>
    <row r="2819" spans="1:6">
      <c r="A2819" s="210">
        <v>269300000</v>
      </c>
      <c r="B2819" s="202" t="s">
        <v>6198</v>
      </c>
      <c r="C2819" s="203" t="s">
        <v>2143</v>
      </c>
      <c r="D2819" s="204">
        <v>1</v>
      </c>
      <c r="E2819" s="204" t="s">
        <v>2013</v>
      </c>
      <c r="F2819" s="205">
        <v>2.2312866448399773E-3</v>
      </c>
    </row>
    <row r="2820" spans="1:6">
      <c r="A2820" s="210">
        <v>269311000</v>
      </c>
      <c r="B2820" s="202" t="s">
        <v>6199</v>
      </c>
      <c r="C2820" s="203" t="s">
        <v>2143</v>
      </c>
      <c r="D2820" s="204">
        <v>1</v>
      </c>
      <c r="E2820" s="204" t="s">
        <v>2013</v>
      </c>
      <c r="F2820" s="205">
        <v>2.2312866448399773E-3</v>
      </c>
    </row>
    <row r="2821" spans="1:6">
      <c r="A2821" s="210">
        <v>269400000</v>
      </c>
      <c r="B2821" s="202" t="s">
        <v>4838</v>
      </c>
      <c r="C2821" s="203" t="s">
        <v>2143</v>
      </c>
      <c r="D2821" s="204">
        <v>1</v>
      </c>
      <c r="E2821" s="204" t="s">
        <v>2013</v>
      </c>
      <c r="F2821" s="205">
        <v>1.3891146627214791E-3</v>
      </c>
    </row>
    <row r="2822" spans="1:6">
      <c r="A2822" s="210">
        <v>269411000</v>
      </c>
      <c r="B2822" s="202" t="s">
        <v>4840</v>
      </c>
      <c r="C2822" s="203" t="s">
        <v>2143</v>
      </c>
      <c r="D2822" s="204">
        <v>1</v>
      </c>
      <c r="E2822" s="204" t="s">
        <v>2144</v>
      </c>
      <c r="F2822" s="205">
        <v>0.25259299519890532</v>
      </c>
    </row>
    <row r="2823" spans="1:6">
      <c r="A2823" s="210">
        <v>269412000</v>
      </c>
      <c r="B2823" s="202" t="s">
        <v>4842</v>
      </c>
      <c r="C2823" s="203" t="s">
        <v>2143</v>
      </c>
      <c r="D2823" s="204">
        <v>1</v>
      </c>
      <c r="E2823" s="204" t="s">
        <v>2144</v>
      </c>
      <c r="F2823" s="205">
        <v>0.40002196020601366</v>
      </c>
    </row>
    <row r="2824" spans="1:6">
      <c r="A2824" s="210">
        <v>269413000</v>
      </c>
      <c r="B2824" s="202" t="s">
        <v>4844</v>
      </c>
      <c r="C2824" s="203" t="s">
        <v>2143</v>
      </c>
      <c r="D2824" s="204">
        <v>1</v>
      </c>
      <c r="E2824" s="204" t="s">
        <v>2144</v>
      </c>
      <c r="F2824" s="205">
        <v>0.3552282725534901</v>
      </c>
    </row>
    <row r="2825" spans="1:6">
      <c r="A2825" s="210">
        <v>269414000</v>
      </c>
      <c r="B2825" s="202" t="s">
        <v>1677</v>
      </c>
      <c r="C2825" s="203" t="s">
        <v>2143</v>
      </c>
      <c r="D2825" s="204">
        <v>1</v>
      </c>
      <c r="E2825" s="204" t="s">
        <v>2144</v>
      </c>
      <c r="F2825" s="205">
        <v>1.4712841771586118</v>
      </c>
    </row>
    <row r="2826" spans="1:6">
      <c r="A2826" s="210">
        <v>269415000</v>
      </c>
      <c r="B2826" s="202" t="s">
        <v>1678</v>
      </c>
      <c r="C2826" s="203" t="s">
        <v>2143</v>
      </c>
      <c r="D2826" s="204">
        <v>1</v>
      </c>
      <c r="E2826" s="204" t="s">
        <v>2013</v>
      </c>
      <c r="F2826" s="205">
        <v>1.5562222488419908E-3</v>
      </c>
    </row>
    <row r="2827" spans="1:6">
      <c r="A2827" s="210">
        <v>269500000</v>
      </c>
      <c r="B2827" s="202" t="s">
        <v>4848</v>
      </c>
      <c r="C2827" s="203" t="s">
        <v>2143</v>
      </c>
      <c r="D2827" s="204">
        <v>1</v>
      </c>
      <c r="E2827" s="204" t="s">
        <v>2144</v>
      </c>
      <c r="F2827" s="205">
        <v>0.2975000882017767</v>
      </c>
    </row>
    <row r="2828" spans="1:6">
      <c r="A2828" s="210">
        <v>269511000</v>
      </c>
      <c r="B2828" s="202" t="s">
        <v>1679</v>
      </c>
      <c r="C2828" s="203" t="s">
        <v>2143</v>
      </c>
      <c r="D2828" s="204">
        <v>1</v>
      </c>
      <c r="E2828" s="204" t="s">
        <v>2144</v>
      </c>
      <c r="F2828" s="205">
        <v>0.2975000882017767</v>
      </c>
    </row>
    <row r="2829" spans="1:6">
      <c r="A2829" s="210">
        <v>269600000</v>
      </c>
      <c r="B2829" s="202" t="s">
        <v>4851</v>
      </c>
      <c r="C2829" s="203" t="s">
        <v>2143</v>
      </c>
      <c r="D2829" s="204">
        <v>1</v>
      </c>
      <c r="E2829" s="204" t="s">
        <v>2013</v>
      </c>
      <c r="F2829" s="205">
        <v>2.8917373717234109E-3</v>
      </c>
    </row>
    <row r="2830" spans="1:6">
      <c r="A2830" s="210">
        <v>269611000</v>
      </c>
      <c r="B2830" s="202" t="s">
        <v>2001</v>
      </c>
      <c r="C2830" s="203" t="s">
        <v>2143</v>
      </c>
      <c r="D2830" s="204">
        <v>1</v>
      </c>
      <c r="E2830" s="204" t="s">
        <v>235</v>
      </c>
      <c r="F2830" s="205">
        <v>5.3721357933365654</v>
      </c>
    </row>
    <row r="2831" spans="1:6">
      <c r="A2831" s="210">
        <v>269612000</v>
      </c>
      <c r="B2831" s="202" t="s">
        <v>2002</v>
      </c>
      <c r="C2831" s="203" t="s">
        <v>2143</v>
      </c>
      <c r="D2831" s="204">
        <v>1</v>
      </c>
      <c r="E2831" s="204" t="s">
        <v>235</v>
      </c>
      <c r="F2831" s="205">
        <v>7.2445676431363424</v>
      </c>
    </row>
    <row r="2832" spans="1:6">
      <c r="A2832" s="210">
        <v>269613000</v>
      </c>
      <c r="B2832" s="202" t="s">
        <v>4855</v>
      </c>
      <c r="C2832" s="203" t="s">
        <v>2143</v>
      </c>
      <c r="D2832" s="204">
        <v>1</v>
      </c>
      <c r="E2832" s="204" t="s">
        <v>235</v>
      </c>
      <c r="F2832" s="205">
        <v>7.0676436969617384</v>
      </c>
    </row>
    <row r="2833" spans="1:6">
      <c r="A2833" s="210">
        <v>269614000</v>
      </c>
      <c r="B2833" s="202" t="s">
        <v>2004</v>
      </c>
      <c r="C2833" s="203" t="s">
        <v>2143</v>
      </c>
      <c r="D2833" s="204">
        <v>1</v>
      </c>
      <c r="E2833" s="204" t="s">
        <v>235</v>
      </c>
      <c r="F2833" s="205">
        <v>12.223435209481799</v>
      </c>
    </row>
    <row r="2834" spans="1:6">
      <c r="A2834" s="210">
        <v>269615000</v>
      </c>
      <c r="B2834" s="202" t="s">
        <v>2010</v>
      </c>
      <c r="C2834" s="203" t="s">
        <v>2143</v>
      </c>
      <c r="D2834" s="204">
        <v>1</v>
      </c>
      <c r="E2834" s="204" t="s">
        <v>235</v>
      </c>
      <c r="F2834" s="205">
        <v>10.384244829234705</v>
      </c>
    </row>
    <row r="2835" spans="1:6">
      <c r="A2835" s="210">
        <v>269619000</v>
      </c>
      <c r="B2835" s="202" t="s">
        <v>6200</v>
      </c>
      <c r="C2835" s="203" t="s">
        <v>2143</v>
      </c>
      <c r="D2835" s="204">
        <v>1</v>
      </c>
      <c r="E2835" s="204" t="s">
        <v>2144</v>
      </c>
      <c r="F2835" s="205">
        <v>1085.3053523141602</v>
      </c>
    </row>
    <row r="2836" spans="1:6">
      <c r="A2836" s="210">
        <v>269700000</v>
      </c>
      <c r="B2836" s="202" t="s">
        <v>4861</v>
      </c>
      <c r="C2836" s="203" t="s">
        <v>2143</v>
      </c>
      <c r="D2836" s="204">
        <v>1</v>
      </c>
      <c r="E2836" s="204" t="s">
        <v>2144</v>
      </c>
      <c r="F2836" s="205">
        <v>7048.2431292148503</v>
      </c>
    </row>
    <row r="2837" spans="1:6">
      <c r="A2837" s="210">
        <v>269711000</v>
      </c>
      <c r="B2837" s="202" t="s">
        <v>1695</v>
      </c>
      <c r="C2837" s="203" t="s">
        <v>2143</v>
      </c>
      <c r="D2837" s="204">
        <v>1</v>
      </c>
      <c r="E2837" s="204" t="s">
        <v>2144</v>
      </c>
      <c r="F2837" s="205">
        <v>13971.402363501094</v>
      </c>
    </row>
    <row r="2838" spans="1:6">
      <c r="A2838" s="210">
        <v>269712000</v>
      </c>
      <c r="B2838" s="202" t="s">
        <v>1696</v>
      </c>
      <c r="C2838" s="203" t="s">
        <v>2143</v>
      </c>
      <c r="D2838" s="204">
        <v>1</v>
      </c>
      <c r="E2838" s="204" t="s">
        <v>2144</v>
      </c>
      <c r="F2838" s="205">
        <v>1393.8401942510516</v>
      </c>
    </row>
    <row r="2839" spans="1:6">
      <c r="A2839" s="210">
        <v>269800000</v>
      </c>
      <c r="B2839" s="202" t="s">
        <v>4865</v>
      </c>
      <c r="C2839" s="203" t="s">
        <v>2143</v>
      </c>
      <c r="D2839" s="204">
        <v>1</v>
      </c>
      <c r="E2839" s="204" t="s">
        <v>2013</v>
      </c>
      <c r="F2839" s="205">
        <v>9.6035550284782455E-4</v>
      </c>
    </row>
    <row r="2840" spans="1:6">
      <c r="A2840" s="210">
        <v>269811000</v>
      </c>
      <c r="B2840" s="202" t="s">
        <v>1697</v>
      </c>
      <c r="C2840" s="203" t="s">
        <v>2143</v>
      </c>
      <c r="D2840" s="204">
        <v>1</v>
      </c>
      <c r="E2840" s="204" t="s">
        <v>2144</v>
      </c>
      <c r="F2840" s="205">
        <v>9956.658232434791</v>
      </c>
    </row>
    <row r="2841" spans="1:6">
      <c r="A2841" s="210">
        <v>269819000</v>
      </c>
      <c r="B2841" s="202" t="s">
        <v>1698</v>
      </c>
      <c r="C2841" s="203" t="s">
        <v>2143</v>
      </c>
      <c r="D2841" s="204">
        <v>1</v>
      </c>
      <c r="E2841" s="204" t="s">
        <v>2013</v>
      </c>
      <c r="F2841" s="205">
        <v>9.2493348328860376E-4</v>
      </c>
    </row>
    <row r="2842" spans="1:6">
      <c r="A2842" s="210">
        <v>269900000</v>
      </c>
      <c r="B2842" s="202" t="s">
        <v>6201</v>
      </c>
      <c r="C2842" s="203" t="s">
        <v>2143</v>
      </c>
      <c r="D2842" s="204">
        <v>1</v>
      </c>
      <c r="E2842" s="204" t="s">
        <v>2013</v>
      </c>
      <c r="F2842" s="205">
        <v>3.6442549528033011E-3</v>
      </c>
    </row>
    <row r="2843" spans="1:6">
      <c r="A2843" s="210">
        <v>269919000</v>
      </c>
      <c r="B2843" s="202" t="s">
        <v>1699</v>
      </c>
      <c r="C2843" s="203" t="s">
        <v>2143</v>
      </c>
      <c r="D2843" s="204">
        <v>1</v>
      </c>
      <c r="E2843" s="204" t="s">
        <v>2013</v>
      </c>
      <c r="F2843" s="205">
        <v>3.6442549528033011E-3</v>
      </c>
    </row>
    <row r="2844" spans="1:6">
      <c r="A2844" s="210">
        <v>271100000</v>
      </c>
      <c r="B2844" s="202" t="s">
        <v>6202</v>
      </c>
      <c r="C2844" s="203" t="s">
        <v>2143</v>
      </c>
      <c r="D2844" s="204">
        <v>1</v>
      </c>
      <c r="E2844" s="204" t="s">
        <v>2013</v>
      </c>
      <c r="F2844" s="205">
        <v>2.5912198464906038E-3</v>
      </c>
    </row>
    <row r="2845" spans="1:6">
      <c r="A2845" s="210">
        <v>271100200</v>
      </c>
      <c r="B2845" s="202" t="s">
        <v>1700</v>
      </c>
      <c r="C2845" s="203" t="s">
        <v>2143</v>
      </c>
      <c r="D2845" s="204">
        <v>1</v>
      </c>
      <c r="E2845" s="204" t="s">
        <v>2144</v>
      </c>
      <c r="F2845" s="205">
        <v>605153.60946011939</v>
      </c>
    </row>
    <row r="2846" spans="1:6">
      <c r="A2846" s="210">
        <v>271111000</v>
      </c>
      <c r="B2846" s="202" t="s">
        <v>1701</v>
      </c>
      <c r="C2846" s="203" t="s">
        <v>2143</v>
      </c>
      <c r="D2846" s="204">
        <v>1</v>
      </c>
      <c r="E2846" s="204" t="s">
        <v>2144</v>
      </c>
      <c r="F2846" s="205">
        <v>1167191.0721893273</v>
      </c>
    </row>
    <row r="2847" spans="1:6">
      <c r="A2847" s="210">
        <v>271112000</v>
      </c>
      <c r="B2847" s="202" t="s">
        <v>1702</v>
      </c>
      <c r="C2847" s="203" t="s">
        <v>2143</v>
      </c>
      <c r="D2847" s="204">
        <v>1</v>
      </c>
      <c r="E2847" s="204" t="s">
        <v>2144</v>
      </c>
      <c r="F2847" s="205">
        <v>775.16099674153293</v>
      </c>
    </row>
    <row r="2848" spans="1:6">
      <c r="A2848" s="210">
        <v>271113000</v>
      </c>
      <c r="B2848" s="202" t="s">
        <v>4871</v>
      </c>
      <c r="C2848" s="203" t="s">
        <v>2143</v>
      </c>
      <c r="D2848" s="204">
        <v>1</v>
      </c>
      <c r="E2848" s="204" t="s">
        <v>2144</v>
      </c>
      <c r="F2848" s="205">
        <v>95.835684709164866</v>
      </c>
    </row>
    <row r="2849" spans="1:6">
      <c r="A2849" s="210">
        <v>271114000</v>
      </c>
      <c r="B2849" s="202" t="s">
        <v>1703</v>
      </c>
      <c r="C2849" s="203" t="s">
        <v>2143</v>
      </c>
      <c r="D2849" s="204">
        <v>1</v>
      </c>
      <c r="E2849" s="204" t="s">
        <v>2144</v>
      </c>
      <c r="F2849" s="205">
        <v>14.461066872241844</v>
      </c>
    </row>
    <row r="2850" spans="1:6">
      <c r="A2850" s="210">
        <v>271115000</v>
      </c>
      <c r="B2850" s="202" t="s">
        <v>1704</v>
      </c>
      <c r="C2850" s="203" t="s">
        <v>2143</v>
      </c>
      <c r="D2850" s="204">
        <v>1</v>
      </c>
      <c r="E2850" s="204" t="s">
        <v>2144</v>
      </c>
      <c r="F2850" s="205">
        <v>65.43702771460795</v>
      </c>
    </row>
    <row r="2851" spans="1:6">
      <c r="A2851" s="210">
        <v>271119000</v>
      </c>
      <c r="B2851" s="202" t="s">
        <v>1705</v>
      </c>
      <c r="C2851" s="203" t="s">
        <v>2143</v>
      </c>
      <c r="D2851" s="204">
        <v>1</v>
      </c>
      <c r="E2851" s="204" t="s">
        <v>2144</v>
      </c>
      <c r="F2851" s="205">
        <v>38.523300637361302</v>
      </c>
    </row>
    <row r="2852" spans="1:6">
      <c r="A2852" s="210">
        <v>271121000</v>
      </c>
      <c r="B2852" s="202" t="s">
        <v>1706</v>
      </c>
      <c r="C2852" s="203" t="s">
        <v>2143</v>
      </c>
      <c r="D2852" s="204">
        <v>1</v>
      </c>
      <c r="E2852" s="204" t="s">
        <v>2144</v>
      </c>
      <c r="F2852" s="205">
        <v>3.36218418494121</v>
      </c>
    </row>
    <row r="2853" spans="1:6">
      <c r="A2853" s="210">
        <v>271129000</v>
      </c>
      <c r="B2853" s="202" t="s">
        <v>1707</v>
      </c>
      <c r="C2853" s="203" t="s">
        <v>2143</v>
      </c>
      <c r="D2853" s="204">
        <v>1</v>
      </c>
      <c r="E2853" s="204" t="s">
        <v>2144</v>
      </c>
      <c r="F2853" s="205">
        <v>3.5362713815881506</v>
      </c>
    </row>
    <row r="2854" spans="1:6">
      <c r="A2854" s="210">
        <v>271139000</v>
      </c>
      <c r="B2854" s="202" t="s">
        <v>1708</v>
      </c>
      <c r="C2854" s="203" t="s">
        <v>2143</v>
      </c>
      <c r="D2854" s="204">
        <v>1</v>
      </c>
      <c r="E2854" s="204" t="s">
        <v>2013</v>
      </c>
      <c r="F2854" s="205">
        <v>2.5563382093116201E-3</v>
      </c>
    </row>
    <row r="2855" spans="1:6">
      <c r="A2855" s="210">
        <v>271149000</v>
      </c>
      <c r="B2855" s="202" t="s">
        <v>1709</v>
      </c>
      <c r="C2855" s="203" t="s">
        <v>2143</v>
      </c>
      <c r="D2855" s="204">
        <v>1</v>
      </c>
      <c r="E2855" s="204" t="s">
        <v>2013</v>
      </c>
      <c r="F2855" s="205">
        <v>2.4024369834419902E-3</v>
      </c>
    </row>
    <row r="2856" spans="1:6">
      <c r="A2856" s="210">
        <v>271200000</v>
      </c>
      <c r="B2856" s="202" t="s">
        <v>4879</v>
      </c>
      <c r="C2856" s="203" t="s">
        <v>2143</v>
      </c>
      <c r="D2856" s="204">
        <v>1</v>
      </c>
      <c r="E2856" s="204" t="s">
        <v>2144</v>
      </c>
      <c r="F2856" s="205">
        <v>175.64743387880617</v>
      </c>
    </row>
    <row r="2857" spans="1:6">
      <c r="A2857" s="210">
        <v>271200200</v>
      </c>
      <c r="B2857" s="202" t="s">
        <v>1710</v>
      </c>
      <c r="C2857" s="203" t="s">
        <v>2143</v>
      </c>
      <c r="D2857" s="204">
        <v>1</v>
      </c>
      <c r="E2857" s="204" t="s">
        <v>2144</v>
      </c>
      <c r="F2857" s="205">
        <v>714602.71452549903</v>
      </c>
    </row>
    <row r="2858" spans="1:6">
      <c r="A2858" s="210">
        <v>271211000</v>
      </c>
      <c r="B2858" s="202" t="s">
        <v>1711</v>
      </c>
      <c r="C2858" s="203" t="s">
        <v>2143</v>
      </c>
      <c r="D2858" s="204">
        <v>1</v>
      </c>
      <c r="E2858" s="204" t="s">
        <v>2144</v>
      </c>
      <c r="F2858" s="205">
        <v>350.0061601548357</v>
      </c>
    </row>
    <row r="2859" spans="1:6">
      <c r="A2859" s="210">
        <v>271212000</v>
      </c>
      <c r="B2859" s="202" t="s">
        <v>1712</v>
      </c>
      <c r="C2859" s="203" t="s">
        <v>2143</v>
      </c>
      <c r="D2859" s="204">
        <v>1</v>
      </c>
      <c r="E2859" s="204" t="s">
        <v>2144</v>
      </c>
      <c r="F2859" s="205">
        <v>1640.7548895982527</v>
      </c>
    </row>
    <row r="2860" spans="1:6">
      <c r="A2860" s="210">
        <v>271213000</v>
      </c>
      <c r="B2860" s="202" t="s">
        <v>1713</v>
      </c>
      <c r="C2860" s="203" t="s">
        <v>2143</v>
      </c>
      <c r="D2860" s="204">
        <v>1</v>
      </c>
      <c r="E2860" s="204" t="s">
        <v>2144</v>
      </c>
      <c r="F2860" s="205">
        <v>31.262332556716743</v>
      </c>
    </row>
    <row r="2861" spans="1:6">
      <c r="A2861" s="210">
        <v>271214000</v>
      </c>
      <c r="B2861" s="202" t="s">
        <v>1714</v>
      </c>
      <c r="C2861" s="203" t="s">
        <v>2143</v>
      </c>
      <c r="D2861" s="204">
        <v>1</v>
      </c>
      <c r="E2861" s="204" t="s">
        <v>2144</v>
      </c>
      <c r="F2861" s="205">
        <v>46.002134843820386</v>
      </c>
    </row>
    <row r="2862" spans="1:6">
      <c r="A2862" s="210">
        <v>271215000</v>
      </c>
      <c r="B2862" s="202" t="s">
        <v>4885</v>
      </c>
      <c r="C2862" s="203" t="s">
        <v>2143</v>
      </c>
      <c r="D2862" s="204">
        <v>1</v>
      </c>
      <c r="E2862" s="204" t="s">
        <v>2144</v>
      </c>
      <c r="F2862" s="205">
        <v>200.70756972794413</v>
      </c>
    </row>
    <row r="2863" spans="1:6">
      <c r="A2863" s="210">
        <v>271300000</v>
      </c>
      <c r="B2863" s="202" t="s">
        <v>4887</v>
      </c>
      <c r="C2863" s="203" t="s">
        <v>2143</v>
      </c>
      <c r="D2863" s="204">
        <v>1</v>
      </c>
      <c r="E2863" s="204" t="s">
        <v>2013</v>
      </c>
      <c r="F2863" s="205">
        <v>2.693383799173844E-3</v>
      </c>
    </row>
    <row r="2864" spans="1:6">
      <c r="A2864" s="210">
        <v>271300200</v>
      </c>
      <c r="B2864" s="202" t="s">
        <v>1715</v>
      </c>
      <c r="C2864" s="203" t="s">
        <v>2143</v>
      </c>
      <c r="D2864" s="204">
        <v>1</v>
      </c>
      <c r="E2864" s="204" t="s">
        <v>2144</v>
      </c>
      <c r="F2864" s="205">
        <v>379670.43056205986</v>
      </c>
    </row>
    <row r="2865" spans="1:6">
      <c r="A2865" s="210">
        <v>271311000</v>
      </c>
      <c r="B2865" s="202" t="s">
        <v>1716</v>
      </c>
      <c r="C2865" s="203" t="s">
        <v>2143</v>
      </c>
      <c r="D2865" s="204">
        <v>1</v>
      </c>
      <c r="E2865" s="204" t="s">
        <v>2144</v>
      </c>
      <c r="F2865" s="205">
        <v>2321.6881892805668</v>
      </c>
    </row>
    <row r="2866" spans="1:6">
      <c r="A2866" s="210">
        <v>271312000</v>
      </c>
      <c r="B2866" s="202" t="s">
        <v>1718</v>
      </c>
      <c r="C2866" s="203" t="s">
        <v>2143</v>
      </c>
      <c r="D2866" s="204">
        <v>1</v>
      </c>
      <c r="E2866" s="204" t="s">
        <v>2144</v>
      </c>
      <c r="F2866" s="205">
        <v>413.04043891309334</v>
      </c>
    </row>
    <row r="2867" spans="1:6">
      <c r="A2867" s="210">
        <v>271313000</v>
      </c>
      <c r="B2867" s="202" t="s">
        <v>1719</v>
      </c>
      <c r="C2867" s="203" t="s">
        <v>2143</v>
      </c>
      <c r="D2867" s="204">
        <v>1</v>
      </c>
      <c r="E2867" s="204" t="s">
        <v>2144</v>
      </c>
      <c r="F2867" s="205">
        <v>52.417543011697603</v>
      </c>
    </row>
    <row r="2868" spans="1:6">
      <c r="A2868" s="210">
        <v>271314000</v>
      </c>
      <c r="B2868" s="202" t="s">
        <v>1720</v>
      </c>
      <c r="C2868" s="203" t="s">
        <v>2143</v>
      </c>
      <c r="D2868" s="204">
        <v>1</v>
      </c>
      <c r="E2868" s="204" t="s">
        <v>2144</v>
      </c>
      <c r="F2868" s="205">
        <v>1.3055688270099082</v>
      </c>
    </row>
    <row r="2869" spans="1:6">
      <c r="A2869" s="210">
        <v>271315000</v>
      </c>
      <c r="B2869" s="202" t="s">
        <v>1721</v>
      </c>
      <c r="C2869" s="203" t="s">
        <v>2143</v>
      </c>
      <c r="D2869" s="204">
        <v>1</v>
      </c>
      <c r="E2869" s="204" t="s">
        <v>2144</v>
      </c>
      <c r="F2869" s="205">
        <v>3.997977562359333</v>
      </c>
    </row>
    <row r="2870" spans="1:6">
      <c r="A2870" s="210">
        <v>271316000</v>
      </c>
      <c r="B2870" s="202" t="s">
        <v>1722</v>
      </c>
      <c r="C2870" s="203" t="s">
        <v>2143</v>
      </c>
      <c r="D2870" s="204">
        <v>1</v>
      </c>
      <c r="E2870" s="204" t="s">
        <v>2144</v>
      </c>
      <c r="F2870" s="205">
        <v>1.5429414071649672</v>
      </c>
    </row>
    <row r="2871" spans="1:6">
      <c r="A2871" s="210">
        <v>271316200</v>
      </c>
      <c r="B2871" s="202" t="s">
        <v>1723</v>
      </c>
      <c r="C2871" s="203" t="s">
        <v>2143</v>
      </c>
      <c r="D2871" s="204">
        <v>1</v>
      </c>
      <c r="E2871" s="204" t="s">
        <v>2144</v>
      </c>
      <c r="F2871" s="205">
        <v>45170.705239920011</v>
      </c>
    </row>
    <row r="2872" spans="1:6">
      <c r="A2872" s="210">
        <v>271317000</v>
      </c>
      <c r="B2872" s="202" t="s">
        <v>1724</v>
      </c>
      <c r="C2872" s="203" t="s">
        <v>2143</v>
      </c>
      <c r="D2872" s="204">
        <v>1</v>
      </c>
      <c r="E2872" s="204" t="s">
        <v>2144</v>
      </c>
      <c r="F2872" s="205">
        <v>82.731327172571696</v>
      </c>
    </row>
    <row r="2873" spans="1:6">
      <c r="A2873" s="210">
        <v>271319000</v>
      </c>
      <c r="B2873" s="202" t="s">
        <v>1725</v>
      </c>
      <c r="C2873" s="203" t="s">
        <v>2143</v>
      </c>
      <c r="D2873" s="204">
        <v>1</v>
      </c>
      <c r="E2873" s="204" t="s">
        <v>2013</v>
      </c>
      <c r="F2873" s="205">
        <v>1.6100906267554494E-3</v>
      </c>
    </row>
    <row r="2874" spans="1:6">
      <c r="A2874" s="210">
        <v>271400000</v>
      </c>
      <c r="B2874" s="202" t="s">
        <v>4897</v>
      </c>
      <c r="C2874" s="203" t="s">
        <v>2143</v>
      </c>
      <c r="D2874" s="204">
        <v>1</v>
      </c>
      <c r="E2874" s="204" t="s">
        <v>2013</v>
      </c>
      <c r="F2874" s="205">
        <v>1.6563197254812426E-3</v>
      </c>
    </row>
    <row r="2875" spans="1:6">
      <c r="A2875" s="210">
        <v>271411000</v>
      </c>
      <c r="B2875" s="202" t="s">
        <v>1726</v>
      </c>
      <c r="C2875" s="203" t="s">
        <v>2143</v>
      </c>
      <c r="D2875" s="204">
        <v>1</v>
      </c>
      <c r="E2875" s="204" t="s">
        <v>2144</v>
      </c>
      <c r="F2875" s="205">
        <v>0.19837981409529049</v>
      </c>
    </row>
    <row r="2876" spans="1:6">
      <c r="A2876" s="210">
        <v>271412000</v>
      </c>
      <c r="B2876" s="202" t="s">
        <v>1727</v>
      </c>
      <c r="C2876" s="203" t="s">
        <v>2143</v>
      </c>
      <c r="D2876" s="204">
        <v>1</v>
      </c>
      <c r="E2876" s="204" t="s">
        <v>2144</v>
      </c>
      <c r="F2876" s="205">
        <v>0.20720662261649903</v>
      </c>
    </row>
    <row r="2877" spans="1:6">
      <c r="A2877" s="210">
        <v>271413000</v>
      </c>
      <c r="B2877" s="202" t="s">
        <v>1728</v>
      </c>
      <c r="C2877" s="203" t="s">
        <v>2143</v>
      </c>
      <c r="D2877" s="204">
        <v>1</v>
      </c>
      <c r="E2877" s="204" t="s">
        <v>2144</v>
      </c>
      <c r="F2877" s="205">
        <v>0.14652602543111509</v>
      </c>
    </row>
    <row r="2878" spans="1:6">
      <c r="A2878" s="210">
        <v>271419000</v>
      </c>
      <c r="B2878" s="202" t="s">
        <v>1729</v>
      </c>
      <c r="C2878" s="203" t="s">
        <v>2143</v>
      </c>
      <c r="D2878" s="204">
        <v>1</v>
      </c>
      <c r="E2878" s="204" t="s">
        <v>2013</v>
      </c>
      <c r="F2878" s="205">
        <v>1.3248236973699267E-3</v>
      </c>
    </row>
    <row r="2879" spans="1:6">
      <c r="A2879" s="210">
        <v>271500000</v>
      </c>
      <c r="B2879" s="202" t="s">
        <v>4903</v>
      </c>
      <c r="C2879" s="203" t="s">
        <v>2143</v>
      </c>
      <c r="D2879" s="204">
        <v>1</v>
      </c>
      <c r="E2879" s="204" t="s">
        <v>2144</v>
      </c>
      <c r="F2879" s="205">
        <v>965.90680160488228</v>
      </c>
    </row>
    <row r="2880" spans="1:6">
      <c r="A2880" s="210">
        <v>271511000</v>
      </c>
      <c r="B2880" s="202" t="s">
        <v>1730</v>
      </c>
      <c r="C2880" s="203" t="s">
        <v>2143</v>
      </c>
      <c r="D2880" s="204">
        <v>1</v>
      </c>
      <c r="E2880" s="204" t="s">
        <v>2144</v>
      </c>
      <c r="F2880" s="205">
        <v>682.25812058521842</v>
      </c>
    </row>
    <row r="2881" spans="1:6">
      <c r="A2881" s="210">
        <v>271512000</v>
      </c>
      <c r="B2881" s="202" t="s">
        <v>1731</v>
      </c>
      <c r="C2881" s="203" t="s">
        <v>2143</v>
      </c>
      <c r="D2881" s="204">
        <v>1</v>
      </c>
      <c r="E2881" s="204" t="s">
        <v>2144</v>
      </c>
      <c r="F2881" s="205">
        <v>1496.5490009105324</v>
      </c>
    </row>
    <row r="2882" spans="1:6">
      <c r="A2882" s="210">
        <v>271600000</v>
      </c>
      <c r="B2882" s="202" t="s">
        <v>6203</v>
      </c>
      <c r="C2882" s="203" t="s">
        <v>2143</v>
      </c>
      <c r="D2882" s="204">
        <v>1</v>
      </c>
      <c r="E2882" s="204" t="s">
        <v>2013</v>
      </c>
      <c r="F2882" s="205">
        <v>1.7566561367228532E-3</v>
      </c>
    </row>
    <row r="2883" spans="1:6">
      <c r="A2883" s="210">
        <v>271611000</v>
      </c>
      <c r="B2883" s="202" t="s">
        <v>1732</v>
      </c>
      <c r="C2883" s="203" t="s">
        <v>2143</v>
      </c>
      <c r="D2883" s="204">
        <v>1</v>
      </c>
      <c r="E2883" s="204" t="s">
        <v>2144</v>
      </c>
      <c r="F2883" s="205">
        <v>18.113969512981797</v>
      </c>
    </row>
    <row r="2884" spans="1:6">
      <c r="A2884" s="210">
        <v>271612000</v>
      </c>
      <c r="B2884" s="202" t="s">
        <v>1733</v>
      </c>
      <c r="C2884" s="203" t="s">
        <v>2143</v>
      </c>
      <c r="D2884" s="204">
        <v>1</v>
      </c>
      <c r="E2884" s="204" t="s">
        <v>2144</v>
      </c>
      <c r="F2884" s="205">
        <v>12.331072677518346</v>
      </c>
    </row>
    <row r="2885" spans="1:6">
      <c r="A2885" s="210">
        <v>271613000</v>
      </c>
      <c r="B2885" s="202" t="s">
        <v>1734</v>
      </c>
      <c r="C2885" s="203" t="s">
        <v>2143</v>
      </c>
      <c r="D2885" s="204">
        <v>1</v>
      </c>
      <c r="E2885" s="204" t="s">
        <v>2144</v>
      </c>
      <c r="F2885" s="205">
        <v>15.646187607623254</v>
      </c>
    </row>
    <row r="2886" spans="1:6">
      <c r="A2886" s="210">
        <v>271619000</v>
      </c>
      <c r="B2886" s="202" t="s">
        <v>1735</v>
      </c>
      <c r="C2886" s="203" t="s">
        <v>2143</v>
      </c>
      <c r="D2886" s="204">
        <v>1</v>
      </c>
      <c r="E2886" s="204" t="s">
        <v>2013</v>
      </c>
      <c r="F2886" s="205">
        <v>1.8724583803885323E-3</v>
      </c>
    </row>
    <row r="2887" spans="1:6">
      <c r="A2887" s="210">
        <v>271900000</v>
      </c>
      <c r="B2887" s="202" t="s">
        <v>6204</v>
      </c>
      <c r="C2887" s="203" t="s">
        <v>2143</v>
      </c>
      <c r="D2887" s="204">
        <v>1</v>
      </c>
      <c r="E2887" s="204" t="s">
        <v>2013</v>
      </c>
      <c r="F2887" s="205">
        <v>1.8656965753610782E-3</v>
      </c>
    </row>
    <row r="2888" spans="1:6">
      <c r="A2888" s="210">
        <v>271911000</v>
      </c>
      <c r="B2888" s="202" t="s">
        <v>4911</v>
      </c>
      <c r="C2888" s="203" t="s">
        <v>2143</v>
      </c>
      <c r="D2888" s="204">
        <v>1</v>
      </c>
      <c r="E2888" s="204" t="s">
        <v>2144</v>
      </c>
      <c r="F2888" s="205">
        <v>0.60734907430748208</v>
      </c>
    </row>
    <row r="2889" spans="1:6">
      <c r="A2889" s="210">
        <v>271912000</v>
      </c>
      <c r="B2889" s="202" t="s">
        <v>1736</v>
      </c>
      <c r="C2889" s="203" t="s">
        <v>2143</v>
      </c>
      <c r="D2889" s="204">
        <v>1</v>
      </c>
      <c r="E2889" s="204" t="s">
        <v>2144</v>
      </c>
      <c r="F2889" s="205">
        <v>17838.307667162484</v>
      </c>
    </row>
    <row r="2890" spans="1:6">
      <c r="A2890" s="210">
        <v>271913000</v>
      </c>
      <c r="B2890" s="202" t="s">
        <v>1737</v>
      </c>
      <c r="C2890" s="203" t="s">
        <v>2143</v>
      </c>
      <c r="D2890" s="204">
        <v>1</v>
      </c>
      <c r="E2890" s="204" t="s">
        <v>2013</v>
      </c>
      <c r="F2890" s="205">
        <v>2.5930091494224053E-3</v>
      </c>
    </row>
    <row r="2891" spans="1:6">
      <c r="A2891" s="210">
        <v>271914000</v>
      </c>
      <c r="B2891" s="202" t="s">
        <v>1738</v>
      </c>
      <c r="C2891" s="203" t="s">
        <v>2143</v>
      </c>
      <c r="D2891" s="204">
        <v>1</v>
      </c>
      <c r="E2891" s="204" t="s">
        <v>2013</v>
      </c>
      <c r="F2891" s="205">
        <v>8.9025326968032552E-4</v>
      </c>
    </row>
    <row r="2892" spans="1:6">
      <c r="A2892" s="210">
        <v>271915000</v>
      </c>
      <c r="B2892" s="202" t="s">
        <v>1739</v>
      </c>
      <c r="C2892" s="203" t="s">
        <v>2143</v>
      </c>
      <c r="D2892" s="204">
        <v>1</v>
      </c>
      <c r="E2892" s="204" t="s">
        <v>2013</v>
      </c>
      <c r="F2892" s="205">
        <v>5.8485973538777297E-3</v>
      </c>
    </row>
    <row r="2893" spans="1:6">
      <c r="A2893" s="210">
        <v>271919000</v>
      </c>
      <c r="B2893" s="202" t="s">
        <v>1740</v>
      </c>
      <c r="C2893" s="203" t="s">
        <v>2143</v>
      </c>
      <c r="D2893" s="204">
        <v>1</v>
      </c>
      <c r="E2893" s="204" t="s">
        <v>2013</v>
      </c>
      <c r="F2893" s="205">
        <v>2.5031311211875865E-3</v>
      </c>
    </row>
    <row r="2894" spans="1:6">
      <c r="A2894" s="210">
        <v>271929000</v>
      </c>
      <c r="B2894" s="202" t="s">
        <v>1741</v>
      </c>
      <c r="C2894" s="203" t="s">
        <v>2143</v>
      </c>
      <c r="D2894" s="204">
        <v>1</v>
      </c>
      <c r="E2894" s="204" t="s">
        <v>2013</v>
      </c>
      <c r="F2894" s="205">
        <v>2.4095823247997569E-3</v>
      </c>
    </row>
    <row r="2895" spans="1:6">
      <c r="A2895" s="210">
        <v>272100000</v>
      </c>
      <c r="B2895" s="202" t="s">
        <v>4915</v>
      </c>
      <c r="C2895" s="203" t="s">
        <v>2143</v>
      </c>
      <c r="D2895" s="204">
        <v>1</v>
      </c>
      <c r="E2895" s="204" t="s">
        <v>2013</v>
      </c>
      <c r="F2895" s="205">
        <v>1.5081998330112867E-3</v>
      </c>
    </row>
    <row r="2896" spans="1:6">
      <c r="A2896" s="210">
        <v>272111000</v>
      </c>
      <c r="B2896" s="202" t="s">
        <v>1742</v>
      </c>
      <c r="C2896" s="203" t="s">
        <v>2143</v>
      </c>
      <c r="D2896" s="204">
        <v>1</v>
      </c>
      <c r="E2896" s="204" t="s">
        <v>2144</v>
      </c>
      <c r="F2896" s="205">
        <v>20.645011964783265</v>
      </c>
    </row>
    <row r="2897" spans="1:6">
      <c r="A2897" s="210">
        <v>272112000</v>
      </c>
      <c r="B2897" s="202" t="s">
        <v>1743</v>
      </c>
      <c r="C2897" s="203" t="s">
        <v>2143</v>
      </c>
      <c r="D2897" s="204">
        <v>1</v>
      </c>
      <c r="E2897" s="204" t="s">
        <v>2144</v>
      </c>
      <c r="F2897" s="205">
        <v>30.414858816612394</v>
      </c>
    </row>
    <row r="2898" spans="1:6">
      <c r="A2898" s="210">
        <v>272113000</v>
      </c>
      <c r="B2898" s="202" t="s">
        <v>1744</v>
      </c>
      <c r="C2898" s="203" t="s">
        <v>2143</v>
      </c>
      <c r="D2898" s="204">
        <v>1</v>
      </c>
      <c r="E2898" s="204" t="s">
        <v>2144</v>
      </c>
      <c r="F2898" s="205">
        <v>141.23780371404519</v>
      </c>
    </row>
    <row r="2899" spans="1:6">
      <c r="A2899" s="210">
        <v>272119000</v>
      </c>
      <c r="B2899" s="202" t="s">
        <v>1745</v>
      </c>
      <c r="C2899" s="203" t="s">
        <v>2143</v>
      </c>
      <c r="D2899" s="204">
        <v>1</v>
      </c>
      <c r="E2899" s="204" t="s">
        <v>2013</v>
      </c>
      <c r="F2899" s="205">
        <v>1.4491727031128278E-3</v>
      </c>
    </row>
    <row r="2900" spans="1:6">
      <c r="A2900" s="210">
        <v>272200000</v>
      </c>
      <c r="B2900" s="202" t="s">
        <v>4921</v>
      </c>
      <c r="C2900" s="203" t="s">
        <v>2143</v>
      </c>
      <c r="D2900" s="204">
        <v>1</v>
      </c>
      <c r="E2900" s="204" t="s">
        <v>2013</v>
      </c>
      <c r="F2900" s="205">
        <v>1.2677659894339503E-3</v>
      </c>
    </row>
    <row r="2901" spans="1:6">
      <c r="A2901" s="210">
        <v>272211000</v>
      </c>
      <c r="B2901" s="202" t="s">
        <v>1746</v>
      </c>
      <c r="C2901" s="203" t="s">
        <v>2143</v>
      </c>
      <c r="D2901" s="204">
        <v>1</v>
      </c>
      <c r="E2901" s="204" t="s">
        <v>2144</v>
      </c>
      <c r="F2901" s="205">
        <v>8.0829675038660369</v>
      </c>
    </row>
    <row r="2902" spans="1:6">
      <c r="A2902" s="210">
        <v>272212000</v>
      </c>
      <c r="B2902" s="202" t="s">
        <v>1747</v>
      </c>
      <c r="C2902" s="203" t="s">
        <v>2143</v>
      </c>
      <c r="D2902" s="204">
        <v>1</v>
      </c>
      <c r="E2902" s="204" t="s">
        <v>2144</v>
      </c>
      <c r="F2902" s="205">
        <v>16.944110489122977</v>
      </c>
    </row>
    <row r="2903" spans="1:6">
      <c r="A2903" s="210">
        <v>272213000</v>
      </c>
      <c r="B2903" s="202" t="s">
        <v>1748</v>
      </c>
      <c r="C2903" s="203" t="s">
        <v>2143</v>
      </c>
      <c r="D2903" s="204">
        <v>1</v>
      </c>
      <c r="E2903" s="204" t="s">
        <v>2144</v>
      </c>
      <c r="F2903" s="205">
        <v>80.490785463956627</v>
      </c>
    </row>
    <row r="2904" spans="1:6">
      <c r="A2904" s="210">
        <v>272219000</v>
      </c>
      <c r="B2904" s="202" t="s">
        <v>1749</v>
      </c>
      <c r="C2904" s="203" t="s">
        <v>2143</v>
      </c>
      <c r="D2904" s="204">
        <v>1</v>
      </c>
      <c r="E2904" s="204" t="s">
        <v>2013</v>
      </c>
      <c r="F2904" s="205">
        <v>1.5064428641320534E-3</v>
      </c>
    </row>
    <row r="2905" spans="1:6">
      <c r="A2905" s="210">
        <v>272300000</v>
      </c>
      <c r="B2905" s="202" t="s">
        <v>4927</v>
      </c>
      <c r="C2905" s="203" t="s">
        <v>2143</v>
      </c>
      <c r="D2905" s="204">
        <v>1</v>
      </c>
      <c r="E2905" s="204" t="s">
        <v>2013</v>
      </c>
      <c r="F2905" s="205">
        <v>1.5694263579907608E-3</v>
      </c>
    </row>
    <row r="2906" spans="1:6">
      <c r="A2906" s="210">
        <v>272311000</v>
      </c>
      <c r="B2906" s="202" t="s">
        <v>1750</v>
      </c>
      <c r="C2906" s="203" t="s">
        <v>2143</v>
      </c>
      <c r="D2906" s="204">
        <v>1</v>
      </c>
      <c r="E2906" s="204" t="s">
        <v>2013</v>
      </c>
      <c r="F2906" s="205">
        <v>1.4043967851341266E-3</v>
      </c>
    </row>
    <row r="2907" spans="1:6">
      <c r="A2907" s="210">
        <v>272312000</v>
      </c>
      <c r="B2907" s="202" t="s">
        <v>1751</v>
      </c>
      <c r="C2907" s="203" t="s">
        <v>2143</v>
      </c>
      <c r="D2907" s="204">
        <v>1</v>
      </c>
      <c r="E2907" s="204" t="s">
        <v>2144</v>
      </c>
      <c r="F2907" s="205">
        <v>58.492252376209308</v>
      </c>
    </row>
    <row r="2908" spans="1:6">
      <c r="A2908" s="210">
        <v>272313000</v>
      </c>
      <c r="B2908" s="202" t="s">
        <v>1752</v>
      </c>
      <c r="C2908" s="203" t="s">
        <v>2143</v>
      </c>
      <c r="D2908" s="204">
        <v>1</v>
      </c>
      <c r="E2908" s="204" t="s">
        <v>2144</v>
      </c>
      <c r="F2908" s="205">
        <v>20.381516794515591</v>
      </c>
    </row>
    <row r="2909" spans="1:6">
      <c r="A2909" s="210">
        <v>272314000</v>
      </c>
      <c r="B2909" s="202" t="s">
        <v>4932</v>
      </c>
      <c r="C2909" s="203" t="s">
        <v>2143</v>
      </c>
      <c r="D2909" s="204">
        <v>1</v>
      </c>
      <c r="E2909" s="204" t="s">
        <v>2144</v>
      </c>
      <c r="F2909" s="205">
        <v>49.240158843618786</v>
      </c>
    </row>
    <row r="2910" spans="1:6">
      <c r="A2910" s="210">
        <v>272319000</v>
      </c>
      <c r="B2910" s="202" t="s">
        <v>1753</v>
      </c>
      <c r="C2910" s="203" t="s">
        <v>2143</v>
      </c>
      <c r="D2910" s="204">
        <v>1</v>
      </c>
      <c r="E2910" s="204" t="s">
        <v>2013</v>
      </c>
      <c r="F2910" s="205">
        <v>1.4424581371386049E-3</v>
      </c>
    </row>
    <row r="2911" spans="1:6">
      <c r="A2911" s="210">
        <v>272900000</v>
      </c>
      <c r="B2911" s="202" t="s">
        <v>4935</v>
      </c>
      <c r="C2911" s="203" t="s">
        <v>2143</v>
      </c>
      <c r="D2911" s="204">
        <v>1</v>
      </c>
      <c r="E2911" s="204" t="s">
        <v>2013</v>
      </c>
      <c r="F2911" s="205">
        <v>1.4683843387659924E-3</v>
      </c>
    </row>
    <row r="2912" spans="1:6">
      <c r="A2912" s="210">
        <v>272911000</v>
      </c>
      <c r="B2912" s="202" t="s">
        <v>1754</v>
      </c>
      <c r="C2912" s="203" t="s">
        <v>2143</v>
      </c>
      <c r="D2912" s="204">
        <v>1</v>
      </c>
      <c r="E2912" s="204" t="s">
        <v>2013</v>
      </c>
      <c r="F2912" s="205">
        <v>1.4587927376918733E-3</v>
      </c>
    </row>
    <row r="2913" spans="1:6">
      <c r="A2913" s="210">
        <v>272912000</v>
      </c>
      <c r="B2913" s="202" t="s">
        <v>1755</v>
      </c>
      <c r="C2913" s="203" t="s">
        <v>2143</v>
      </c>
      <c r="D2913" s="204">
        <v>1</v>
      </c>
      <c r="E2913" s="204" t="s">
        <v>2013</v>
      </c>
      <c r="F2913" s="205">
        <v>1.4647689846818248E-3</v>
      </c>
    </row>
    <row r="2914" spans="1:6">
      <c r="A2914" s="210">
        <v>272919000</v>
      </c>
      <c r="B2914" s="202" t="s">
        <v>1756</v>
      </c>
      <c r="C2914" s="203" t="s">
        <v>2143</v>
      </c>
      <c r="D2914" s="204">
        <v>1</v>
      </c>
      <c r="E2914" s="204" t="s">
        <v>2013</v>
      </c>
      <c r="F2914" s="205">
        <v>1.4714817372614743E-3</v>
      </c>
    </row>
    <row r="2915" spans="1:6">
      <c r="A2915" s="210">
        <v>273100000</v>
      </c>
      <c r="B2915" s="202" t="s">
        <v>4940</v>
      </c>
      <c r="C2915" s="203" t="s">
        <v>2143</v>
      </c>
      <c r="D2915" s="204">
        <v>1</v>
      </c>
      <c r="E2915" s="204" t="s">
        <v>2013</v>
      </c>
      <c r="F2915" s="205">
        <v>3.3856411212764559E-3</v>
      </c>
    </row>
    <row r="2916" spans="1:6">
      <c r="A2916" s="210">
        <v>273111000</v>
      </c>
      <c r="B2916" s="202" t="s">
        <v>1757</v>
      </c>
      <c r="C2916" s="203" t="s">
        <v>2143</v>
      </c>
      <c r="D2916" s="204">
        <v>1</v>
      </c>
      <c r="E2916" s="204" t="s">
        <v>2144</v>
      </c>
      <c r="F2916" s="205">
        <v>0.29437638175242653</v>
      </c>
    </row>
    <row r="2917" spans="1:6">
      <c r="A2917" s="210">
        <v>273112000</v>
      </c>
      <c r="B2917" s="202" t="s">
        <v>1758</v>
      </c>
      <c r="C2917" s="203" t="s">
        <v>2143</v>
      </c>
      <c r="D2917" s="204">
        <v>1</v>
      </c>
      <c r="E2917" s="204" t="s">
        <v>2144</v>
      </c>
      <c r="F2917" s="205">
        <v>4.3368475321970246E-2</v>
      </c>
    </row>
    <row r="2918" spans="1:6">
      <c r="A2918" s="210">
        <v>273113000</v>
      </c>
      <c r="B2918" s="202" t="s">
        <v>1759</v>
      </c>
      <c r="C2918" s="203" t="s">
        <v>2143</v>
      </c>
      <c r="D2918" s="204">
        <v>1</v>
      </c>
      <c r="E2918" s="204" t="s">
        <v>2144</v>
      </c>
      <c r="F2918" s="205">
        <v>5.6916539095263563E-2</v>
      </c>
    </row>
    <row r="2919" spans="1:6">
      <c r="A2919" s="210">
        <v>273119000</v>
      </c>
      <c r="B2919" s="202" t="s">
        <v>1760</v>
      </c>
      <c r="C2919" s="203" t="s">
        <v>2143</v>
      </c>
      <c r="D2919" s="204">
        <v>1</v>
      </c>
      <c r="E2919" s="204" t="s">
        <v>2013</v>
      </c>
      <c r="F2919" s="205">
        <v>2.4781714711003457E-3</v>
      </c>
    </row>
    <row r="2920" spans="1:6">
      <c r="A2920" s="210">
        <v>273121000</v>
      </c>
      <c r="B2920" s="202" t="s">
        <v>1761</v>
      </c>
      <c r="C2920" s="203" t="s">
        <v>2143</v>
      </c>
      <c r="D2920" s="204">
        <v>1</v>
      </c>
      <c r="E2920" s="204" t="s">
        <v>2144</v>
      </c>
      <c r="F2920" s="205">
        <v>1.1616732623835473</v>
      </c>
    </row>
    <row r="2921" spans="1:6">
      <c r="A2921" s="210">
        <v>273129000</v>
      </c>
      <c r="B2921" s="202" t="s">
        <v>1762</v>
      </c>
      <c r="C2921" s="203" t="s">
        <v>2143</v>
      </c>
      <c r="D2921" s="204">
        <v>1</v>
      </c>
      <c r="E2921" s="204" t="s">
        <v>2013</v>
      </c>
      <c r="F2921" s="205">
        <v>2.5456278673733467E-3</v>
      </c>
    </row>
    <row r="2922" spans="1:6">
      <c r="A2922" s="210">
        <v>273200000</v>
      </c>
      <c r="B2922" s="202" t="s">
        <v>4948</v>
      </c>
      <c r="C2922" s="203" t="s">
        <v>2143</v>
      </c>
      <c r="D2922" s="204">
        <v>1</v>
      </c>
      <c r="E2922" s="204" t="s">
        <v>2013</v>
      </c>
      <c r="F2922" s="205">
        <v>1.9031410643875341E-3</v>
      </c>
    </row>
    <row r="2923" spans="1:6">
      <c r="A2923" s="210">
        <v>273211000</v>
      </c>
      <c r="B2923" s="202" t="s">
        <v>1763</v>
      </c>
      <c r="C2923" s="203" t="s">
        <v>2143</v>
      </c>
      <c r="D2923" s="204">
        <v>1</v>
      </c>
      <c r="E2923" s="204" t="s">
        <v>2144</v>
      </c>
      <c r="F2923" s="205">
        <v>8.1486050460543105</v>
      </c>
    </row>
    <row r="2924" spans="1:6">
      <c r="A2924" s="210">
        <v>273212000</v>
      </c>
      <c r="B2924" s="202" t="s">
        <v>1764</v>
      </c>
      <c r="C2924" s="203" t="s">
        <v>2143</v>
      </c>
      <c r="D2924" s="204">
        <v>1</v>
      </c>
      <c r="E2924" s="204" t="s">
        <v>2144</v>
      </c>
      <c r="F2924" s="205">
        <v>17.614194503422333</v>
      </c>
    </row>
    <row r="2925" spans="1:6">
      <c r="A2925" s="210">
        <v>273213000</v>
      </c>
      <c r="B2925" s="202" t="s">
        <v>1765</v>
      </c>
      <c r="C2925" s="203" t="s">
        <v>2143</v>
      </c>
      <c r="D2925" s="204">
        <v>1</v>
      </c>
      <c r="E2925" s="204" t="s">
        <v>2144</v>
      </c>
      <c r="F2925" s="205">
        <v>14.133604071903989</v>
      </c>
    </row>
    <row r="2926" spans="1:6">
      <c r="A2926" s="210">
        <v>273214000</v>
      </c>
      <c r="B2926" s="202" t="s">
        <v>4953</v>
      </c>
      <c r="C2926" s="203" t="s">
        <v>2143</v>
      </c>
      <c r="D2926" s="204">
        <v>1</v>
      </c>
      <c r="E2926" s="204" t="s">
        <v>2013</v>
      </c>
      <c r="F2926" s="205">
        <v>1.7705553765815585E-3</v>
      </c>
    </row>
    <row r="2927" spans="1:6">
      <c r="A2927" s="210">
        <v>273215000</v>
      </c>
      <c r="B2927" s="202" t="s">
        <v>1766</v>
      </c>
      <c r="C2927" s="203" t="s">
        <v>2143</v>
      </c>
      <c r="D2927" s="204">
        <v>1</v>
      </c>
      <c r="E2927" s="204" t="s">
        <v>2144</v>
      </c>
      <c r="F2927" s="205">
        <v>34.64271630817376</v>
      </c>
    </row>
    <row r="2928" spans="1:6">
      <c r="A2928" s="210">
        <v>273219000</v>
      </c>
      <c r="B2928" s="202" t="s">
        <v>1767</v>
      </c>
      <c r="C2928" s="203" t="s">
        <v>2143</v>
      </c>
      <c r="D2928" s="204">
        <v>1</v>
      </c>
      <c r="E2928" s="204" t="s">
        <v>2013</v>
      </c>
      <c r="F2928" s="205">
        <v>1.7948967264562465E-3</v>
      </c>
    </row>
    <row r="2929" spans="1:6">
      <c r="A2929" s="210">
        <v>273221000</v>
      </c>
      <c r="B2929" s="202" t="s">
        <v>1768</v>
      </c>
      <c r="C2929" s="203" t="s">
        <v>2143</v>
      </c>
      <c r="D2929" s="204">
        <v>1</v>
      </c>
      <c r="E2929" s="204" t="s">
        <v>2013</v>
      </c>
      <c r="F2929" s="205">
        <v>3.5406138337319704E-3</v>
      </c>
    </row>
    <row r="2930" spans="1:6">
      <c r="A2930" s="210">
        <v>274100000</v>
      </c>
      <c r="B2930" s="202" t="s">
        <v>4956</v>
      </c>
      <c r="C2930" s="203" t="s">
        <v>2143</v>
      </c>
      <c r="D2930" s="204">
        <v>1</v>
      </c>
      <c r="E2930" s="204" t="s">
        <v>2013</v>
      </c>
      <c r="F2930" s="205">
        <v>3.6545980175797712E-4</v>
      </c>
    </row>
    <row r="2931" spans="1:6">
      <c r="A2931" s="210">
        <v>274111000</v>
      </c>
      <c r="B2931" s="202" t="s">
        <v>1769</v>
      </c>
      <c r="C2931" s="203" t="s">
        <v>2143</v>
      </c>
      <c r="D2931" s="204">
        <v>1</v>
      </c>
      <c r="E2931" s="204" t="s">
        <v>2144</v>
      </c>
      <c r="F2931" s="205">
        <v>2813.0237373768059</v>
      </c>
    </row>
    <row r="2932" spans="1:6">
      <c r="A2932" s="210">
        <v>274112000</v>
      </c>
      <c r="B2932" s="202" t="s">
        <v>1770</v>
      </c>
      <c r="C2932" s="203" t="s">
        <v>2143</v>
      </c>
      <c r="D2932" s="204">
        <v>1</v>
      </c>
      <c r="E2932" s="204" t="s">
        <v>2013</v>
      </c>
      <c r="F2932" s="205">
        <v>3.8605933569022704E-4</v>
      </c>
    </row>
    <row r="2933" spans="1:6">
      <c r="A2933" s="210">
        <v>274200000</v>
      </c>
      <c r="B2933" s="202" t="s">
        <v>4960</v>
      </c>
      <c r="C2933" s="203" t="s">
        <v>2143</v>
      </c>
      <c r="D2933" s="204">
        <v>1</v>
      </c>
      <c r="E2933" s="204" t="s">
        <v>2144</v>
      </c>
      <c r="F2933" s="205">
        <v>18.963760324926099</v>
      </c>
    </row>
    <row r="2934" spans="1:6">
      <c r="A2934" s="210">
        <v>274211000</v>
      </c>
      <c r="B2934" s="202" t="s">
        <v>4962</v>
      </c>
      <c r="C2934" s="203" t="s">
        <v>2143</v>
      </c>
      <c r="D2934" s="204">
        <v>1</v>
      </c>
      <c r="E2934" s="204" t="s">
        <v>2144</v>
      </c>
      <c r="F2934" s="205">
        <v>16.214463854040233</v>
      </c>
    </row>
    <row r="2935" spans="1:6">
      <c r="A2935" s="210">
        <v>274212000</v>
      </c>
      <c r="B2935" s="202" t="s">
        <v>4964</v>
      </c>
      <c r="C2935" s="203" t="s">
        <v>2143</v>
      </c>
      <c r="D2935" s="204">
        <v>1</v>
      </c>
      <c r="E2935" s="204" t="s">
        <v>2144</v>
      </c>
      <c r="F2935" s="205">
        <v>17.919371316788954</v>
      </c>
    </row>
    <row r="2936" spans="1:6">
      <c r="A2936" s="210">
        <v>274213000</v>
      </c>
      <c r="B2936" s="202" t="s">
        <v>1771</v>
      </c>
      <c r="C2936" s="203" t="s">
        <v>2143</v>
      </c>
      <c r="D2936" s="204">
        <v>1</v>
      </c>
      <c r="E2936" s="204" t="s">
        <v>2144</v>
      </c>
      <c r="F2936" s="205">
        <v>19.739504293447624</v>
      </c>
    </row>
    <row r="2937" spans="1:6">
      <c r="A2937" s="210">
        <v>274300000</v>
      </c>
      <c r="B2937" s="202" t="s">
        <v>4967</v>
      </c>
      <c r="C2937" s="203" t="s">
        <v>2143</v>
      </c>
      <c r="D2937" s="204">
        <v>1</v>
      </c>
      <c r="E2937" s="204" t="s">
        <v>2144</v>
      </c>
      <c r="F2937" s="205">
        <v>13469.301490704442</v>
      </c>
    </row>
    <row r="2938" spans="1:6">
      <c r="A2938" s="210">
        <v>274311000</v>
      </c>
      <c r="B2938" s="202" t="s">
        <v>1772</v>
      </c>
      <c r="C2938" s="203" t="s">
        <v>2143</v>
      </c>
      <c r="D2938" s="204">
        <v>1</v>
      </c>
      <c r="E2938" s="204" t="s">
        <v>2144</v>
      </c>
      <c r="F2938" s="205">
        <v>13469.301490704442</v>
      </c>
    </row>
    <row r="2939" spans="1:6">
      <c r="A2939" s="210">
        <v>274900000</v>
      </c>
      <c r="B2939" s="202" t="s">
        <v>6205</v>
      </c>
      <c r="C2939" s="203" t="s">
        <v>2143</v>
      </c>
      <c r="D2939" s="204">
        <v>1</v>
      </c>
      <c r="E2939" s="204" t="s">
        <v>2013</v>
      </c>
      <c r="F2939" s="205">
        <v>4.0679698287956762E-4</v>
      </c>
    </row>
    <row r="2940" spans="1:6">
      <c r="A2940" s="210">
        <v>274911000</v>
      </c>
      <c r="B2940" s="202" t="s">
        <v>1773</v>
      </c>
      <c r="C2940" s="203" t="s">
        <v>2143</v>
      </c>
      <c r="D2940" s="204">
        <v>1</v>
      </c>
      <c r="E2940" s="204" t="s">
        <v>2144</v>
      </c>
      <c r="F2940" s="205">
        <v>274.14081853335028</v>
      </c>
    </row>
    <row r="2941" spans="1:6">
      <c r="A2941" s="210">
        <v>274912000</v>
      </c>
      <c r="B2941" s="202" t="s">
        <v>1774</v>
      </c>
      <c r="C2941" s="203" t="s">
        <v>2143</v>
      </c>
      <c r="D2941" s="204">
        <v>1</v>
      </c>
      <c r="E2941" s="204" t="s">
        <v>2144</v>
      </c>
      <c r="F2941" s="205">
        <v>901.31062039591006</v>
      </c>
    </row>
    <row r="2942" spans="1:6">
      <c r="A2942" s="210">
        <v>274913000</v>
      </c>
      <c r="B2942" s="202" t="s">
        <v>1775</v>
      </c>
      <c r="C2942" s="203" t="s">
        <v>2143</v>
      </c>
      <c r="D2942" s="204">
        <v>1</v>
      </c>
      <c r="E2942" s="204" t="s">
        <v>2144</v>
      </c>
      <c r="F2942" s="205">
        <v>8539.8734224760865</v>
      </c>
    </row>
    <row r="2943" spans="1:6">
      <c r="A2943" s="210">
        <v>274914000</v>
      </c>
      <c r="B2943" s="202" t="s">
        <v>2003</v>
      </c>
      <c r="C2943" s="203" t="s">
        <v>2143</v>
      </c>
      <c r="D2943" s="204">
        <v>1</v>
      </c>
      <c r="E2943" s="204" t="s">
        <v>2013</v>
      </c>
      <c r="F2943" s="205">
        <v>4.0080320268545558E-4</v>
      </c>
    </row>
    <row r="2944" spans="1:6">
      <c r="A2944" s="210">
        <v>274919000</v>
      </c>
      <c r="B2944" s="202" t="s">
        <v>1776</v>
      </c>
      <c r="C2944" s="203" t="s">
        <v>2143</v>
      </c>
      <c r="D2944" s="204">
        <v>1</v>
      </c>
      <c r="E2944" s="204" t="s">
        <v>2013</v>
      </c>
      <c r="F2944" s="205">
        <v>4.1178883798656388E-4</v>
      </c>
    </row>
    <row r="2945" spans="1:6">
      <c r="A2945" s="210">
        <v>275100000</v>
      </c>
      <c r="B2945" s="202" t="s">
        <v>6206</v>
      </c>
      <c r="C2945" s="203" t="s">
        <v>2143</v>
      </c>
      <c r="D2945" s="204">
        <v>1</v>
      </c>
      <c r="E2945" s="204" t="s">
        <v>2013</v>
      </c>
      <c r="F2945" s="205">
        <v>1.0657826312949585E-3</v>
      </c>
    </row>
    <row r="2946" spans="1:6">
      <c r="A2946" s="210">
        <v>275111000</v>
      </c>
      <c r="B2946" s="202" t="s">
        <v>1777</v>
      </c>
      <c r="C2946" s="203" t="s">
        <v>2143</v>
      </c>
      <c r="D2946" s="204">
        <v>1</v>
      </c>
      <c r="E2946" s="204" t="s">
        <v>2144</v>
      </c>
      <c r="F2946" s="205">
        <v>4.6325351018816789</v>
      </c>
    </row>
    <row r="2947" spans="1:6">
      <c r="A2947" s="210">
        <v>275112000</v>
      </c>
      <c r="B2947" s="202" t="s">
        <v>1778</v>
      </c>
      <c r="C2947" s="203" t="s">
        <v>2143</v>
      </c>
      <c r="D2947" s="204">
        <v>1</v>
      </c>
      <c r="E2947" s="204" t="s">
        <v>2013</v>
      </c>
      <c r="F2947" s="205">
        <v>3.892033549261608E-4</v>
      </c>
    </row>
    <row r="2948" spans="1:6">
      <c r="A2948" s="210">
        <v>275113000</v>
      </c>
      <c r="B2948" s="202" t="s">
        <v>1779</v>
      </c>
      <c r="C2948" s="203" t="s">
        <v>2143</v>
      </c>
      <c r="D2948" s="204">
        <v>1</v>
      </c>
      <c r="E2948" s="204" t="s">
        <v>2144</v>
      </c>
      <c r="F2948" s="205">
        <v>9277.0425484434709</v>
      </c>
    </row>
    <row r="2949" spans="1:6">
      <c r="A2949" s="210">
        <v>275119000</v>
      </c>
      <c r="B2949" s="202" t="s">
        <v>1780</v>
      </c>
      <c r="C2949" s="203" t="s">
        <v>2143</v>
      </c>
      <c r="D2949" s="204">
        <v>1</v>
      </c>
      <c r="E2949" s="204" t="s">
        <v>2013</v>
      </c>
      <c r="F2949" s="205">
        <v>1.7748434844552033E-3</v>
      </c>
    </row>
    <row r="2950" spans="1:6">
      <c r="A2950" s="210">
        <v>275200000</v>
      </c>
      <c r="B2950" s="202" t="s">
        <v>4976</v>
      </c>
      <c r="C2950" s="203" t="s">
        <v>2143</v>
      </c>
      <c r="D2950" s="204">
        <v>1</v>
      </c>
      <c r="E2950" s="204" t="s">
        <v>2013</v>
      </c>
      <c r="F2950" s="205">
        <v>4.1466325302342427E-4</v>
      </c>
    </row>
    <row r="2951" spans="1:6">
      <c r="A2951" s="210">
        <v>275211000</v>
      </c>
      <c r="B2951" s="202" t="s">
        <v>1781</v>
      </c>
      <c r="C2951" s="203" t="s">
        <v>2143</v>
      </c>
      <c r="D2951" s="204">
        <v>1</v>
      </c>
      <c r="E2951" s="204" t="s">
        <v>2013</v>
      </c>
      <c r="F2951" s="205">
        <v>4.1466325302342427E-4</v>
      </c>
    </row>
    <row r="2952" spans="1:6">
      <c r="A2952" s="210">
        <v>275300000</v>
      </c>
      <c r="B2952" s="202" t="s">
        <v>4979</v>
      </c>
      <c r="C2952" s="203" t="s">
        <v>2143</v>
      </c>
      <c r="D2952" s="204">
        <v>1</v>
      </c>
      <c r="E2952" s="204" t="s">
        <v>2013</v>
      </c>
      <c r="F2952" s="205">
        <v>3.3504942395072134E-4</v>
      </c>
    </row>
    <row r="2953" spans="1:6">
      <c r="A2953" s="210">
        <v>275311000</v>
      </c>
      <c r="B2953" s="202" t="s">
        <v>1782</v>
      </c>
      <c r="C2953" s="203" t="s">
        <v>2143</v>
      </c>
      <c r="D2953" s="204">
        <v>1</v>
      </c>
      <c r="E2953" s="204" t="s">
        <v>2013</v>
      </c>
      <c r="F2953" s="205">
        <v>3.3504942395072134E-4</v>
      </c>
    </row>
    <row r="2954" spans="1:6">
      <c r="A2954" s="210">
        <v>279100000</v>
      </c>
      <c r="B2954" s="202" t="s">
        <v>4982</v>
      </c>
      <c r="C2954" s="203" t="s">
        <v>2143</v>
      </c>
      <c r="D2954" s="204">
        <v>1</v>
      </c>
      <c r="E2954" s="204" t="s">
        <v>2013</v>
      </c>
      <c r="F2954" s="205">
        <v>2.4322919961175596E-3</v>
      </c>
    </row>
    <row r="2955" spans="1:6">
      <c r="A2955" s="210">
        <v>279111000</v>
      </c>
      <c r="B2955" s="202" t="s">
        <v>1783</v>
      </c>
      <c r="C2955" s="203" t="s">
        <v>2143</v>
      </c>
      <c r="D2955" s="204">
        <v>1</v>
      </c>
      <c r="E2955" s="204" t="s">
        <v>2144</v>
      </c>
      <c r="F2955" s="205">
        <v>5.3548276872905811</v>
      </c>
    </row>
    <row r="2956" spans="1:6">
      <c r="A2956" s="210">
        <v>279112000</v>
      </c>
      <c r="B2956" s="202" t="s">
        <v>1784</v>
      </c>
      <c r="C2956" s="203" t="s">
        <v>2143</v>
      </c>
      <c r="D2956" s="204">
        <v>1</v>
      </c>
      <c r="E2956" s="204" t="s">
        <v>2144</v>
      </c>
      <c r="F2956" s="205">
        <v>0.28221657199792627</v>
      </c>
    </row>
    <row r="2957" spans="1:6">
      <c r="A2957" s="210">
        <v>279113000</v>
      </c>
      <c r="B2957" s="202" t="s">
        <v>1785</v>
      </c>
      <c r="C2957" s="203" t="s">
        <v>2143</v>
      </c>
      <c r="D2957" s="204">
        <v>1</v>
      </c>
      <c r="E2957" s="204" t="s">
        <v>2144</v>
      </c>
      <c r="F2957" s="205">
        <v>0.65986833504809905</v>
      </c>
    </row>
    <row r="2958" spans="1:6">
      <c r="A2958" s="210">
        <v>279114000</v>
      </c>
      <c r="B2958" s="202" t="s">
        <v>1786</v>
      </c>
      <c r="C2958" s="203" t="s">
        <v>2143</v>
      </c>
      <c r="D2958" s="204">
        <v>1</v>
      </c>
      <c r="E2958" s="204" t="s">
        <v>2013</v>
      </c>
      <c r="F2958" s="205">
        <v>5.5600400114354399E-3</v>
      </c>
    </row>
    <row r="2959" spans="1:6">
      <c r="A2959" s="210">
        <v>279200000</v>
      </c>
      <c r="B2959" s="202" t="s">
        <v>4987</v>
      </c>
      <c r="C2959" s="203" t="s">
        <v>2143</v>
      </c>
      <c r="D2959" s="204">
        <v>1</v>
      </c>
      <c r="E2959" s="204" t="s">
        <v>2144</v>
      </c>
      <c r="F2959" s="205">
        <v>4.6537997101144465E-2</v>
      </c>
    </row>
    <row r="2960" spans="1:6">
      <c r="A2960" s="210">
        <v>279219000</v>
      </c>
      <c r="B2960" s="202" t="s">
        <v>1787</v>
      </c>
      <c r="C2960" s="203" t="s">
        <v>2143</v>
      </c>
      <c r="D2960" s="204">
        <v>1</v>
      </c>
      <c r="E2960" s="204" t="s">
        <v>2144</v>
      </c>
      <c r="F2960" s="205">
        <v>4.6537997101144465E-2</v>
      </c>
    </row>
    <row r="2961" spans="1:6">
      <c r="A2961" s="210">
        <v>279300000</v>
      </c>
      <c r="B2961" s="202" t="s">
        <v>6207</v>
      </c>
      <c r="C2961" s="203" t="s">
        <v>2143</v>
      </c>
      <c r="D2961" s="204">
        <v>1</v>
      </c>
      <c r="E2961" s="204" t="s">
        <v>2013</v>
      </c>
      <c r="F2961" s="205">
        <v>1.8022516130639472E-3</v>
      </c>
    </row>
    <row r="2962" spans="1:6">
      <c r="A2962" s="210">
        <v>279311000</v>
      </c>
      <c r="B2962" s="202" t="s">
        <v>4990</v>
      </c>
      <c r="C2962" s="203" t="s">
        <v>2143</v>
      </c>
      <c r="D2962" s="204">
        <v>1</v>
      </c>
      <c r="E2962" s="204" t="s">
        <v>2013</v>
      </c>
      <c r="F2962" s="205">
        <v>1.8073035483513699E-3</v>
      </c>
    </row>
    <row r="2963" spans="1:6">
      <c r="A2963" s="210">
        <v>279311200</v>
      </c>
      <c r="B2963" s="202" t="s">
        <v>6208</v>
      </c>
      <c r="C2963" s="203" t="s">
        <v>2143</v>
      </c>
      <c r="D2963" s="204">
        <v>1</v>
      </c>
      <c r="E2963" s="204" t="s">
        <v>2144</v>
      </c>
      <c r="F2963" s="205">
        <v>2.1363291248161254</v>
      </c>
    </row>
    <row r="2964" spans="1:6">
      <c r="A2964" s="210">
        <v>279312000</v>
      </c>
      <c r="B2964" s="202" t="s">
        <v>4992</v>
      </c>
      <c r="C2964" s="203" t="s">
        <v>2143</v>
      </c>
      <c r="D2964" s="204">
        <v>1</v>
      </c>
      <c r="E2964" s="204" t="s">
        <v>2013</v>
      </c>
      <c r="F2964" s="205">
        <v>1.7937123514740153E-3</v>
      </c>
    </row>
    <row r="2965" spans="1:6">
      <c r="A2965" s="210">
        <v>279312200</v>
      </c>
      <c r="B2965" s="202" t="s">
        <v>1680</v>
      </c>
      <c r="C2965" s="203" t="s">
        <v>2143</v>
      </c>
      <c r="D2965" s="204">
        <v>1</v>
      </c>
      <c r="E2965" s="204" t="s">
        <v>2144</v>
      </c>
      <c r="F2965" s="205">
        <v>0.48346910995360914</v>
      </c>
    </row>
    <row r="2966" spans="1:6">
      <c r="A2966" s="210">
        <v>279312201</v>
      </c>
      <c r="B2966" s="202" t="s">
        <v>1681</v>
      </c>
      <c r="C2966" s="203" t="s">
        <v>2143</v>
      </c>
      <c r="D2966" s="204">
        <v>1</v>
      </c>
      <c r="E2966" s="204" t="s">
        <v>2144</v>
      </c>
      <c r="F2966" s="205">
        <v>0.50945931499895547</v>
      </c>
    </row>
    <row r="2967" spans="1:6">
      <c r="A2967" s="210">
        <v>279900000</v>
      </c>
      <c r="B2967" s="202" t="s">
        <v>6209</v>
      </c>
      <c r="C2967" s="203" t="s">
        <v>2143</v>
      </c>
      <c r="D2967" s="204">
        <v>1</v>
      </c>
      <c r="E2967" s="204" t="s">
        <v>2013</v>
      </c>
      <c r="F2967" s="205">
        <v>4.4155668659903863E-3</v>
      </c>
    </row>
    <row r="2968" spans="1:6">
      <c r="A2968" s="210">
        <v>279911000</v>
      </c>
      <c r="B2968" s="202" t="s">
        <v>1682</v>
      </c>
      <c r="C2968" s="203" t="s">
        <v>2143</v>
      </c>
      <c r="D2968" s="204">
        <v>1</v>
      </c>
      <c r="E2968" s="204" t="s">
        <v>2013</v>
      </c>
      <c r="F2968" s="205">
        <v>3.1135755409976884E-3</v>
      </c>
    </row>
    <row r="2969" spans="1:6">
      <c r="A2969" s="210">
        <v>279912000</v>
      </c>
      <c r="B2969" s="202" t="s">
        <v>4994</v>
      </c>
      <c r="C2969" s="203" t="s">
        <v>2143</v>
      </c>
      <c r="D2969" s="204">
        <v>1</v>
      </c>
      <c r="E2969" s="204" t="s">
        <v>2013</v>
      </c>
      <c r="F2969" s="205">
        <v>4.6835189592366487E-3</v>
      </c>
    </row>
    <row r="2970" spans="1:6">
      <c r="A2970" s="210">
        <v>279912201</v>
      </c>
      <c r="B2970" s="202" t="s">
        <v>4996</v>
      </c>
      <c r="C2970" s="203" t="s">
        <v>2143</v>
      </c>
      <c r="D2970" s="204">
        <v>1</v>
      </c>
      <c r="E2970" s="204" t="s">
        <v>425</v>
      </c>
      <c r="F2970" s="205">
        <v>799.96209358906424</v>
      </c>
    </row>
    <row r="2971" spans="1:6">
      <c r="A2971" s="210">
        <v>279919000</v>
      </c>
      <c r="B2971" s="202" t="s">
        <v>6210</v>
      </c>
      <c r="C2971" s="203" t="s">
        <v>2143</v>
      </c>
      <c r="D2971" s="204">
        <v>1</v>
      </c>
      <c r="E2971" s="204" t="s">
        <v>2013</v>
      </c>
      <c r="F2971" s="205">
        <v>4.2048261942040192E-3</v>
      </c>
    </row>
    <row r="2972" spans="1:6">
      <c r="A2972" s="210">
        <v>281100000</v>
      </c>
      <c r="B2972" s="202" t="s">
        <v>6211</v>
      </c>
      <c r="C2972" s="203" t="s">
        <v>2143</v>
      </c>
      <c r="D2972" s="204">
        <v>1</v>
      </c>
      <c r="E2972" s="204" t="s">
        <v>2013</v>
      </c>
      <c r="F2972" s="205">
        <v>2.7668516096288898E-3</v>
      </c>
    </row>
    <row r="2973" spans="1:6">
      <c r="A2973" s="210">
        <v>281111000</v>
      </c>
      <c r="B2973" s="202" t="s">
        <v>1788</v>
      </c>
      <c r="C2973" s="203" t="s">
        <v>2143</v>
      </c>
      <c r="D2973" s="204">
        <v>1</v>
      </c>
      <c r="E2973" s="204" t="s">
        <v>2144</v>
      </c>
      <c r="F2973" s="205">
        <v>12.893716473298014</v>
      </c>
    </row>
    <row r="2974" spans="1:6">
      <c r="A2974" s="210">
        <v>281112000</v>
      </c>
      <c r="B2974" s="202" t="s">
        <v>1789</v>
      </c>
      <c r="C2974" s="203" t="s">
        <v>2143</v>
      </c>
      <c r="D2974" s="204">
        <v>1</v>
      </c>
      <c r="E2974" s="204" t="s">
        <v>2013</v>
      </c>
      <c r="F2974" s="205">
        <v>2.3321039969703555E-3</v>
      </c>
    </row>
    <row r="2975" spans="1:6">
      <c r="A2975" s="210">
        <v>281113000</v>
      </c>
      <c r="B2975" s="202" t="s">
        <v>1790</v>
      </c>
      <c r="C2975" s="203" t="s">
        <v>2143</v>
      </c>
      <c r="D2975" s="204">
        <v>1</v>
      </c>
      <c r="E2975" s="204" t="s">
        <v>2013</v>
      </c>
      <c r="F2975" s="205">
        <v>9.0194014312451609E-4</v>
      </c>
    </row>
    <row r="2976" spans="1:6">
      <c r="A2976" s="210">
        <v>281119000</v>
      </c>
      <c r="B2976" s="202" t="s">
        <v>5000</v>
      </c>
      <c r="C2976" s="203" t="s">
        <v>2143</v>
      </c>
      <c r="D2976" s="204">
        <v>1</v>
      </c>
      <c r="E2976" s="204" t="s">
        <v>2013</v>
      </c>
      <c r="F2976" s="205">
        <v>9.8402408396273955E-4</v>
      </c>
    </row>
    <row r="2977" spans="1:6">
      <c r="A2977" s="210">
        <v>281121000</v>
      </c>
      <c r="B2977" s="202" t="s">
        <v>6212</v>
      </c>
      <c r="C2977" s="203" t="s">
        <v>2143</v>
      </c>
      <c r="D2977" s="204">
        <v>1</v>
      </c>
      <c r="E2977" s="204" t="s">
        <v>2013</v>
      </c>
      <c r="F2977" s="205">
        <v>9.6541154282047542E-4</v>
      </c>
    </row>
    <row r="2978" spans="1:6">
      <c r="A2978" s="210">
        <v>281122000</v>
      </c>
      <c r="B2978" s="202" t="s">
        <v>6213</v>
      </c>
      <c r="C2978" s="203" t="s">
        <v>2143</v>
      </c>
      <c r="D2978" s="204">
        <v>1</v>
      </c>
      <c r="E2978" s="204" t="s">
        <v>2013</v>
      </c>
      <c r="F2978" s="205">
        <v>2.6579572049655956E-3</v>
      </c>
    </row>
    <row r="2979" spans="1:6">
      <c r="A2979" s="210">
        <v>281129000</v>
      </c>
      <c r="B2979" s="202" t="s">
        <v>6214</v>
      </c>
      <c r="C2979" s="203" t="s">
        <v>2143</v>
      </c>
      <c r="D2979" s="204">
        <v>1</v>
      </c>
      <c r="E2979" s="204" t="s">
        <v>2013</v>
      </c>
      <c r="F2979" s="205">
        <v>2.8468983229050504E-3</v>
      </c>
    </row>
    <row r="2980" spans="1:6">
      <c r="A2980" s="210">
        <v>281131000</v>
      </c>
      <c r="B2980" s="202" t="s">
        <v>1791</v>
      </c>
      <c r="C2980" s="203" t="s">
        <v>2143</v>
      </c>
      <c r="D2980" s="204">
        <v>1</v>
      </c>
      <c r="E2980" s="204" t="s">
        <v>2144</v>
      </c>
      <c r="F2980" s="205">
        <v>8493.351472134178</v>
      </c>
    </row>
    <row r="2981" spans="1:6">
      <c r="A2981" s="210">
        <v>281132000</v>
      </c>
      <c r="B2981" s="202" t="s">
        <v>5003</v>
      </c>
      <c r="C2981" s="203" t="s">
        <v>2143</v>
      </c>
      <c r="D2981" s="204">
        <v>1</v>
      </c>
      <c r="E2981" s="204" t="s">
        <v>2144</v>
      </c>
      <c r="F2981" s="205">
        <v>200.4048074828853</v>
      </c>
    </row>
    <row r="2982" spans="1:6">
      <c r="A2982" s="210">
        <v>281200000</v>
      </c>
      <c r="B2982" s="202" t="s">
        <v>5005</v>
      </c>
      <c r="C2982" s="203" t="s">
        <v>2143</v>
      </c>
      <c r="D2982" s="204">
        <v>1</v>
      </c>
      <c r="E2982" s="204" t="s">
        <v>2013</v>
      </c>
      <c r="F2982" s="205">
        <v>7.688568116247102E-4</v>
      </c>
    </row>
    <row r="2983" spans="1:6">
      <c r="A2983" s="210">
        <v>281211000</v>
      </c>
      <c r="B2983" s="202" t="s">
        <v>5007</v>
      </c>
      <c r="C2983" s="203" t="s">
        <v>2143</v>
      </c>
      <c r="D2983" s="204">
        <v>1</v>
      </c>
      <c r="E2983" s="204" t="s">
        <v>2144</v>
      </c>
      <c r="F2983" s="205">
        <v>466.66862316114566</v>
      </c>
    </row>
    <row r="2984" spans="1:6">
      <c r="A2984" s="210">
        <v>281212000</v>
      </c>
      <c r="B2984" s="202" t="s">
        <v>1792</v>
      </c>
      <c r="C2984" s="203" t="s">
        <v>2143</v>
      </c>
      <c r="D2984" s="204">
        <v>1</v>
      </c>
      <c r="E2984" s="204" t="s">
        <v>2013</v>
      </c>
      <c r="F2984" s="205">
        <v>5.3716651269680032E-4</v>
      </c>
    </row>
    <row r="2985" spans="1:6">
      <c r="A2985" s="210">
        <v>281213000</v>
      </c>
      <c r="B2985" s="202" t="s">
        <v>5010</v>
      </c>
      <c r="C2985" s="203" t="s">
        <v>2143</v>
      </c>
      <c r="D2985" s="204">
        <v>1</v>
      </c>
      <c r="E2985" s="204" t="s">
        <v>2144</v>
      </c>
      <c r="F2985" s="205">
        <v>24.668349163402127</v>
      </c>
    </row>
    <row r="2986" spans="1:6">
      <c r="A2986" s="210">
        <v>281214000</v>
      </c>
      <c r="B2986" s="202" t="s">
        <v>1793</v>
      </c>
      <c r="C2986" s="203" t="s">
        <v>2143</v>
      </c>
      <c r="D2986" s="204">
        <v>1</v>
      </c>
      <c r="E2986" s="204" t="s">
        <v>2013</v>
      </c>
      <c r="F2986" s="205">
        <v>5.3205503830926898E-4</v>
      </c>
    </row>
    <row r="2987" spans="1:6">
      <c r="A2987" s="210">
        <v>281215000</v>
      </c>
      <c r="B2987" s="202" t="s">
        <v>6215</v>
      </c>
      <c r="C2987" s="203" t="s">
        <v>2143</v>
      </c>
      <c r="D2987" s="204">
        <v>1</v>
      </c>
      <c r="E2987" s="204" t="s">
        <v>2013</v>
      </c>
      <c r="F2987" s="205">
        <v>1.9811650428405575E-3</v>
      </c>
    </row>
    <row r="2988" spans="1:6">
      <c r="A2988" s="210">
        <v>281216000</v>
      </c>
      <c r="B2988" s="202" t="s">
        <v>1794</v>
      </c>
      <c r="C2988" s="203" t="s">
        <v>2143</v>
      </c>
      <c r="D2988" s="204">
        <v>1</v>
      </c>
      <c r="E2988" s="204" t="s">
        <v>2013</v>
      </c>
      <c r="F2988" s="205">
        <v>6.8669591317820078E-4</v>
      </c>
    </row>
    <row r="2989" spans="1:6">
      <c r="A2989" s="210">
        <v>281219000</v>
      </c>
      <c r="B2989" s="202" t="s">
        <v>1795</v>
      </c>
      <c r="C2989" s="203" t="s">
        <v>2143</v>
      </c>
      <c r="D2989" s="204">
        <v>1</v>
      </c>
      <c r="E2989" s="204" t="s">
        <v>2013</v>
      </c>
      <c r="F2989" s="205">
        <v>1.9528728369567899E-3</v>
      </c>
    </row>
    <row r="2990" spans="1:6">
      <c r="A2990" s="210">
        <v>281300000</v>
      </c>
      <c r="B2990" s="202" t="s">
        <v>5014</v>
      </c>
      <c r="C2990" s="203" t="s">
        <v>2143</v>
      </c>
      <c r="D2990" s="204">
        <v>1</v>
      </c>
      <c r="E2990" s="204" t="s">
        <v>2144</v>
      </c>
      <c r="F2990" s="205">
        <v>19.627255393428342</v>
      </c>
    </row>
    <row r="2991" spans="1:6">
      <c r="A2991" s="210">
        <v>281311000</v>
      </c>
      <c r="B2991" s="202" t="s">
        <v>1796</v>
      </c>
      <c r="C2991" s="203" t="s">
        <v>2143</v>
      </c>
      <c r="D2991" s="204">
        <v>1</v>
      </c>
      <c r="E2991" s="204" t="s">
        <v>2144</v>
      </c>
      <c r="F2991" s="205">
        <v>1.0827965034666001</v>
      </c>
    </row>
    <row r="2992" spans="1:6">
      <c r="A2992" s="210">
        <v>281312000</v>
      </c>
      <c r="B2992" s="202" t="s">
        <v>5017</v>
      </c>
      <c r="C2992" s="203" t="s">
        <v>2143</v>
      </c>
      <c r="D2992" s="204">
        <v>1</v>
      </c>
      <c r="E2992" s="204" t="s">
        <v>2144</v>
      </c>
      <c r="F2992" s="205">
        <v>53.172973120578575</v>
      </c>
    </row>
    <row r="2993" spans="1:6">
      <c r="A2993" s="210">
        <v>281313000</v>
      </c>
      <c r="B2993" s="202" t="s">
        <v>1797</v>
      </c>
      <c r="C2993" s="203" t="s">
        <v>2143</v>
      </c>
      <c r="D2993" s="204">
        <v>1</v>
      </c>
      <c r="E2993" s="204" t="s">
        <v>2144</v>
      </c>
      <c r="F2993" s="205">
        <v>16.456143696570209</v>
      </c>
    </row>
    <row r="2994" spans="1:6">
      <c r="A2994" s="210">
        <v>281400000</v>
      </c>
      <c r="B2994" s="202" t="s">
        <v>5020</v>
      </c>
      <c r="C2994" s="203" t="s">
        <v>2143</v>
      </c>
      <c r="D2994" s="204">
        <v>1</v>
      </c>
      <c r="E2994" s="204" t="s">
        <v>2013</v>
      </c>
      <c r="F2994" s="205">
        <v>1.1214043853135028E-3</v>
      </c>
    </row>
    <row r="2995" spans="1:6">
      <c r="A2995" s="210">
        <v>281411000</v>
      </c>
      <c r="B2995" s="202" t="s">
        <v>1798</v>
      </c>
      <c r="C2995" s="203" t="s">
        <v>2143</v>
      </c>
      <c r="D2995" s="204">
        <v>1</v>
      </c>
      <c r="E2995" s="204" t="s">
        <v>2144</v>
      </c>
      <c r="F2995" s="205">
        <v>23.293419964138081</v>
      </c>
    </row>
    <row r="2996" spans="1:6">
      <c r="A2996" s="210">
        <v>281412000</v>
      </c>
      <c r="B2996" s="202" t="s">
        <v>1799</v>
      </c>
      <c r="C2996" s="203" t="s">
        <v>2143</v>
      </c>
      <c r="D2996" s="204">
        <v>1</v>
      </c>
      <c r="E2996" s="204" t="s">
        <v>2144</v>
      </c>
      <c r="F2996" s="205">
        <v>12.795476739022831</v>
      </c>
    </row>
    <row r="2997" spans="1:6">
      <c r="A2997" s="210">
        <v>281413000</v>
      </c>
      <c r="B2997" s="202" t="s">
        <v>1800</v>
      </c>
      <c r="C2997" s="203" t="s">
        <v>2143</v>
      </c>
      <c r="D2997" s="204">
        <v>1</v>
      </c>
      <c r="E2997" s="204" t="s">
        <v>2144</v>
      </c>
      <c r="F2997" s="205">
        <v>10.117371152768982</v>
      </c>
    </row>
    <row r="2998" spans="1:6">
      <c r="A2998" s="210">
        <v>281414000</v>
      </c>
      <c r="B2998" s="202" t="s">
        <v>1801</v>
      </c>
      <c r="C2998" s="203" t="s">
        <v>2143</v>
      </c>
      <c r="D2998" s="204">
        <v>1</v>
      </c>
      <c r="E2998" s="204" t="s">
        <v>2013</v>
      </c>
      <c r="F2998" s="205">
        <v>1.0881815768550608E-3</v>
      </c>
    </row>
    <row r="2999" spans="1:6">
      <c r="A2999" s="210">
        <v>281415000</v>
      </c>
      <c r="B2999" s="202" t="s">
        <v>1802</v>
      </c>
      <c r="C2999" s="203" t="s">
        <v>2143</v>
      </c>
      <c r="D2999" s="204">
        <v>1</v>
      </c>
      <c r="E2999" s="204" t="s">
        <v>2144</v>
      </c>
      <c r="F2999" s="205">
        <v>32.823315325428723</v>
      </c>
    </row>
    <row r="3000" spans="1:6">
      <c r="A3000" s="210">
        <v>281416000</v>
      </c>
      <c r="B3000" s="202" t="s">
        <v>1803</v>
      </c>
      <c r="C3000" s="203" t="s">
        <v>2143</v>
      </c>
      <c r="D3000" s="204">
        <v>1</v>
      </c>
      <c r="E3000" s="204" t="s">
        <v>2013</v>
      </c>
      <c r="F3000" s="205">
        <v>1.2682965241626633E-3</v>
      </c>
    </row>
    <row r="3001" spans="1:6">
      <c r="A3001" s="210">
        <v>281417000</v>
      </c>
      <c r="B3001" s="202" t="s">
        <v>1804</v>
      </c>
      <c r="C3001" s="203" t="s">
        <v>2143</v>
      </c>
      <c r="D3001" s="204">
        <v>1</v>
      </c>
      <c r="E3001" s="204" t="s">
        <v>2144</v>
      </c>
      <c r="F3001" s="205">
        <v>43.157450636691351</v>
      </c>
    </row>
    <row r="3002" spans="1:6">
      <c r="A3002" s="210">
        <v>281419000</v>
      </c>
      <c r="B3002" s="202" t="s">
        <v>1805</v>
      </c>
      <c r="C3002" s="203" t="s">
        <v>2143</v>
      </c>
      <c r="D3002" s="204">
        <v>1</v>
      </c>
      <c r="E3002" s="204" t="s">
        <v>2013</v>
      </c>
      <c r="F3002" s="205">
        <v>1.0838735573635364E-3</v>
      </c>
    </row>
    <row r="3003" spans="1:6">
      <c r="A3003" s="210">
        <v>281421000</v>
      </c>
      <c r="B3003" s="202" t="s">
        <v>5030</v>
      </c>
      <c r="C3003" s="203" t="s">
        <v>2143</v>
      </c>
      <c r="D3003" s="204">
        <v>1</v>
      </c>
      <c r="E3003" s="204" t="s">
        <v>2013</v>
      </c>
      <c r="F3003" s="205">
        <v>1.2337031627803266E-3</v>
      </c>
    </row>
    <row r="3004" spans="1:6">
      <c r="A3004" s="210">
        <v>281500000</v>
      </c>
      <c r="B3004" s="202" t="s">
        <v>6216</v>
      </c>
      <c r="C3004" s="203" t="s">
        <v>2143</v>
      </c>
      <c r="D3004" s="204">
        <v>1</v>
      </c>
      <c r="E3004" s="204" t="s">
        <v>2013</v>
      </c>
      <c r="F3004" s="205">
        <v>1.7745176319814288E-3</v>
      </c>
    </row>
    <row r="3005" spans="1:6">
      <c r="A3005" s="210">
        <v>281511000</v>
      </c>
      <c r="B3005" s="202" t="s">
        <v>1806</v>
      </c>
      <c r="C3005" s="203" t="s">
        <v>2143</v>
      </c>
      <c r="D3005" s="204">
        <v>1</v>
      </c>
      <c r="E3005" s="204" t="s">
        <v>2013</v>
      </c>
      <c r="F3005" s="205">
        <v>1.7745176319814288E-3</v>
      </c>
    </row>
    <row r="3006" spans="1:6">
      <c r="A3006" s="210">
        <v>281900000</v>
      </c>
      <c r="B3006" s="202" t="s">
        <v>6217</v>
      </c>
      <c r="C3006" s="203" t="s">
        <v>2143</v>
      </c>
      <c r="D3006" s="204">
        <v>1</v>
      </c>
      <c r="E3006" s="204" t="s">
        <v>2013</v>
      </c>
      <c r="F3006" s="205">
        <v>1.734208460327305E-3</v>
      </c>
    </row>
    <row r="3007" spans="1:6">
      <c r="A3007" s="210">
        <v>281911000</v>
      </c>
      <c r="B3007" s="202" t="s">
        <v>1807</v>
      </c>
      <c r="C3007" s="203" t="s">
        <v>2143</v>
      </c>
      <c r="D3007" s="204">
        <v>1</v>
      </c>
      <c r="E3007" s="204" t="s">
        <v>2013</v>
      </c>
      <c r="F3007" s="205">
        <v>1.8431864872087214E-3</v>
      </c>
    </row>
    <row r="3008" spans="1:6">
      <c r="A3008" s="210">
        <v>281919000</v>
      </c>
      <c r="B3008" s="202" t="s">
        <v>1808</v>
      </c>
      <c r="C3008" s="203" t="s">
        <v>2143</v>
      </c>
      <c r="D3008" s="204">
        <v>1</v>
      </c>
      <c r="E3008" s="204" t="s">
        <v>2013</v>
      </c>
      <c r="F3008" s="205">
        <v>1.7054144965862536E-3</v>
      </c>
    </row>
    <row r="3009" spans="1:6">
      <c r="A3009" s="210">
        <v>282100000</v>
      </c>
      <c r="B3009" s="202" t="s">
        <v>5032</v>
      </c>
      <c r="C3009" s="203" t="s">
        <v>2143</v>
      </c>
      <c r="D3009" s="204">
        <v>1</v>
      </c>
      <c r="E3009" s="204" t="s">
        <v>2144</v>
      </c>
      <c r="F3009" s="205">
        <v>31417.491820171839</v>
      </c>
    </row>
    <row r="3010" spans="1:6">
      <c r="A3010" s="210">
        <v>282111000</v>
      </c>
      <c r="B3010" s="202" t="s">
        <v>1809</v>
      </c>
      <c r="C3010" s="203" t="s">
        <v>2143</v>
      </c>
      <c r="D3010" s="204">
        <v>1</v>
      </c>
      <c r="E3010" s="204" t="s">
        <v>2144</v>
      </c>
      <c r="F3010" s="205">
        <v>31417.491820171839</v>
      </c>
    </row>
    <row r="3011" spans="1:6">
      <c r="A3011" s="210">
        <v>282114000</v>
      </c>
      <c r="B3011" s="202" t="s">
        <v>5035</v>
      </c>
      <c r="C3011" s="203" t="s">
        <v>2143</v>
      </c>
      <c r="D3011" s="204">
        <v>1</v>
      </c>
      <c r="E3011" s="204" t="s">
        <v>2144</v>
      </c>
      <c r="F3011" s="205">
        <v>6892.9806592873938</v>
      </c>
    </row>
    <row r="3012" spans="1:6">
      <c r="A3012" s="210">
        <v>282200000</v>
      </c>
      <c r="B3012" s="202" t="s">
        <v>5037</v>
      </c>
      <c r="C3012" s="203" t="s">
        <v>2143</v>
      </c>
      <c r="D3012" s="204">
        <v>1</v>
      </c>
      <c r="E3012" s="204" t="s">
        <v>2144</v>
      </c>
      <c r="F3012" s="205">
        <v>67.606361398614467</v>
      </c>
    </row>
    <row r="3013" spans="1:6">
      <c r="A3013" s="210">
        <v>282211000</v>
      </c>
      <c r="B3013" s="202" t="s">
        <v>1683</v>
      </c>
      <c r="C3013" s="203" t="s">
        <v>2143</v>
      </c>
      <c r="D3013" s="204">
        <v>1</v>
      </c>
      <c r="E3013" s="204" t="s">
        <v>2144</v>
      </c>
      <c r="F3013" s="205">
        <v>67.606361398614467</v>
      </c>
    </row>
    <row r="3014" spans="1:6">
      <c r="A3014" s="210">
        <v>282300000</v>
      </c>
      <c r="B3014" s="202" t="s">
        <v>5040</v>
      </c>
      <c r="C3014" s="203" t="s">
        <v>2143</v>
      </c>
      <c r="D3014" s="204">
        <v>1</v>
      </c>
      <c r="E3014" s="204" t="s">
        <v>2013</v>
      </c>
      <c r="F3014" s="205">
        <v>1.2716245962609276E-3</v>
      </c>
    </row>
    <row r="3015" spans="1:6">
      <c r="A3015" s="210">
        <v>282311000</v>
      </c>
      <c r="B3015" s="202" t="s">
        <v>1684</v>
      </c>
      <c r="C3015" s="203" t="s">
        <v>2143</v>
      </c>
      <c r="D3015" s="204">
        <v>1</v>
      </c>
      <c r="E3015" s="204" t="s">
        <v>2144</v>
      </c>
      <c r="F3015" s="205">
        <v>8.5298309065689004</v>
      </c>
    </row>
    <row r="3016" spans="1:6">
      <c r="A3016" s="210">
        <v>282312000</v>
      </c>
      <c r="B3016" s="202" t="s">
        <v>1685</v>
      </c>
      <c r="C3016" s="203" t="s">
        <v>2143</v>
      </c>
      <c r="D3016" s="204">
        <v>1</v>
      </c>
      <c r="E3016" s="204" t="s">
        <v>2144</v>
      </c>
      <c r="F3016" s="205">
        <v>5.9346589478190168</v>
      </c>
    </row>
    <row r="3017" spans="1:6">
      <c r="A3017" s="210">
        <v>282313000</v>
      </c>
      <c r="B3017" s="202" t="s">
        <v>1686</v>
      </c>
      <c r="C3017" s="203" t="s">
        <v>2143</v>
      </c>
      <c r="D3017" s="204">
        <v>1</v>
      </c>
      <c r="E3017" s="204" t="s">
        <v>2144</v>
      </c>
      <c r="F3017" s="205">
        <v>1.4478710643936918</v>
      </c>
    </row>
    <row r="3018" spans="1:6">
      <c r="A3018" s="210">
        <v>282319000</v>
      </c>
      <c r="B3018" s="202" t="s">
        <v>1687</v>
      </c>
      <c r="C3018" s="203" t="s">
        <v>2143</v>
      </c>
      <c r="D3018" s="204">
        <v>1</v>
      </c>
      <c r="E3018" s="204" t="s">
        <v>2013</v>
      </c>
      <c r="F3018" s="205">
        <v>5.1268144515660306E-4</v>
      </c>
    </row>
    <row r="3019" spans="1:6">
      <c r="A3019" s="210">
        <v>282400000</v>
      </c>
      <c r="B3019" s="202" t="s">
        <v>5046</v>
      </c>
      <c r="C3019" s="203" t="s">
        <v>2143</v>
      </c>
      <c r="D3019" s="204">
        <v>1</v>
      </c>
      <c r="E3019" s="204" t="s">
        <v>2144</v>
      </c>
      <c r="F3019" s="205">
        <v>18.686498532016344</v>
      </c>
    </row>
    <row r="3020" spans="1:6">
      <c r="A3020" s="210">
        <v>282411000</v>
      </c>
      <c r="B3020" s="202" t="s">
        <v>1810</v>
      </c>
      <c r="C3020" s="203" t="s">
        <v>2143</v>
      </c>
      <c r="D3020" s="204">
        <v>1</v>
      </c>
      <c r="E3020" s="204" t="s">
        <v>2144</v>
      </c>
      <c r="F3020" s="205">
        <v>18.686498532016344</v>
      </c>
    </row>
    <row r="3021" spans="1:6">
      <c r="A3021" s="210">
        <v>282900000</v>
      </c>
      <c r="B3021" s="202" t="s">
        <v>6218</v>
      </c>
      <c r="C3021" s="203" t="s">
        <v>2143</v>
      </c>
      <c r="D3021" s="204">
        <v>1</v>
      </c>
      <c r="E3021" s="204" t="s">
        <v>2013</v>
      </c>
      <c r="F3021" s="205">
        <v>6.2693530067194645E-4</v>
      </c>
    </row>
    <row r="3022" spans="1:6">
      <c r="A3022" s="210">
        <v>282911000</v>
      </c>
      <c r="B3022" s="202" t="s">
        <v>1811</v>
      </c>
      <c r="C3022" s="203" t="s">
        <v>2143</v>
      </c>
      <c r="D3022" s="204">
        <v>1</v>
      </c>
      <c r="E3022" s="204" t="s">
        <v>2144</v>
      </c>
      <c r="F3022" s="205">
        <v>34.207826830019201</v>
      </c>
    </row>
    <row r="3023" spans="1:6">
      <c r="A3023" s="210">
        <v>282919000</v>
      </c>
      <c r="B3023" s="202" t="s">
        <v>1812</v>
      </c>
      <c r="C3023" s="203" t="s">
        <v>2143</v>
      </c>
      <c r="D3023" s="204">
        <v>1</v>
      </c>
      <c r="E3023" s="204" t="s">
        <v>2013</v>
      </c>
      <c r="F3023" s="205">
        <v>6.4869971121292837E-4</v>
      </c>
    </row>
    <row r="3024" spans="1:6">
      <c r="A3024" s="210">
        <v>282921000</v>
      </c>
      <c r="B3024" s="202" t="s">
        <v>1813</v>
      </c>
      <c r="C3024" s="203" t="s">
        <v>2143</v>
      </c>
      <c r="D3024" s="204">
        <v>1</v>
      </c>
      <c r="E3024" s="204" t="s">
        <v>2144</v>
      </c>
      <c r="F3024" s="205">
        <v>685.33795055477822</v>
      </c>
    </row>
    <row r="3025" spans="1:6">
      <c r="A3025" s="210">
        <v>282929000</v>
      </c>
      <c r="B3025" s="202" t="s">
        <v>1814</v>
      </c>
      <c r="C3025" s="203" t="s">
        <v>2143</v>
      </c>
      <c r="D3025" s="204">
        <v>1</v>
      </c>
      <c r="E3025" s="204" t="s">
        <v>2013</v>
      </c>
      <c r="F3025" s="205">
        <v>5.1246225461874231E-4</v>
      </c>
    </row>
    <row r="3026" spans="1:6">
      <c r="A3026" s="210">
        <v>282939000</v>
      </c>
      <c r="B3026" s="202" t="s">
        <v>1815</v>
      </c>
      <c r="C3026" s="203" t="s">
        <v>2143</v>
      </c>
      <c r="D3026" s="204">
        <v>1</v>
      </c>
      <c r="E3026" s="204" t="s">
        <v>2013</v>
      </c>
      <c r="F3026" s="205">
        <v>5.0061351654087129E-4</v>
      </c>
    </row>
    <row r="3027" spans="1:6">
      <c r="A3027" s="210">
        <v>291100000</v>
      </c>
      <c r="B3027" s="202" t="s">
        <v>5053</v>
      </c>
      <c r="C3027" s="203" t="s">
        <v>2143</v>
      </c>
      <c r="D3027" s="204">
        <v>1</v>
      </c>
      <c r="E3027" s="204" t="s">
        <v>2013</v>
      </c>
      <c r="F3027" s="205">
        <v>1.7894717186936829E-3</v>
      </c>
    </row>
    <row r="3028" spans="1:6">
      <c r="A3028" s="210">
        <v>291111000</v>
      </c>
      <c r="B3028" s="202" t="s">
        <v>1816</v>
      </c>
      <c r="C3028" s="203" t="s">
        <v>2143</v>
      </c>
      <c r="D3028" s="204">
        <v>1</v>
      </c>
      <c r="E3028" s="204" t="s">
        <v>2144</v>
      </c>
      <c r="F3028" s="205">
        <v>3.2572648424987354</v>
      </c>
    </row>
    <row r="3029" spans="1:6">
      <c r="A3029" s="210">
        <v>291112000</v>
      </c>
      <c r="B3029" s="202" t="s">
        <v>1817</v>
      </c>
      <c r="C3029" s="203" t="s">
        <v>2143</v>
      </c>
      <c r="D3029" s="204">
        <v>1</v>
      </c>
      <c r="E3029" s="204" t="s">
        <v>2144</v>
      </c>
      <c r="F3029" s="205">
        <v>34.049884072676051</v>
      </c>
    </row>
    <row r="3030" spans="1:6">
      <c r="A3030" s="210">
        <v>291119000</v>
      </c>
      <c r="B3030" s="202" t="s">
        <v>1818</v>
      </c>
      <c r="C3030" s="203" t="s">
        <v>2143</v>
      </c>
      <c r="D3030" s="204">
        <v>1</v>
      </c>
      <c r="E3030" s="204" t="s">
        <v>2013</v>
      </c>
      <c r="F3030" s="205">
        <v>1.6809832695047944E-3</v>
      </c>
    </row>
    <row r="3031" spans="1:6">
      <c r="A3031" s="210">
        <v>291200000</v>
      </c>
      <c r="B3031" s="202" t="s">
        <v>5058</v>
      </c>
      <c r="C3031" s="203" t="s">
        <v>2143</v>
      </c>
      <c r="D3031" s="204">
        <v>1</v>
      </c>
      <c r="E3031" s="204" t="s">
        <v>2144</v>
      </c>
      <c r="F3031" s="205">
        <v>1.7377162773583359E-2</v>
      </c>
    </row>
    <row r="3032" spans="1:6">
      <c r="A3032" s="210">
        <v>291211000</v>
      </c>
      <c r="B3032" s="202" t="s">
        <v>1819</v>
      </c>
      <c r="C3032" s="203" t="s">
        <v>2143</v>
      </c>
      <c r="D3032" s="204">
        <v>1</v>
      </c>
      <c r="E3032" s="204" t="s">
        <v>2144</v>
      </c>
      <c r="F3032" s="205">
        <v>4.8837994949128948E-3</v>
      </c>
    </row>
    <row r="3033" spans="1:6">
      <c r="A3033" s="210">
        <v>291212000</v>
      </c>
      <c r="B3033" s="202" t="s">
        <v>1820</v>
      </c>
      <c r="C3033" s="203" t="s">
        <v>2143</v>
      </c>
      <c r="D3033" s="204">
        <v>1</v>
      </c>
      <c r="E3033" s="204" t="s">
        <v>2144</v>
      </c>
      <c r="F3033" s="205">
        <v>1.2863265570534585E-2</v>
      </c>
    </row>
    <row r="3034" spans="1:6">
      <c r="A3034" s="210">
        <v>291213000</v>
      </c>
      <c r="B3034" s="202" t="s">
        <v>1821</v>
      </c>
      <c r="C3034" s="203" t="s">
        <v>2143</v>
      </c>
      <c r="D3034" s="204">
        <v>1</v>
      </c>
      <c r="E3034" s="204" t="s">
        <v>2144</v>
      </c>
      <c r="F3034" s="205">
        <v>9.8874077136051012E-3</v>
      </c>
    </row>
    <row r="3035" spans="1:6">
      <c r="A3035" s="210">
        <v>291214000</v>
      </c>
      <c r="B3035" s="202" t="s">
        <v>5063</v>
      </c>
      <c r="C3035" s="203" t="s">
        <v>2143</v>
      </c>
      <c r="D3035" s="204">
        <v>1</v>
      </c>
      <c r="E3035" s="204" t="s">
        <v>2144</v>
      </c>
      <c r="F3035" s="205">
        <v>3.3755732670366197E-2</v>
      </c>
    </row>
    <row r="3036" spans="1:6">
      <c r="A3036" s="210">
        <v>291215000</v>
      </c>
      <c r="B3036" s="202" t="s">
        <v>1822</v>
      </c>
      <c r="C3036" s="203" t="s">
        <v>2143</v>
      </c>
      <c r="D3036" s="204">
        <v>1</v>
      </c>
      <c r="E3036" s="204" t="s">
        <v>2144</v>
      </c>
      <c r="F3036" s="205">
        <v>7.9491630784241943E-2</v>
      </c>
    </row>
    <row r="3037" spans="1:6">
      <c r="A3037" s="210">
        <v>291216000</v>
      </c>
      <c r="B3037" s="202" t="s">
        <v>1823</v>
      </c>
      <c r="C3037" s="203" t="s">
        <v>2143</v>
      </c>
      <c r="D3037" s="204">
        <v>1</v>
      </c>
      <c r="E3037" s="204" t="s">
        <v>2144</v>
      </c>
      <c r="F3037" s="205">
        <v>1.5174661612053744E-2</v>
      </c>
    </row>
    <row r="3038" spans="1:6">
      <c r="A3038" s="210">
        <v>291219000</v>
      </c>
      <c r="B3038" s="202" t="s">
        <v>1824</v>
      </c>
      <c r="C3038" s="203" t="s">
        <v>2143</v>
      </c>
      <c r="D3038" s="204">
        <v>1</v>
      </c>
      <c r="E3038" s="204" t="s">
        <v>2144</v>
      </c>
      <c r="F3038" s="205">
        <v>3.8821213356656642E-2</v>
      </c>
    </row>
    <row r="3039" spans="1:6">
      <c r="A3039" s="210">
        <v>291300000</v>
      </c>
      <c r="B3039" s="202" t="s">
        <v>5068</v>
      </c>
      <c r="C3039" s="203" t="s">
        <v>2143</v>
      </c>
      <c r="D3039" s="204">
        <v>1</v>
      </c>
      <c r="E3039" s="204" t="s">
        <v>2013</v>
      </c>
      <c r="F3039" s="205">
        <v>3.3748170493110097E-3</v>
      </c>
    </row>
    <row r="3040" spans="1:6">
      <c r="A3040" s="210">
        <v>291311000</v>
      </c>
      <c r="B3040" s="202" t="s">
        <v>1825</v>
      </c>
      <c r="C3040" s="203" t="s">
        <v>2143</v>
      </c>
      <c r="D3040" s="204">
        <v>1</v>
      </c>
      <c r="E3040" s="204" t="s">
        <v>2144</v>
      </c>
      <c r="F3040" s="205">
        <v>0.11627829204790557</v>
      </c>
    </row>
    <row r="3041" spans="1:6">
      <c r="A3041" s="210">
        <v>291312000</v>
      </c>
      <c r="B3041" s="202" t="s">
        <v>1826</v>
      </c>
      <c r="C3041" s="203" t="s">
        <v>2143</v>
      </c>
      <c r="D3041" s="204">
        <v>1</v>
      </c>
      <c r="E3041" s="204" t="s">
        <v>2144</v>
      </c>
      <c r="F3041" s="205">
        <v>0.43025948849336915</v>
      </c>
    </row>
    <row r="3042" spans="1:6">
      <c r="A3042" s="210">
        <v>291312200</v>
      </c>
      <c r="B3042" s="202" t="s">
        <v>1827</v>
      </c>
      <c r="C3042" s="203" t="s">
        <v>2143</v>
      </c>
      <c r="D3042" s="204">
        <v>1</v>
      </c>
      <c r="E3042" s="204" t="s">
        <v>2144</v>
      </c>
      <c r="F3042" s="205">
        <v>0.72151218374719162</v>
      </c>
    </row>
    <row r="3043" spans="1:6">
      <c r="A3043" s="210">
        <v>291313000</v>
      </c>
      <c r="B3043" s="202" t="s">
        <v>1828</v>
      </c>
      <c r="C3043" s="203" t="s">
        <v>2143</v>
      </c>
      <c r="D3043" s="204">
        <v>1</v>
      </c>
      <c r="E3043" s="204" t="s">
        <v>2144</v>
      </c>
      <c r="F3043" s="205">
        <v>7.9157325061259123E-2</v>
      </c>
    </row>
    <row r="3044" spans="1:6">
      <c r="A3044" s="210">
        <v>291319000</v>
      </c>
      <c r="B3044" s="202" t="s">
        <v>1829</v>
      </c>
      <c r="C3044" s="203" t="s">
        <v>2143</v>
      </c>
      <c r="D3044" s="204">
        <v>1</v>
      </c>
      <c r="E3044" s="204" t="s">
        <v>2013</v>
      </c>
      <c r="F3044" s="205">
        <v>3.9232609909043772E-3</v>
      </c>
    </row>
    <row r="3045" spans="1:6">
      <c r="A3045" s="210">
        <v>291321000</v>
      </c>
      <c r="B3045" s="202" t="s">
        <v>1830</v>
      </c>
      <c r="C3045" s="203" t="s">
        <v>2143</v>
      </c>
      <c r="D3045" s="204">
        <v>1</v>
      </c>
      <c r="E3045" s="204" t="s">
        <v>2144</v>
      </c>
      <c r="F3045" s="205">
        <v>0.32908483391166604</v>
      </c>
    </row>
    <row r="3046" spans="1:6">
      <c r="A3046" s="210">
        <v>291329000</v>
      </c>
      <c r="B3046" s="202" t="s">
        <v>1831</v>
      </c>
      <c r="C3046" s="203" t="s">
        <v>2143</v>
      </c>
      <c r="D3046" s="204">
        <v>1</v>
      </c>
      <c r="E3046" s="204" t="s">
        <v>2013</v>
      </c>
      <c r="F3046" s="205">
        <v>2.2874500823221477E-3</v>
      </c>
    </row>
    <row r="3047" spans="1:6">
      <c r="A3047" s="210">
        <v>291339000</v>
      </c>
      <c r="B3047" s="202" t="s">
        <v>1832</v>
      </c>
      <c r="C3047" s="203" t="s">
        <v>2143</v>
      </c>
      <c r="D3047" s="204">
        <v>1</v>
      </c>
      <c r="E3047" s="204" t="s">
        <v>2013</v>
      </c>
      <c r="F3047" s="205">
        <v>4.2996435321889003E-3</v>
      </c>
    </row>
    <row r="3048" spans="1:6">
      <c r="A3048" s="210">
        <v>291400000</v>
      </c>
      <c r="B3048" s="202" t="s">
        <v>5075</v>
      </c>
      <c r="C3048" s="203" t="s">
        <v>2143</v>
      </c>
      <c r="D3048" s="204">
        <v>1</v>
      </c>
      <c r="E3048" s="204" t="s">
        <v>2013</v>
      </c>
      <c r="F3048" s="205">
        <v>3.9931997112006984E-3</v>
      </c>
    </row>
    <row r="3049" spans="1:6">
      <c r="A3049" s="210">
        <v>291411000</v>
      </c>
      <c r="B3049" s="202" t="s">
        <v>1833</v>
      </c>
      <c r="C3049" s="203" t="s">
        <v>2143</v>
      </c>
      <c r="D3049" s="204">
        <v>1</v>
      </c>
      <c r="E3049" s="204" t="s">
        <v>2144</v>
      </c>
      <c r="F3049" s="205">
        <v>1.2628182893249873E-3</v>
      </c>
    </row>
    <row r="3050" spans="1:6">
      <c r="A3050" s="210">
        <v>291412000</v>
      </c>
      <c r="B3050" s="202" t="s">
        <v>1834</v>
      </c>
      <c r="C3050" s="203" t="s">
        <v>2143</v>
      </c>
      <c r="D3050" s="204">
        <v>1</v>
      </c>
      <c r="E3050" s="204" t="s">
        <v>2144</v>
      </c>
      <c r="F3050" s="205">
        <v>2.7947277957802944E-3</v>
      </c>
    </row>
    <row r="3051" spans="1:6">
      <c r="A3051" s="210">
        <v>291412200</v>
      </c>
      <c r="B3051" s="202" t="s">
        <v>1835</v>
      </c>
      <c r="C3051" s="203" t="s">
        <v>2143</v>
      </c>
      <c r="D3051" s="204">
        <v>1</v>
      </c>
      <c r="E3051" s="204" t="s">
        <v>2144</v>
      </c>
      <c r="F3051" s="205">
        <v>8.2516915772276964E-3</v>
      </c>
    </row>
    <row r="3052" spans="1:6">
      <c r="A3052" s="210">
        <v>291413000</v>
      </c>
      <c r="B3052" s="202" t="s">
        <v>6219</v>
      </c>
      <c r="C3052" s="203" t="s">
        <v>2143</v>
      </c>
      <c r="D3052" s="204">
        <v>1</v>
      </c>
      <c r="E3052" s="204" t="s">
        <v>2013</v>
      </c>
      <c r="F3052" s="205">
        <v>1.5377559600871227E-3</v>
      </c>
    </row>
    <row r="3053" spans="1:6">
      <c r="A3053" s="210">
        <v>291414000</v>
      </c>
      <c r="B3053" s="202" t="s">
        <v>1836</v>
      </c>
      <c r="C3053" s="203" t="s">
        <v>2143</v>
      </c>
      <c r="D3053" s="204">
        <v>1</v>
      </c>
      <c r="E3053" s="204" t="s">
        <v>2144</v>
      </c>
      <c r="F3053" s="205">
        <v>8.483234587988036E-3</v>
      </c>
    </row>
    <row r="3054" spans="1:6">
      <c r="A3054" s="210">
        <v>291415000</v>
      </c>
      <c r="B3054" s="202" t="s">
        <v>1837</v>
      </c>
      <c r="C3054" s="203" t="s">
        <v>2143</v>
      </c>
      <c r="D3054" s="204">
        <v>1</v>
      </c>
      <c r="E3054" s="204" t="s">
        <v>2013</v>
      </c>
      <c r="F3054" s="205">
        <v>2.4925420682162212E-3</v>
      </c>
    </row>
    <row r="3055" spans="1:6">
      <c r="A3055" s="210">
        <v>291500000</v>
      </c>
      <c r="B3055" s="202" t="s">
        <v>5081</v>
      </c>
      <c r="C3055" s="203" t="s">
        <v>2143</v>
      </c>
      <c r="D3055" s="204">
        <v>1</v>
      </c>
      <c r="E3055" s="204" t="s">
        <v>2013</v>
      </c>
      <c r="F3055" s="205">
        <v>1.1869082123269602E-3</v>
      </c>
    </row>
    <row r="3056" spans="1:6">
      <c r="A3056" s="210">
        <v>291511000</v>
      </c>
      <c r="B3056" s="202" t="s">
        <v>1838</v>
      </c>
      <c r="C3056" s="203" t="s">
        <v>2143</v>
      </c>
      <c r="D3056" s="204">
        <v>1</v>
      </c>
      <c r="E3056" s="204" t="s">
        <v>2013</v>
      </c>
      <c r="F3056" s="205">
        <v>9.8721640326349461E-4</v>
      </c>
    </row>
    <row r="3057" spans="1:6">
      <c r="A3057" s="210">
        <v>291512000</v>
      </c>
      <c r="B3057" s="202" t="s">
        <v>1839</v>
      </c>
      <c r="C3057" s="203" t="s">
        <v>2143</v>
      </c>
      <c r="D3057" s="204">
        <v>1</v>
      </c>
      <c r="E3057" s="204" t="s">
        <v>2144</v>
      </c>
      <c r="F3057" s="205">
        <v>0.48115493553401834</v>
      </c>
    </row>
    <row r="3058" spans="1:6">
      <c r="A3058" s="210">
        <v>291513000</v>
      </c>
      <c r="B3058" s="202" t="s">
        <v>5085</v>
      </c>
      <c r="C3058" s="203" t="s">
        <v>2143</v>
      </c>
      <c r="D3058" s="204">
        <v>1</v>
      </c>
      <c r="E3058" s="204" t="s">
        <v>2013</v>
      </c>
      <c r="F3058" s="205">
        <v>1.7528361670967781E-3</v>
      </c>
    </row>
    <row r="3059" spans="1:6">
      <c r="A3059" s="210">
        <v>291600000</v>
      </c>
      <c r="B3059" s="202" t="s">
        <v>5087</v>
      </c>
      <c r="C3059" s="203" t="s">
        <v>2143</v>
      </c>
      <c r="D3059" s="204">
        <v>1</v>
      </c>
      <c r="E3059" s="204" t="s">
        <v>2013</v>
      </c>
      <c r="F3059" s="205">
        <v>1.3691773268432669E-3</v>
      </c>
    </row>
    <row r="3060" spans="1:6">
      <c r="A3060" s="210">
        <v>291611000</v>
      </c>
      <c r="B3060" s="202" t="s">
        <v>1840</v>
      </c>
      <c r="C3060" s="203" t="s">
        <v>2143</v>
      </c>
      <c r="D3060" s="204">
        <v>1</v>
      </c>
      <c r="E3060" s="204" t="s">
        <v>2013</v>
      </c>
      <c r="F3060" s="205">
        <v>7.9188503632487452E-4</v>
      </c>
    </row>
    <row r="3061" spans="1:6">
      <c r="A3061" s="210">
        <v>291612000</v>
      </c>
      <c r="B3061" s="202" t="s">
        <v>5090</v>
      </c>
      <c r="C3061" s="203" t="s">
        <v>2143</v>
      </c>
      <c r="D3061" s="204">
        <v>1</v>
      </c>
      <c r="E3061" s="204" t="s">
        <v>2144</v>
      </c>
      <c r="F3061" s="205">
        <v>2.2239240766374957E-2</v>
      </c>
    </row>
    <row r="3062" spans="1:6">
      <c r="A3062" s="210">
        <v>291613000</v>
      </c>
      <c r="B3062" s="202" t="s">
        <v>1841</v>
      </c>
      <c r="C3062" s="203" t="s">
        <v>2143</v>
      </c>
      <c r="D3062" s="204">
        <v>1</v>
      </c>
      <c r="E3062" s="204" t="s">
        <v>2144</v>
      </c>
      <c r="F3062" s="205">
        <v>1.1385050627616536E-2</v>
      </c>
    </row>
    <row r="3063" spans="1:6">
      <c r="A3063" s="210">
        <v>291614000</v>
      </c>
      <c r="B3063" s="202" t="s">
        <v>1842</v>
      </c>
      <c r="C3063" s="203" t="s">
        <v>2143</v>
      </c>
      <c r="D3063" s="204">
        <v>1</v>
      </c>
      <c r="E3063" s="204" t="s">
        <v>2144</v>
      </c>
      <c r="F3063" s="205">
        <v>4.3466171210571669E-2</v>
      </c>
    </row>
    <row r="3064" spans="1:6">
      <c r="A3064" s="210">
        <v>291700000</v>
      </c>
      <c r="B3064" s="202" t="s">
        <v>6220</v>
      </c>
      <c r="C3064" s="203" t="s">
        <v>2143</v>
      </c>
      <c r="D3064" s="204">
        <v>1</v>
      </c>
      <c r="E3064" s="204" t="s">
        <v>2013</v>
      </c>
      <c r="F3064" s="205">
        <v>1.0621546107303752E-3</v>
      </c>
    </row>
    <row r="3065" spans="1:6">
      <c r="A3065" s="210">
        <v>291711000</v>
      </c>
      <c r="B3065" s="202" t="s">
        <v>1843</v>
      </c>
      <c r="C3065" s="203" t="s">
        <v>2143</v>
      </c>
      <c r="D3065" s="204">
        <v>1</v>
      </c>
      <c r="E3065" s="204" t="s">
        <v>2144</v>
      </c>
      <c r="F3065" s="205">
        <v>1.6553079414367851</v>
      </c>
    </row>
    <row r="3066" spans="1:6">
      <c r="A3066" s="210">
        <v>291712000</v>
      </c>
      <c r="B3066" s="202" t="s">
        <v>5095</v>
      </c>
      <c r="C3066" s="203" t="s">
        <v>2143</v>
      </c>
      <c r="D3066" s="204">
        <v>1</v>
      </c>
      <c r="E3066" s="204" t="s">
        <v>2013</v>
      </c>
      <c r="F3066" s="205">
        <v>1.0922268701776521E-3</v>
      </c>
    </row>
    <row r="3067" spans="1:6">
      <c r="A3067" s="210">
        <v>291719000</v>
      </c>
      <c r="B3067" s="202" t="s">
        <v>1844</v>
      </c>
      <c r="C3067" s="203" t="s">
        <v>2143</v>
      </c>
      <c r="D3067" s="204">
        <v>1</v>
      </c>
      <c r="E3067" s="204" t="s">
        <v>2013</v>
      </c>
      <c r="F3067" s="205">
        <v>7.8883691875427861E-4</v>
      </c>
    </row>
    <row r="3068" spans="1:6">
      <c r="A3068" s="210">
        <v>291721000</v>
      </c>
      <c r="B3068" s="202" t="s">
        <v>1845</v>
      </c>
      <c r="C3068" s="203" t="s">
        <v>2143</v>
      </c>
      <c r="D3068" s="204">
        <v>1</v>
      </c>
      <c r="E3068" s="204" t="s">
        <v>2013</v>
      </c>
      <c r="F3068" s="205">
        <v>2.362369325801042E-3</v>
      </c>
    </row>
    <row r="3069" spans="1:6">
      <c r="A3069" s="210">
        <v>291800000</v>
      </c>
      <c r="B3069" s="202" t="s">
        <v>6221</v>
      </c>
      <c r="C3069" s="203" t="s">
        <v>2143</v>
      </c>
      <c r="D3069" s="204">
        <v>1</v>
      </c>
      <c r="E3069" s="204" t="s">
        <v>2013</v>
      </c>
      <c r="F3069" s="205">
        <v>2.1727061010555979E-3</v>
      </c>
    </row>
    <row r="3070" spans="1:6">
      <c r="A3070" s="210">
        <v>291811000</v>
      </c>
      <c r="B3070" s="202" t="s">
        <v>1846</v>
      </c>
      <c r="C3070" s="203" t="s">
        <v>2143</v>
      </c>
      <c r="D3070" s="204">
        <v>1</v>
      </c>
      <c r="E3070" s="204" t="s">
        <v>425</v>
      </c>
      <c r="F3070" s="205">
        <v>46.991285646994527</v>
      </c>
    </row>
    <row r="3071" spans="1:6">
      <c r="A3071" s="210">
        <v>291819000</v>
      </c>
      <c r="B3071" s="202" t="s">
        <v>1847</v>
      </c>
      <c r="C3071" s="203" t="s">
        <v>2143</v>
      </c>
      <c r="D3071" s="204">
        <v>1</v>
      </c>
      <c r="E3071" s="204" t="s">
        <v>425</v>
      </c>
      <c r="F3071" s="205">
        <v>94.814204259660528</v>
      </c>
    </row>
    <row r="3072" spans="1:6">
      <c r="A3072" s="210">
        <v>291821000</v>
      </c>
      <c r="B3072" s="202" t="s">
        <v>1848</v>
      </c>
      <c r="C3072" s="203" t="s">
        <v>2143</v>
      </c>
      <c r="D3072" s="204">
        <v>1</v>
      </c>
      <c r="E3072" s="204" t="s">
        <v>2013</v>
      </c>
      <c r="F3072" s="205">
        <v>2.9106968710273726E-3</v>
      </c>
    </row>
    <row r="3073" spans="1:6">
      <c r="A3073" s="210">
        <v>291821200</v>
      </c>
      <c r="B3073" s="202" t="s">
        <v>6222</v>
      </c>
      <c r="C3073" s="203" t="s">
        <v>2143</v>
      </c>
      <c r="D3073" s="204">
        <v>1</v>
      </c>
      <c r="E3073" s="204" t="s">
        <v>2144</v>
      </c>
      <c r="F3073" s="205">
        <v>27.853371269228433</v>
      </c>
    </row>
    <row r="3074" spans="1:6">
      <c r="A3074" s="210">
        <v>291900000</v>
      </c>
      <c r="B3074" s="202" t="s">
        <v>6223</v>
      </c>
      <c r="C3074" s="203" t="s">
        <v>2143</v>
      </c>
      <c r="D3074" s="204">
        <v>1</v>
      </c>
      <c r="E3074" s="204" t="s">
        <v>2013</v>
      </c>
      <c r="F3074" s="205">
        <v>2.0972139426853019E-3</v>
      </c>
    </row>
    <row r="3075" spans="1:6">
      <c r="A3075" s="210">
        <v>291911000</v>
      </c>
      <c r="B3075" s="202" t="s">
        <v>5100</v>
      </c>
      <c r="C3075" s="203" t="s">
        <v>2143</v>
      </c>
      <c r="D3075" s="204">
        <v>1</v>
      </c>
      <c r="E3075" s="204" t="s">
        <v>2013</v>
      </c>
      <c r="F3075" s="205">
        <v>4.7532300094855415E-3</v>
      </c>
    </row>
    <row r="3076" spans="1:6">
      <c r="A3076" s="210">
        <v>291911200</v>
      </c>
      <c r="B3076" s="202" t="s">
        <v>6224</v>
      </c>
      <c r="C3076" s="203" t="s">
        <v>2143</v>
      </c>
      <c r="D3076" s="204">
        <v>1</v>
      </c>
      <c r="E3076" s="204" t="s">
        <v>235</v>
      </c>
      <c r="F3076" s="205">
        <v>4.9465136923513473</v>
      </c>
    </row>
    <row r="3077" spans="1:6">
      <c r="A3077" s="210">
        <v>291911201</v>
      </c>
      <c r="B3077" s="202" t="s">
        <v>1849</v>
      </c>
      <c r="C3077" s="203" t="s">
        <v>2143</v>
      </c>
      <c r="D3077" s="204">
        <v>1</v>
      </c>
      <c r="E3077" s="204" t="s">
        <v>235</v>
      </c>
      <c r="F3077" s="205">
        <v>5.5954416779189007</v>
      </c>
    </row>
    <row r="3078" spans="1:6">
      <c r="A3078" s="210">
        <v>291911202</v>
      </c>
      <c r="B3078" s="202" t="s">
        <v>1850</v>
      </c>
      <c r="C3078" s="203" t="s">
        <v>2143</v>
      </c>
      <c r="D3078" s="204">
        <v>1</v>
      </c>
      <c r="E3078" s="204" t="s">
        <v>235</v>
      </c>
      <c r="F3078" s="205">
        <v>5.5003127173319806</v>
      </c>
    </row>
    <row r="3079" spans="1:6">
      <c r="A3079" s="210">
        <v>291911203</v>
      </c>
      <c r="B3079" s="202" t="s">
        <v>1851</v>
      </c>
      <c r="C3079" s="203" t="s">
        <v>2143</v>
      </c>
      <c r="D3079" s="204">
        <v>1</v>
      </c>
      <c r="E3079" s="204" t="s">
        <v>235</v>
      </c>
      <c r="F3079" s="205">
        <v>24.921141185319833</v>
      </c>
    </row>
    <row r="3080" spans="1:6">
      <c r="A3080" s="210">
        <v>291912000</v>
      </c>
      <c r="B3080" s="202" t="s">
        <v>5102</v>
      </c>
      <c r="C3080" s="203" t="s">
        <v>2143</v>
      </c>
      <c r="D3080" s="204">
        <v>1</v>
      </c>
      <c r="E3080" s="204" t="s">
        <v>2013</v>
      </c>
      <c r="F3080" s="205">
        <v>1.2470411063118924E-3</v>
      </c>
    </row>
    <row r="3081" spans="1:6">
      <c r="A3081" s="210">
        <v>291913000</v>
      </c>
      <c r="B3081" s="202" t="s">
        <v>1852</v>
      </c>
      <c r="C3081" s="203" t="s">
        <v>2143</v>
      </c>
      <c r="D3081" s="204">
        <v>1</v>
      </c>
      <c r="E3081" s="204" t="s">
        <v>2144</v>
      </c>
      <c r="F3081" s="205">
        <v>2.4199116598705319</v>
      </c>
    </row>
    <row r="3082" spans="1:6">
      <c r="A3082" s="210">
        <v>291914000</v>
      </c>
      <c r="B3082" s="202" t="s">
        <v>1853</v>
      </c>
      <c r="C3082" s="203" t="s">
        <v>2143</v>
      </c>
      <c r="D3082" s="204">
        <v>1</v>
      </c>
      <c r="E3082" s="204" t="s">
        <v>2013</v>
      </c>
      <c r="F3082" s="205">
        <v>2.6169687088234937E-3</v>
      </c>
    </row>
    <row r="3083" spans="1:6">
      <c r="A3083" s="210">
        <v>291919000</v>
      </c>
      <c r="B3083" s="202" t="s">
        <v>1854</v>
      </c>
      <c r="C3083" s="203" t="s">
        <v>2143</v>
      </c>
      <c r="D3083" s="204">
        <v>1</v>
      </c>
      <c r="E3083" s="204" t="s">
        <v>2013</v>
      </c>
      <c r="F3083" s="205">
        <v>3.0927515686270321E-3</v>
      </c>
    </row>
    <row r="3084" spans="1:6">
      <c r="A3084" s="210">
        <v>301100000</v>
      </c>
      <c r="B3084" s="202" t="s">
        <v>5105</v>
      </c>
      <c r="C3084" s="203" t="s">
        <v>2143</v>
      </c>
      <c r="D3084" s="204">
        <v>1</v>
      </c>
      <c r="E3084" s="204" t="s">
        <v>2144</v>
      </c>
      <c r="F3084" s="205">
        <v>7913.7912824659525</v>
      </c>
    </row>
    <row r="3085" spans="1:6">
      <c r="A3085" s="210">
        <v>301111000</v>
      </c>
      <c r="B3085" s="202" t="s">
        <v>5107</v>
      </c>
      <c r="C3085" s="203" t="s">
        <v>2143</v>
      </c>
      <c r="D3085" s="204">
        <v>1</v>
      </c>
      <c r="E3085" s="204" t="s">
        <v>2144</v>
      </c>
      <c r="F3085" s="205">
        <v>3714.7100447415996</v>
      </c>
    </row>
    <row r="3086" spans="1:6">
      <c r="A3086" s="210">
        <v>301112000</v>
      </c>
      <c r="B3086" s="202" t="s">
        <v>5109</v>
      </c>
      <c r="C3086" s="203" t="s">
        <v>2143</v>
      </c>
      <c r="D3086" s="204">
        <v>1</v>
      </c>
      <c r="E3086" s="204" t="s">
        <v>2144</v>
      </c>
      <c r="F3086" s="205">
        <v>4851.7867248796865</v>
      </c>
    </row>
    <row r="3087" spans="1:6">
      <c r="A3087" s="210">
        <v>301113000</v>
      </c>
      <c r="B3087" s="202" t="s">
        <v>1855</v>
      </c>
      <c r="C3087" s="203" t="s">
        <v>2143</v>
      </c>
      <c r="D3087" s="204">
        <v>1</v>
      </c>
      <c r="E3087" s="204" t="s">
        <v>2144</v>
      </c>
      <c r="F3087" s="205">
        <v>22563.22650730142</v>
      </c>
    </row>
    <row r="3088" spans="1:6">
      <c r="A3088" s="210">
        <v>301114000</v>
      </c>
      <c r="B3088" s="202" t="s">
        <v>5112</v>
      </c>
      <c r="C3088" s="203" t="s">
        <v>2143</v>
      </c>
      <c r="D3088" s="204">
        <v>1</v>
      </c>
      <c r="E3088" s="204" t="s">
        <v>2144</v>
      </c>
      <c r="F3088" s="205">
        <v>26038.439385438349</v>
      </c>
    </row>
    <row r="3089" spans="1:6">
      <c r="A3089" s="210">
        <v>301115000</v>
      </c>
      <c r="B3089" s="202" t="s">
        <v>1856</v>
      </c>
      <c r="C3089" s="203" t="s">
        <v>2143</v>
      </c>
      <c r="D3089" s="204">
        <v>1</v>
      </c>
      <c r="E3089" s="204" t="s">
        <v>2144</v>
      </c>
      <c r="F3089" s="205">
        <v>10123.325071296647</v>
      </c>
    </row>
    <row r="3090" spans="1:6">
      <c r="A3090" s="210">
        <v>301116000</v>
      </c>
      <c r="B3090" s="202" t="s">
        <v>1857</v>
      </c>
      <c r="C3090" s="203" t="s">
        <v>2143</v>
      </c>
      <c r="D3090" s="204">
        <v>1</v>
      </c>
      <c r="E3090" s="204" t="s">
        <v>2144</v>
      </c>
      <c r="F3090" s="205">
        <v>7894.7753859846925</v>
      </c>
    </row>
    <row r="3091" spans="1:6">
      <c r="A3091" s="210">
        <v>301117000</v>
      </c>
      <c r="B3091" s="202" t="s">
        <v>5116</v>
      </c>
      <c r="C3091" s="203" t="s">
        <v>2143</v>
      </c>
      <c r="D3091" s="204">
        <v>1</v>
      </c>
      <c r="E3091" s="204" t="s">
        <v>2144</v>
      </c>
      <c r="F3091" s="205">
        <v>234.06672847506127</v>
      </c>
    </row>
    <row r="3092" spans="1:6">
      <c r="A3092" s="210">
        <v>301118000</v>
      </c>
      <c r="B3092" s="202" t="s">
        <v>5118</v>
      </c>
      <c r="C3092" s="203" t="s">
        <v>2143</v>
      </c>
      <c r="D3092" s="204">
        <v>1</v>
      </c>
      <c r="E3092" s="204" t="s">
        <v>2144</v>
      </c>
      <c r="F3092" s="205">
        <v>449.29343994840247</v>
      </c>
    </row>
    <row r="3093" spans="1:6">
      <c r="A3093" s="210">
        <v>301200000</v>
      </c>
      <c r="B3093" s="202" t="s">
        <v>5120</v>
      </c>
      <c r="C3093" s="203" t="s">
        <v>2143</v>
      </c>
      <c r="D3093" s="204">
        <v>1</v>
      </c>
      <c r="E3093" s="204" t="s">
        <v>2013</v>
      </c>
      <c r="F3093" s="205">
        <v>2.18697974425156E-3</v>
      </c>
    </row>
    <row r="3094" spans="1:6">
      <c r="A3094" s="210">
        <v>301211000</v>
      </c>
      <c r="B3094" s="202" t="s">
        <v>1858</v>
      </c>
      <c r="C3094" s="203" t="s">
        <v>2143</v>
      </c>
      <c r="D3094" s="204">
        <v>1</v>
      </c>
      <c r="E3094" s="204" t="s">
        <v>2013</v>
      </c>
      <c r="F3094" s="205">
        <v>1.3073921231441048E-3</v>
      </c>
    </row>
    <row r="3095" spans="1:6">
      <c r="A3095" s="210">
        <v>301212000</v>
      </c>
      <c r="B3095" s="202" t="s">
        <v>1859</v>
      </c>
      <c r="C3095" s="203" t="s">
        <v>2143</v>
      </c>
      <c r="D3095" s="204">
        <v>1</v>
      </c>
      <c r="E3095" s="204" t="s">
        <v>2013</v>
      </c>
      <c r="F3095" s="205">
        <v>3.6314515352078641E-3</v>
      </c>
    </row>
    <row r="3096" spans="1:6">
      <c r="A3096" s="210">
        <v>301213000</v>
      </c>
      <c r="B3096" s="202" t="s">
        <v>1860</v>
      </c>
      <c r="C3096" s="203" t="s">
        <v>2143</v>
      </c>
      <c r="D3096" s="204">
        <v>1</v>
      </c>
      <c r="E3096" s="204" t="s">
        <v>2144</v>
      </c>
      <c r="F3096" s="205">
        <v>1053.774861082559</v>
      </c>
    </row>
    <row r="3097" spans="1:6">
      <c r="A3097" s="210">
        <v>301214000</v>
      </c>
      <c r="B3097" s="202" t="s">
        <v>1861</v>
      </c>
      <c r="C3097" s="203" t="s">
        <v>2143</v>
      </c>
      <c r="D3097" s="204">
        <v>1</v>
      </c>
      <c r="E3097" s="204" t="s">
        <v>2013</v>
      </c>
      <c r="F3097" s="205">
        <v>3.6578543738736546E-3</v>
      </c>
    </row>
    <row r="3098" spans="1:6">
      <c r="A3098" s="210">
        <v>301215000</v>
      </c>
      <c r="B3098" s="202" t="s">
        <v>5126</v>
      </c>
      <c r="C3098" s="203" t="s">
        <v>2143</v>
      </c>
      <c r="D3098" s="204">
        <v>1</v>
      </c>
      <c r="E3098" s="204" t="s">
        <v>2144</v>
      </c>
      <c r="F3098" s="205">
        <v>14681.495134322851</v>
      </c>
    </row>
    <row r="3099" spans="1:6">
      <c r="A3099" s="210">
        <v>301300000</v>
      </c>
      <c r="B3099" s="202" t="s">
        <v>6225</v>
      </c>
      <c r="C3099" s="203" t="s">
        <v>2143</v>
      </c>
      <c r="D3099" s="204">
        <v>1</v>
      </c>
      <c r="E3099" s="204" t="s">
        <v>2013</v>
      </c>
      <c r="F3099" s="205">
        <v>2.2442324732734062E-3</v>
      </c>
    </row>
    <row r="3100" spans="1:6">
      <c r="A3100" s="210">
        <v>301311000</v>
      </c>
      <c r="B3100" s="202" t="s">
        <v>1862</v>
      </c>
      <c r="C3100" s="203" t="s">
        <v>2143</v>
      </c>
      <c r="D3100" s="204">
        <v>1</v>
      </c>
      <c r="E3100" s="204" t="s">
        <v>2144</v>
      </c>
      <c r="F3100" s="205">
        <v>326.70208094342462</v>
      </c>
    </row>
    <row r="3101" spans="1:6">
      <c r="A3101" s="210">
        <v>301312000</v>
      </c>
      <c r="B3101" s="202" t="s">
        <v>1863</v>
      </c>
      <c r="C3101" s="203" t="s">
        <v>2143</v>
      </c>
      <c r="D3101" s="204">
        <v>1</v>
      </c>
      <c r="E3101" s="204" t="s">
        <v>2144</v>
      </c>
      <c r="F3101" s="205">
        <v>494.78390246356605</v>
      </c>
    </row>
    <row r="3102" spans="1:6">
      <c r="A3102" s="210">
        <v>301313000</v>
      </c>
      <c r="B3102" s="202" t="s">
        <v>1864</v>
      </c>
      <c r="C3102" s="203" t="s">
        <v>2143</v>
      </c>
      <c r="D3102" s="204">
        <v>1</v>
      </c>
      <c r="E3102" s="204" t="s">
        <v>2144</v>
      </c>
      <c r="F3102" s="205">
        <v>99.221568124570581</v>
      </c>
    </row>
    <row r="3103" spans="1:6">
      <c r="A3103" s="210">
        <v>301314000</v>
      </c>
      <c r="B3103" s="202" t="s">
        <v>1865</v>
      </c>
      <c r="C3103" s="203" t="s">
        <v>2143</v>
      </c>
      <c r="D3103" s="204">
        <v>1</v>
      </c>
      <c r="E3103" s="204" t="s">
        <v>2013</v>
      </c>
      <c r="F3103" s="205">
        <v>1.7451514235659452E-3</v>
      </c>
    </row>
    <row r="3104" spans="1:6">
      <c r="A3104" s="210">
        <v>301315000</v>
      </c>
      <c r="B3104" s="202" t="s">
        <v>1866</v>
      </c>
      <c r="C3104" s="203" t="s">
        <v>2143</v>
      </c>
      <c r="D3104" s="204">
        <v>1</v>
      </c>
      <c r="E3104" s="204" t="s">
        <v>2013</v>
      </c>
      <c r="F3104" s="205">
        <v>1.7644663603636141E-3</v>
      </c>
    </row>
    <row r="3105" spans="1:6">
      <c r="A3105" s="210">
        <v>301316000</v>
      </c>
      <c r="B3105" s="202" t="s">
        <v>1867</v>
      </c>
      <c r="C3105" s="203" t="s">
        <v>2143</v>
      </c>
      <c r="D3105" s="204">
        <v>1</v>
      </c>
      <c r="E3105" s="204" t="s">
        <v>2144</v>
      </c>
      <c r="F3105" s="205">
        <v>11.033328763384318</v>
      </c>
    </row>
    <row r="3106" spans="1:6">
      <c r="A3106" s="210">
        <v>301317000</v>
      </c>
      <c r="B3106" s="202" t="s">
        <v>5134</v>
      </c>
      <c r="C3106" s="203" t="s">
        <v>2143</v>
      </c>
      <c r="D3106" s="204">
        <v>1</v>
      </c>
      <c r="E3106" s="204" t="s">
        <v>2144</v>
      </c>
      <c r="F3106" s="205">
        <v>3.2841294113234252</v>
      </c>
    </row>
    <row r="3107" spans="1:6">
      <c r="A3107" s="210">
        <v>301318000</v>
      </c>
      <c r="B3107" s="202" t="s">
        <v>1868</v>
      </c>
      <c r="C3107" s="203" t="s">
        <v>2143</v>
      </c>
      <c r="D3107" s="204">
        <v>1</v>
      </c>
      <c r="E3107" s="204" t="s">
        <v>2013</v>
      </c>
      <c r="F3107" s="205">
        <v>1.7770477450264584E-3</v>
      </c>
    </row>
    <row r="3108" spans="1:6">
      <c r="A3108" s="210">
        <v>301321000</v>
      </c>
      <c r="B3108" s="202" t="s">
        <v>1869</v>
      </c>
      <c r="C3108" s="203" t="s">
        <v>2143</v>
      </c>
      <c r="D3108" s="204">
        <v>1</v>
      </c>
      <c r="E3108" s="204" t="s">
        <v>2144</v>
      </c>
      <c r="F3108" s="205">
        <v>27.158562854507245</v>
      </c>
    </row>
    <row r="3109" spans="1:6">
      <c r="A3109" s="210">
        <v>301322000</v>
      </c>
      <c r="B3109" s="202" t="s">
        <v>5138</v>
      </c>
      <c r="C3109" s="203" t="s">
        <v>2143</v>
      </c>
      <c r="D3109" s="204">
        <v>1</v>
      </c>
      <c r="E3109" s="204" t="s">
        <v>2144</v>
      </c>
      <c r="F3109" s="205">
        <v>36.257570848302493</v>
      </c>
    </row>
    <row r="3110" spans="1:6">
      <c r="A3110" s="210">
        <v>301329000</v>
      </c>
      <c r="B3110" s="202" t="s">
        <v>5140</v>
      </c>
      <c r="C3110" s="203" t="s">
        <v>2143</v>
      </c>
      <c r="D3110" s="204">
        <v>1</v>
      </c>
      <c r="E3110" s="204" t="s">
        <v>2013</v>
      </c>
      <c r="F3110" s="205">
        <v>1.6007906946995125E-3</v>
      </c>
    </row>
    <row r="3111" spans="1:6">
      <c r="A3111" s="210">
        <v>301331000</v>
      </c>
      <c r="B3111" s="202" t="s">
        <v>6226</v>
      </c>
      <c r="C3111" s="203" t="s">
        <v>2143</v>
      </c>
      <c r="D3111" s="204">
        <v>1</v>
      </c>
      <c r="E3111" s="204" t="s">
        <v>2013</v>
      </c>
      <c r="F3111" s="205">
        <v>1.2693280224747084E-3</v>
      </c>
    </row>
    <row r="3112" spans="1:6">
      <c r="A3112" s="210">
        <v>301332000</v>
      </c>
      <c r="B3112" s="202" t="s">
        <v>6227</v>
      </c>
      <c r="C3112" s="203" t="s">
        <v>2143</v>
      </c>
      <c r="D3112" s="204">
        <v>1</v>
      </c>
      <c r="E3112" s="204" t="s">
        <v>2013</v>
      </c>
      <c r="F3112" s="205">
        <v>1.5807870293286651E-3</v>
      </c>
    </row>
    <row r="3113" spans="1:6">
      <c r="A3113" s="210">
        <v>302100000</v>
      </c>
      <c r="B3113" s="202" t="s">
        <v>5146</v>
      </c>
      <c r="C3113" s="203" t="s">
        <v>2143</v>
      </c>
      <c r="D3113" s="204">
        <v>1</v>
      </c>
      <c r="E3113" s="204" t="s">
        <v>2013</v>
      </c>
      <c r="F3113" s="205">
        <v>1.809846986589282E-3</v>
      </c>
    </row>
    <row r="3114" spans="1:6">
      <c r="A3114" s="210">
        <v>302111000</v>
      </c>
      <c r="B3114" s="202" t="s">
        <v>1870</v>
      </c>
      <c r="C3114" s="203" t="s">
        <v>2143</v>
      </c>
      <c r="D3114" s="204">
        <v>1</v>
      </c>
      <c r="E3114" s="204" t="s">
        <v>2144</v>
      </c>
      <c r="F3114" s="205">
        <v>150059.73448330106</v>
      </c>
    </row>
    <row r="3115" spans="1:6">
      <c r="A3115" s="210">
        <v>302112000</v>
      </c>
      <c r="B3115" s="202" t="s">
        <v>5149</v>
      </c>
      <c r="C3115" s="203" t="s">
        <v>2143</v>
      </c>
      <c r="D3115" s="204">
        <v>1</v>
      </c>
      <c r="E3115" s="204" t="s">
        <v>2144</v>
      </c>
      <c r="F3115" s="205">
        <v>124177.09817420028</v>
      </c>
    </row>
    <row r="3116" spans="1:6">
      <c r="A3116" s="210">
        <v>302113000</v>
      </c>
      <c r="B3116" s="202" t="s">
        <v>1871</v>
      </c>
      <c r="C3116" s="203" t="s">
        <v>2143</v>
      </c>
      <c r="D3116" s="204">
        <v>1</v>
      </c>
      <c r="E3116" s="204" t="s">
        <v>2144</v>
      </c>
      <c r="F3116" s="205">
        <v>42486.188345631032</v>
      </c>
    </row>
    <row r="3117" spans="1:6">
      <c r="A3117" s="210">
        <v>302114000</v>
      </c>
      <c r="B3117" s="202" t="s">
        <v>5152</v>
      </c>
      <c r="C3117" s="203" t="s">
        <v>2143</v>
      </c>
      <c r="D3117" s="204">
        <v>1</v>
      </c>
      <c r="E3117" s="204" t="s">
        <v>2144</v>
      </c>
      <c r="F3117" s="205">
        <v>116196.8398245846</v>
      </c>
    </row>
    <row r="3118" spans="1:6">
      <c r="A3118" s="210">
        <v>302115000</v>
      </c>
      <c r="B3118" s="202" t="s">
        <v>1872</v>
      </c>
      <c r="C3118" s="203" t="s">
        <v>2143</v>
      </c>
      <c r="D3118" s="204">
        <v>1</v>
      </c>
      <c r="E3118" s="204" t="s">
        <v>2144</v>
      </c>
      <c r="F3118" s="205">
        <v>23630.078809233906</v>
      </c>
    </row>
    <row r="3119" spans="1:6">
      <c r="A3119" s="210">
        <v>302119000</v>
      </c>
      <c r="B3119" s="202" t="s">
        <v>1873</v>
      </c>
      <c r="C3119" s="203" t="s">
        <v>2143</v>
      </c>
      <c r="D3119" s="204">
        <v>1</v>
      </c>
      <c r="E3119" s="204" t="s">
        <v>2013</v>
      </c>
      <c r="F3119" s="205">
        <v>3.7699664135539129E-3</v>
      </c>
    </row>
    <row r="3120" spans="1:6">
      <c r="A3120" s="210">
        <v>302200000</v>
      </c>
      <c r="B3120" s="202" t="s">
        <v>6228</v>
      </c>
      <c r="C3120" s="203" t="s">
        <v>2143</v>
      </c>
      <c r="D3120" s="204">
        <v>1</v>
      </c>
      <c r="E3120" s="204" t="s">
        <v>2013</v>
      </c>
      <c r="F3120" s="205">
        <v>2.9081916735716473E-3</v>
      </c>
    </row>
    <row r="3121" spans="1:6">
      <c r="A3121" s="210">
        <v>302211000</v>
      </c>
      <c r="B3121" s="202" t="s">
        <v>1874</v>
      </c>
      <c r="C3121" s="203" t="s">
        <v>2143</v>
      </c>
      <c r="D3121" s="204">
        <v>1</v>
      </c>
      <c r="E3121" s="204" t="s">
        <v>2013</v>
      </c>
      <c r="F3121" s="205">
        <v>3.0493719600868108E-3</v>
      </c>
    </row>
    <row r="3122" spans="1:6">
      <c r="A3122" s="210">
        <v>302212000</v>
      </c>
      <c r="B3122" s="202" t="s">
        <v>1875</v>
      </c>
      <c r="C3122" s="203" t="s">
        <v>2143</v>
      </c>
      <c r="D3122" s="204">
        <v>1</v>
      </c>
      <c r="E3122" s="204" t="s">
        <v>2013</v>
      </c>
      <c r="F3122" s="205">
        <v>2.889841870577961E-3</v>
      </c>
    </row>
    <row r="3123" spans="1:6">
      <c r="A3123" s="210">
        <v>303100000</v>
      </c>
      <c r="B3123" s="202" t="s">
        <v>6229</v>
      </c>
      <c r="C3123" s="203" t="s">
        <v>2143</v>
      </c>
      <c r="D3123" s="204">
        <v>1</v>
      </c>
      <c r="E3123" s="204" t="s">
        <v>2013</v>
      </c>
      <c r="F3123" s="205">
        <v>3.9687593269615001E-3</v>
      </c>
    </row>
    <row r="3124" spans="1:6">
      <c r="A3124" s="210">
        <v>303111000</v>
      </c>
      <c r="B3124" s="202" t="s">
        <v>1876</v>
      </c>
      <c r="C3124" s="203" t="s">
        <v>2143</v>
      </c>
      <c r="D3124" s="204">
        <v>1</v>
      </c>
      <c r="E3124" s="204" t="s">
        <v>2158</v>
      </c>
      <c r="F3124" s="205">
        <v>10884.916185382419</v>
      </c>
    </row>
    <row r="3125" spans="1:6">
      <c r="A3125" s="210">
        <v>303112000</v>
      </c>
      <c r="B3125" s="202" t="s">
        <v>5157</v>
      </c>
      <c r="C3125" s="203" t="s">
        <v>2143</v>
      </c>
      <c r="D3125" s="204">
        <v>1</v>
      </c>
      <c r="E3125" s="204" t="s">
        <v>2158</v>
      </c>
      <c r="F3125" s="205">
        <v>1825.0043976476538</v>
      </c>
    </row>
    <row r="3126" spans="1:6">
      <c r="A3126" s="210">
        <v>303113000</v>
      </c>
      <c r="B3126" s="202" t="s">
        <v>5159</v>
      </c>
      <c r="C3126" s="203" t="s">
        <v>2143</v>
      </c>
      <c r="D3126" s="204">
        <v>1</v>
      </c>
      <c r="E3126" s="204" t="s">
        <v>2158</v>
      </c>
      <c r="F3126" s="205">
        <v>434.03997393438772</v>
      </c>
    </row>
    <row r="3127" spans="1:6">
      <c r="A3127" s="210">
        <v>303114000</v>
      </c>
      <c r="B3127" s="202" t="s">
        <v>5161</v>
      </c>
      <c r="C3127" s="203" t="s">
        <v>2143</v>
      </c>
      <c r="D3127" s="204">
        <v>1</v>
      </c>
      <c r="E3127" s="204" t="s">
        <v>2158</v>
      </c>
      <c r="F3127" s="205">
        <v>486.43180735664004</v>
      </c>
    </row>
    <row r="3128" spans="1:6">
      <c r="A3128" s="210">
        <v>303115000</v>
      </c>
      <c r="B3128" s="202" t="s">
        <v>5163</v>
      </c>
      <c r="C3128" s="203" t="s">
        <v>2143</v>
      </c>
      <c r="D3128" s="204">
        <v>1</v>
      </c>
      <c r="E3128" s="204" t="s">
        <v>2158</v>
      </c>
      <c r="F3128" s="205">
        <v>5569.5478291337367</v>
      </c>
    </row>
    <row r="3129" spans="1:6">
      <c r="A3129" s="210">
        <v>303116000</v>
      </c>
      <c r="B3129" s="202" t="s">
        <v>5165</v>
      </c>
      <c r="C3129" s="203" t="s">
        <v>2143</v>
      </c>
      <c r="D3129" s="204">
        <v>1</v>
      </c>
      <c r="E3129" s="204" t="s">
        <v>2158</v>
      </c>
      <c r="F3129" s="205">
        <v>1535.4457563572118</v>
      </c>
    </row>
    <row r="3130" spans="1:6">
      <c r="A3130" s="210">
        <v>303117000</v>
      </c>
      <c r="B3130" s="202" t="s">
        <v>6230</v>
      </c>
      <c r="C3130" s="203" t="s">
        <v>2143</v>
      </c>
      <c r="D3130" s="204">
        <v>1</v>
      </c>
      <c r="E3130" s="204" t="s">
        <v>2144</v>
      </c>
      <c r="F3130" s="205">
        <v>37814041.670871451</v>
      </c>
    </row>
    <row r="3131" spans="1:6">
      <c r="A3131" s="210">
        <v>303118000</v>
      </c>
      <c r="B3131" s="202" t="s">
        <v>6231</v>
      </c>
      <c r="C3131" s="203" t="s">
        <v>2143</v>
      </c>
      <c r="D3131" s="204">
        <v>1</v>
      </c>
      <c r="E3131" s="204" t="s">
        <v>2144</v>
      </c>
      <c r="F3131" s="205">
        <v>962789.86200160487</v>
      </c>
    </row>
    <row r="3132" spans="1:6">
      <c r="A3132" s="210">
        <v>303121000</v>
      </c>
      <c r="B3132" s="202" t="s">
        <v>6232</v>
      </c>
      <c r="C3132" s="203" t="s">
        <v>2143</v>
      </c>
      <c r="D3132" s="204">
        <v>1</v>
      </c>
      <c r="E3132" s="204" t="s">
        <v>2144</v>
      </c>
      <c r="F3132" s="205">
        <v>130057.20499482713</v>
      </c>
    </row>
    <row r="3133" spans="1:6">
      <c r="A3133" s="210">
        <v>303122000</v>
      </c>
      <c r="B3133" s="202" t="s">
        <v>1878</v>
      </c>
      <c r="C3133" s="203" t="s">
        <v>2143</v>
      </c>
      <c r="D3133" s="204">
        <v>1</v>
      </c>
      <c r="E3133" s="204" t="s">
        <v>2013</v>
      </c>
      <c r="F3133" s="205">
        <v>9.5809631002461131E-3</v>
      </c>
    </row>
    <row r="3134" spans="1:6">
      <c r="A3134" s="210">
        <v>303126000</v>
      </c>
      <c r="B3134" s="202" t="s">
        <v>6233</v>
      </c>
      <c r="C3134" s="203" t="s">
        <v>2143</v>
      </c>
      <c r="D3134" s="204">
        <v>1</v>
      </c>
      <c r="E3134" s="204" t="s">
        <v>2013</v>
      </c>
      <c r="F3134" s="205">
        <v>7.8962895046396329E-3</v>
      </c>
    </row>
    <row r="3135" spans="1:6">
      <c r="A3135" s="210">
        <v>303200000</v>
      </c>
      <c r="B3135" s="202" t="s">
        <v>6234</v>
      </c>
      <c r="C3135" s="203" t="s">
        <v>2143</v>
      </c>
      <c r="D3135" s="204">
        <v>1</v>
      </c>
      <c r="E3135" s="204" t="s">
        <v>2013</v>
      </c>
      <c r="F3135" s="205">
        <v>4.7859387346133337E-3</v>
      </c>
    </row>
    <row r="3136" spans="1:6">
      <c r="A3136" s="210">
        <v>303211000</v>
      </c>
      <c r="B3136" s="202" t="s">
        <v>1879</v>
      </c>
      <c r="C3136" s="203" t="s">
        <v>2143</v>
      </c>
      <c r="D3136" s="204">
        <v>1</v>
      </c>
      <c r="E3136" s="204" t="s">
        <v>2013</v>
      </c>
      <c r="F3136" s="205">
        <v>4.7859387346133337E-3</v>
      </c>
    </row>
    <row r="3137" spans="1:6">
      <c r="A3137" s="210">
        <v>303300000</v>
      </c>
      <c r="B3137" s="202" t="s">
        <v>6235</v>
      </c>
      <c r="C3137" s="203" t="s">
        <v>2143</v>
      </c>
      <c r="D3137" s="204">
        <v>1</v>
      </c>
      <c r="E3137" s="204" t="s">
        <v>2144</v>
      </c>
      <c r="F3137" s="205">
        <v>7404.0831453839319</v>
      </c>
    </row>
    <row r="3138" spans="1:6">
      <c r="A3138" s="210">
        <v>303311000</v>
      </c>
      <c r="B3138" s="202" t="s">
        <v>6236</v>
      </c>
      <c r="C3138" s="203" t="s">
        <v>2143</v>
      </c>
      <c r="D3138" s="204">
        <v>1</v>
      </c>
      <c r="E3138" s="204" t="s">
        <v>2144</v>
      </c>
      <c r="F3138" s="205">
        <v>3005.1768261959646</v>
      </c>
    </row>
    <row r="3139" spans="1:6">
      <c r="A3139" s="210">
        <v>303312000</v>
      </c>
      <c r="B3139" s="202" t="s">
        <v>6237</v>
      </c>
      <c r="C3139" s="203" t="s">
        <v>2143</v>
      </c>
      <c r="D3139" s="204">
        <v>1</v>
      </c>
      <c r="E3139" s="204" t="s">
        <v>2144</v>
      </c>
      <c r="F3139" s="205">
        <v>8166.5250605658221</v>
      </c>
    </row>
    <row r="3140" spans="1:6">
      <c r="A3140" s="210">
        <v>303400000</v>
      </c>
      <c r="B3140" s="202" t="s">
        <v>6238</v>
      </c>
      <c r="C3140" s="203" t="s">
        <v>2143</v>
      </c>
      <c r="D3140" s="204">
        <v>1</v>
      </c>
      <c r="E3140" s="204" t="s">
        <v>2013</v>
      </c>
      <c r="F3140" s="205">
        <v>2.3771366020191344E-3</v>
      </c>
    </row>
    <row r="3141" spans="1:6">
      <c r="A3141" s="210">
        <v>303411000</v>
      </c>
      <c r="B3141" s="202" t="s">
        <v>1880</v>
      </c>
      <c r="C3141" s="203" t="s">
        <v>2143</v>
      </c>
      <c r="D3141" s="204">
        <v>1</v>
      </c>
      <c r="E3141" s="204" t="s">
        <v>2144</v>
      </c>
      <c r="F3141" s="205">
        <v>28512.225485278424</v>
      </c>
    </row>
    <row r="3142" spans="1:6">
      <c r="A3142" s="210">
        <v>303419000</v>
      </c>
      <c r="B3142" s="202" t="s">
        <v>1881</v>
      </c>
      <c r="C3142" s="203" t="s">
        <v>2143</v>
      </c>
      <c r="D3142" s="204">
        <v>1</v>
      </c>
      <c r="E3142" s="204" t="s">
        <v>2013</v>
      </c>
      <c r="F3142" s="205">
        <v>3.1429571317514301E-3</v>
      </c>
    </row>
    <row r="3143" spans="1:6">
      <c r="A3143" s="210">
        <v>304100000</v>
      </c>
      <c r="B3143" s="202" t="s">
        <v>5180</v>
      </c>
      <c r="C3143" s="203" t="s">
        <v>2143</v>
      </c>
      <c r="D3143" s="204">
        <v>1</v>
      </c>
      <c r="E3143" s="204" t="s">
        <v>2144</v>
      </c>
      <c r="F3143" s="205">
        <v>1466006.3628280833</v>
      </c>
    </row>
    <row r="3144" spans="1:6">
      <c r="A3144" s="210">
        <v>304111000</v>
      </c>
      <c r="B3144" s="202" t="s">
        <v>1883</v>
      </c>
      <c r="C3144" s="203" t="s">
        <v>2143</v>
      </c>
      <c r="D3144" s="204">
        <v>1</v>
      </c>
      <c r="E3144" s="204" t="s">
        <v>2144</v>
      </c>
      <c r="F3144" s="205">
        <v>2521006.6903257221</v>
      </c>
    </row>
    <row r="3145" spans="1:6">
      <c r="A3145" s="210">
        <v>304112000</v>
      </c>
      <c r="B3145" s="202" t="s">
        <v>1884</v>
      </c>
      <c r="C3145" s="203" t="s">
        <v>2143</v>
      </c>
      <c r="D3145" s="204">
        <v>1</v>
      </c>
      <c r="E3145" s="204" t="s">
        <v>2144</v>
      </c>
      <c r="F3145" s="205">
        <v>966269.20631489565</v>
      </c>
    </row>
    <row r="3146" spans="1:6">
      <c r="A3146" s="210">
        <v>304200000</v>
      </c>
      <c r="B3146" s="202" t="s">
        <v>5184</v>
      </c>
      <c r="C3146" s="203" t="s">
        <v>2143</v>
      </c>
      <c r="D3146" s="204">
        <v>1</v>
      </c>
      <c r="E3146" s="204" t="s">
        <v>2144</v>
      </c>
      <c r="F3146" s="205">
        <v>199820.12453203404</v>
      </c>
    </row>
    <row r="3147" spans="1:6">
      <c r="A3147" s="210">
        <v>304211000</v>
      </c>
      <c r="B3147" s="202" t="s">
        <v>1885</v>
      </c>
      <c r="C3147" s="203" t="s">
        <v>2143</v>
      </c>
      <c r="D3147" s="204">
        <v>1</v>
      </c>
      <c r="E3147" s="204" t="s">
        <v>2144</v>
      </c>
      <c r="F3147" s="205">
        <v>199820.12453203404</v>
      </c>
    </row>
    <row r="3148" spans="1:6">
      <c r="A3148" s="210">
        <v>304900000</v>
      </c>
      <c r="B3148" s="202" t="s">
        <v>6239</v>
      </c>
      <c r="C3148" s="203" t="s">
        <v>2143</v>
      </c>
      <c r="D3148" s="204">
        <v>1</v>
      </c>
      <c r="E3148" s="204" t="s">
        <v>2013</v>
      </c>
      <c r="F3148" s="205">
        <v>5.8233404148702681E-4</v>
      </c>
    </row>
    <row r="3149" spans="1:6">
      <c r="A3149" s="210">
        <v>304919000</v>
      </c>
      <c r="B3149" s="202" t="s">
        <v>1886</v>
      </c>
      <c r="C3149" s="203" t="s">
        <v>2143</v>
      </c>
      <c r="D3149" s="204">
        <v>1</v>
      </c>
      <c r="E3149" s="204" t="s">
        <v>2013</v>
      </c>
      <c r="F3149" s="205">
        <v>5.8233404148702681E-4</v>
      </c>
    </row>
    <row r="3150" spans="1:6">
      <c r="A3150" s="210">
        <v>305100000</v>
      </c>
      <c r="B3150" s="202" t="s">
        <v>5187</v>
      </c>
      <c r="C3150" s="203" t="s">
        <v>2143</v>
      </c>
      <c r="D3150" s="204">
        <v>1</v>
      </c>
      <c r="E3150" s="204" t="s">
        <v>2144</v>
      </c>
      <c r="F3150" s="205">
        <v>5132.8834347895709</v>
      </c>
    </row>
    <row r="3151" spans="1:6">
      <c r="A3151" s="210">
        <v>305111000</v>
      </c>
      <c r="B3151" s="202" t="s">
        <v>1887</v>
      </c>
      <c r="C3151" s="203" t="s">
        <v>2143</v>
      </c>
      <c r="D3151" s="204">
        <v>1</v>
      </c>
      <c r="E3151" s="204" t="s">
        <v>2144</v>
      </c>
      <c r="F3151" s="205">
        <v>5132.8834347895709</v>
      </c>
    </row>
    <row r="3152" spans="1:6">
      <c r="A3152" s="210">
        <v>305900000</v>
      </c>
      <c r="B3152" s="202" t="s">
        <v>6240</v>
      </c>
      <c r="C3152" s="203" t="s">
        <v>2143</v>
      </c>
      <c r="D3152" s="204">
        <v>1</v>
      </c>
      <c r="E3152" s="204" t="s">
        <v>2013</v>
      </c>
      <c r="F3152" s="205">
        <v>3.9285645917087999E-3</v>
      </c>
    </row>
    <row r="3153" spans="1:6">
      <c r="A3153" s="210">
        <v>305911000</v>
      </c>
      <c r="B3153" s="202" t="s">
        <v>5190</v>
      </c>
      <c r="C3153" s="203" t="s">
        <v>2143</v>
      </c>
      <c r="D3153" s="204">
        <v>1</v>
      </c>
      <c r="E3153" s="204" t="s">
        <v>2144</v>
      </c>
      <c r="F3153" s="205">
        <v>3442.1351714622583</v>
      </c>
    </row>
    <row r="3154" spans="1:6">
      <c r="A3154" s="210">
        <v>305919000</v>
      </c>
      <c r="B3154" s="202" t="s">
        <v>1888</v>
      </c>
      <c r="C3154" s="203" t="s">
        <v>2143</v>
      </c>
      <c r="D3154" s="204">
        <v>1</v>
      </c>
      <c r="E3154" s="204" t="s">
        <v>2013</v>
      </c>
      <c r="F3154" s="205">
        <v>4.1062791693248883E-3</v>
      </c>
    </row>
    <row r="3155" spans="1:6">
      <c r="A3155" s="210">
        <v>309100000</v>
      </c>
      <c r="B3155" s="202" t="s">
        <v>6241</v>
      </c>
      <c r="C3155" s="203" t="s">
        <v>2143</v>
      </c>
      <c r="D3155" s="204">
        <v>1</v>
      </c>
      <c r="E3155" s="204" t="s">
        <v>2013</v>
      </c>
      <c r="F3155" s="205">
        <v>4.1911540312816048E-3</v>
      </c>
    </row>
    <row r="3156" spans="1:6">
      <c r="A3156" s="210">
        <v>309111000</v>
      </c>
      <c r="B3156" s="202" t="s">
        <v>5192</v>
      </c>
      <c r="C3156" s="203" t="s">
        <v>2143</v>
      </c>
      <c r="D3156" s="204">
        <v>1</v>
      </c>
      <c r="E3156" s="204" t="s">
        <v>2144</v>
      </c>
      <c r="F3156" s="205">
        <v>70.680648476158495</v>
      </c>
    </row>
    <row r="3157" spans="1:6">
      <c r="A3157" s="210">
        <v>309112000</v>
      </c>
      <c r="B3157" s="202" t="s">
        <v>1889</v>
      </c>
      <c r="C3157" s="203" t="s">
        <v>2143</v>
      </c>
      <c r="D3157" s="204">
        <v>1</v>
      </c>
      <c r="E3157" s="204" t="s">
        <v>2144</v>
      </c>
      <c r="F3157" s="205">
        <v>52.662182393219325</v>
      </c>
    </row>
    <row r="3158" spans="1:6">
      <c r="A3158" s="210">
        <v>309113000</v>
      </c>
      <c r="B3158" s="202" t="s">
        <v>5195</v>
      </c>
      <c r="C3158" s="203" t="s">
        <v>2143</v>
      </c>
      <c r="D3158" s="204">
        <v>1</v>
      </c>
      <c r="E3158" s="204" t="s">
        <v>2144</v>
      </c>
      <c r="F3158" s="205">
        <v>98.381655623241841</v>
      </c>
    </row>
    <row r="3159" spans="1:6">
      <c r="A3159" s="210">
        <v>309114000</v>
      </c>
      <c r="B3159" s="202" t="s">
        <v>5197</v>
      </c>
      <c r="C3159" s="203" t="s">
        <v>2143</v>
      </c>
      <c r="D3159" s="204">
        <v>1</v>
      </c>
      <c r="E3159" s="204" t="s">
        <v>2144</v>
      </c>
      <c r="F3159" s="205">
        <v>51.046869287269097</v>
      </c>
    </row>
    <row r="3160" spans="1:6">
      <c r="A3160" s="210">
        <v>309115000</v>
      </c>
      <c r="B3160" s="202" t="s">
        <v>5199</v>
      </c>
      <c r="C3160" s="203" t="s">
        <v>2143</v>
      </c>
      <c r="D3160" s="204">
        <v>1</v>
      </c>
      <c r="E3160" s="204" t="s">
        <v>2144</v>
      </c>
      <c r="F3160" s="205">
        <v>27.80485859807515</v>
      </c>
    </row>
    <row r="3161" spans="1:6">
      <c r="A3161" s="210">
        <v>309116000</v>
      </c>
      <c r="B3161" s="202" t="s">
        <v>1890</v>
      </c>
      <c r="C3161" s="203" t="s">
        <v>2143</v>
      </c>
      <c r="D3161" s="204">
        <v>1</v>
      </c>
      <c r="E3161" s="204" t="s">
        <v>2013</v>
      </c>
      <c r="F3161" s="205">
        <v>5.2328874250881507E-3</v>
      </c>
    </row>
    <row r="3162" spans="1:6">
      <c r="A3162" s="210">
        <v>309900000</v>
      </c>
      <c r="B3162" s="202" t="s">
        <v>6242</v>
      </c>
      <c r="C3162" s="203" t="s">
        <v>2143</v>
      </c>
      <c r="D3162" s="204">
        <v>1</v>
      </c>
      <c r="E3162" s="204" t="s">
        <v>2013</v>
      </c>
      <c r="F3162" s="205">
        <v>3.9840395098802994E-3</v>
      </c>
    </row>
    <row r="3163" spans="1:6">
      <c r="A3163" s="210">
        <v>309911000</v>
      </c>
      <c r="B3163" s="202" t="s">
        <v>1891</v>
      </c>
      <c r="C3163" s="203" t="s">
        <v>2143</v>
      </c>
      <c r="D3163" s="204">
        <v>1</v>
      </c>
      <c r="E3163" s="204" t="s">
        <v>2013</v>
      </c>
      <c r="F3163" s="205">
        <v>4.2958917342137137E-3</v>
      </c>
    </row>
    <row r="3164" spans="1:6">
      <c r="A3164" s="210">
        <v>309919000</v>
      </c>
      <c r="B3164" s="202" t="s">
        <v>1892</v>
      </c>
      <c r="C3164" s="203" t="s">
        <v>2143</v>
      </c>
      <c r="D3164" s="204">
        <v>1</v>
      </c>
      <c r="E3164" s="204" t="s">
        <v>2013</v>
      </c>
      <c r="F3164" s="205">
        <v>3.621515521220614E-3</v>
      </c>
    </row>
    <row r="3165" spans="1:6">
      <c r="A3165" s="210">
        <v>311100000</v>
      </c>
      <c r="B3165" s="202" t="s">
        <v>6243</v>
      </c>
      <c r="C3165" s="203" t="s">
        <v>2143</v>
      </c>
      <c r="D3165" s="204">
        <v>1</v>
      </c>
      <c r="E3165" s="204" t="s">
        <v>2013</v>
      </c>
      <c r="F3165" s="205">
        <v>3.6323110647442855E-3</v>
      </c>
    </row>
    <row r="3166" spans="1:6">
      <c r="A3166" s="210">
        <v>311111000</v>
      </c>
      <c r="B3166" s="202" t="s">
        <v>1688</v>
      </c>
      <c r="C3166" s="203" t="s">
        <v>2143</v>
      </c>
      <c r="D3166" s="204">
        <v>1</v>
      </c>
      <c r="E3166" s="204" t="s">
        <v>2013</v>
      </c>
      <c r="F3166" s="205">
        <v>3.6323110647442855E-3</v>
      </c>
    </row>
    <row r="3167" spans="1:6">
      <c r="A3167" s="210">
        <v>311200000</v>
      </c>
      <c r="B3167" s="202" t="s">
        <v>5201</v>
      </c>
      <c r="C3167" s="203" t="s">
        <v>2143</v>
      </c>
      <c r="D3167" s="204">
        <v>1</v>
      </c>
      <c r="E3167" s="204" t="s">
        <v>2013</v>
      </c>
      <c r="F3167" s="205">
        <v>1.7605188274462079E-3</v>
      </c>
    </row>
    <row r="3168" spans="1:6">
      <c r="A3168" s="210">
        <v>311211000</v>
      </c>
      <c r="B3168" s="202" t="s">
        <v>1689</v>
      </c>
      <c r="C3168" s="203" t="s">
        <v>2143</v>
      </c>
      <c r="D3168" s="204">
        <v>1</v>
      </c>
      <c r="E3168" s="204" t="s">
        <v>2144</v>
      </c>
      <c r="F3168" s="205">
        <v>14.732408794502071</v>
      </c>
    </row>
    <row r="3169" spans="1:6">
      <c r="A3169" s="210">
        <v>311219000</v>
      </c>
      <c r="B3169" s="202" t="s">
        <v>1690</v>
      </c>
      <c r="C3169" s="203" t="s">
        <v>2143</v>
      </c>
      <c r="D3169" s="204">
        <v>1</v>
      </c>
      <c r="E3169" s="204" t="s">
        <v>2013</v>
      </c>
      <c r="F3169" s="205">
        <v>2.5427401664059809E-3</v>
      </c>
    </row>
    <row r="3170" spans="1:6">
      <c r="A3170" s="210">
        <v>311300000</v>
      </c>
      <c r="B3170" s="202" t="s">
        <v>6244</v>
      </c>
      <c r="C3170" s="203" t="s">
        <v>2143</v>
      </c>
      <c r="D3170" s="204">
        <v>1</v>
      </c>
      <c r="E3170" s="204" t="s">
        <v>2013</v>
      </c>
      <c r="F3170" s="205">
        <v>2.3415765327781599E-3</v>
      </c>
    </row>
    <row r="3171" spans="1:6">
      <c r="A3171" s="210">
        <v>311311000</v>
      </c>
      <c r="B3171" s="202" t="s">
        <v>1691</v>
      </c>
      <c r="C3171" s="203" t="s">
        <v>2143</v>
      </c>
      <c r="D3171" s="204">
        <v>1</v>
      </c>
      <c r="E3171" s="204" t="s">
        <v>2013</v>
      </c>
      <c r="F3171" s="205">
        <v>2.3415765327781599E-3</v>
      </c>
    </row>
    <row r="3172" spans="1:6">
      <c r="A3172" s="210">
        <v>311400000</v>
      </c>
      <c r="B3172" s="202" t="s">
        <v>6245</v>
      </c>
      <c r="C3172" s="203" t="s">
        <v>2143</v>
      </c>
      <c r="D3172" s="204">
        <v>1</v>
      </c>
      <c r="E3172" s="204" t="s">
        <v>2013</v>
      </c>
      <c r="F3172" s="205">
        <v>2.2879595137665423E-3</v>
      </c>
    </row>
    <row r="3173" spans="1:6">
      <c r="A3173" s="210">
        <v>311411000</v>
      </c>
      <c r="B3173" s="202" t="s">
        <v>1692</v>
      </c>
      <c r="C3173" s="203" t="s">
        <v>2143</v>
      </c>
      <c r="D3173" s="204">
        <v>1</v>
      </c>
      <c r="E3173" s="204" t="s">
        <v>2013</v>
      </c>
      <c r="F3173" s="205">
        <v>2.3102777339174263E-3</v>
      </c>
    </row>
    <row r="3174" spans="1:6">
      <c r="A3174" s="210">
        <v>311412000</v>
      </c>
      <c r="B3174" s="202" t="s">
        <v>1893</v>
      </c>
      <c r="C3174" s="203" t="s">
        <v>2143</v>
      </c>
      <c r="D3174" s="204">
        <v>1</v>
      </c>
      <c r="E3174" s="204" t="s">
        <v>2013</v>
      </c>
      <c r="F3174" s="205">
        <v>2.303210793746166E-3</v>
      </c>
    </row>
    <row r="3175" spans="1:6">
      <c r="A3175" s="210">
        <v>311413000</v>
      </c>
      <c r="B3175" s="202" t="s">
        <v>1894</v>
      </c>
      <c r="C3175" s="203" t="s">
        <v>2143</v>
      </c>
      <c r="D3175" s="204">
        <v>1</v>
      </c>
      <c r="E3175" s="204" t="s">
        <v>2013</v>
      </c>
      <c r="F3175" s="205">
        <v>2.270917091063706E-3</v>
      </c>
    </row>
    <row r="3176" spans="1:6">
      <c r="A3176" s="210">
        <v>311414000</v>
      </c>
      <c r="B3176" s="202" t="s">
        <v>6246</v>
      </c>
      <c r="C3176" s="203" t="s">
        <v>2143</v>
      </c>
      <c r="D3176" s="204">
        <v>1</v>
      </c>
      <c r="E3176" s="204" t="s">
        <v>2013</v>
      </c>
      <c r="F3176" s="205">
        <v>2.2949447053917278E-3</v>
      </c>
    </row>
    <row r="3177" spans="1:6">
      <c r="A3177" s="210">
        <v>311500000</v>
      </c>
      <c r="B3177" s="202" t="s">
        <v>5205</v>
      </c>
      <c r="C3177" s="203" t="s">
        <v>2143</v>
      </c>
      <c r="D3177" s="204">
        <v>1</v>
      </c>
      <c r="E3177" s="204" t="s">
        <v>2013</v>
      </c>
      <c r="F3177" s="205">
        <v>2.1869413821674032E-3</v>
      </c>
    </row>
    <row r="3178" spans="1:6">
      <c r="A3178" s="210">
        <v>311511000</v>
      </c>
      <c r="B3178" s="202" t="s">
        <v>1895</v>
      </c>
      <c r="C3178" s="203" t="s">
        <v>2143</v>
      </c>
      <c r="D3178" s="204">
        <v>1</v>
      </c>
      <c r="E3178" s="204" t="s">
        <v>2013</v>
      </c>
      <c r="F3178" s="205">
        <v>2.4725140506551557E-3</v>
      </c>
    </row>
    <row r="3179" spans="1:6">
      <c r="A3179" s="210">
        <v>311512000</v>
      </c>
      <c r="B3179" s="202" t="s">
        <v>1896</v>
      </c>
      <c r="C3179" s="203" t="s">
        <v>2143</v>
      </c>
      <c r="D3179" s="204">
        <v>1</v>
      </c>
      <c r="E3179" s="204" t="s">
        <v>2144</v>
      </c>
      <c r="F3179" s="205">
        <v>429.99427597027716</v>
      </c>
    </row>
    <row r="3180" spans="1:6">
      <c r="A3180" s="210">
        <v>311600000</v>
      </c>
      <c r="B3180" s="202" t="s">
        <v>5209</v>
      </c>
      <c r="C3180" s="203" t="s">
        <v>2143</v>
      </c>
      <c r="D3180" s="204">
        <v>1</v>
      </c>
      <c r="E3180" s="204" t="s">
        <v>2013</v>
      </c>
      <c r="F3180" s="205">
        <v>4.8229267929041225E-3</v>
      </c>
    </row>
    <row r="3181" spans="1:6">
      <c r="A3181" s="210">
        <v>311611000</v>
      </c>
      <c r="B3181" s="202" t="s">
        <v>1897</v>
      </c>
      <c r="C3181" s="203" t="s">
        <v>2143</v>
      </c>
      <c r="D3181" s="204">
        <v>1</v>
      </c>
      <c r="E3181" s="204" t="s">
        <v>2144</v>
      </c>
      <c r="F3181" s="205">
        <v>670.52338722006789</v>
      </c>
    </row>
    <row r="3182" spans="1:6">
      <c r="A3182" s="210">
        <v>311619000</v>
      </c>
      <c r="B3182" s="202" t="s">
        <v>1898</v>
      </c>
      <c r="C3182" s="203" t="s">
        <v>2143</v>
      </c>
      <c r="D3182" s="204">
        <v>1</v>
      </c>
      <c r="E3182" s="204" t="s">
        <v>2013</v>
      </c>
      <c r="F3182" s="205">
        <v>5.4892142374738523E-3</v>
      </c>
    </row>
    <row r="3183" spans="1:6">
      <c r="A3183" s="210">
        <v>311700000</v>
      </c>
      <c r="B3183" s="202" t="s">
        <v>5213</v>
      </c>
      <c r="C3183" s="203" t="s">
        <v>2143</v>
      </c>
      <c r="D3183" s="204">
        <v>1</v>
      </c>
      <c r="E3183" s="204" t="s">
        <v>2013</v>
      </c>
      <c r="F3183" s="205">
        <v>2.123667467699996E-3</v>
      </c>
    </row>
    <row r="3184" spans="1:6">
      <c r="A3184" s="210">
        <v>311711000</v>
      </c>
      <c r="B3184" s="202" t="s">
        <v>1899</v>
      </c>
      <c r="C3184" s="203" t="s">
        <v>2143</v>
      </c>
      <c r="D3184" s="204">
        <v>1</v>
      </c>
      <c r="E3184" s="204" t="s">
        <v>2144</v>
      </c>
      <c r="F3184" s="205">
        <v>5856.1261402558448</v>
      </c>
    </row>
    <row r="3185" spans="1:6">
      <c r="A3185" s="210">
        <v>311719000</v>
      </c>
      <c r="B3185" s="202" t="s">
        <v>1900</v>
      </c>
      <c r="C3185" s="203" t="s">
        <v>2143</v>
      </c>
      <c r="D3185" s="204">
        <v>1</v>
      </c>
      <c r="E3185" s="204" t="s">
        <v>2013</v>
      </c>
      <c r="F3185" s="205">
        <v>2.2904539728999355E-3</v>
      </c>
    </row>
    <row r="3186" spans="1:6">
      <c r="A3186" s="210">
        <v>311900000</v>
      </c>
      <c r="B3186" s="202" t="s">
        <v>6247</v>
      </c>
      <c r="C3186" s="203" t="s">
        <v>2143</v>
      </c>
      <c r="D3186" s="204">
        <v>1</v>
      </c>
      <c r="E3186" s="204" t="s">
        <v>2013</v>
      </c>
      <c r="F3186" s="205">
        <v>2.5336979574526394E-3</v>
      </c>
    </row>
    <row r="3187" spans="1:6">
      <c r="A3187" s="210">
        <v>311911000</v>
      </c>
      <c r="B3187" s="202" t="s">
        <v>1901</v>
      </c>
      <c r="C3187" s="203" t="s">
        <v>2143</v>
      </c>
      <c r="D3187" s="204">
        <v>1</v>
      </c>
      <c r="E3187" s="204" t="s">
        <v>2013</v>
      </c>
      <c r="F3187" s="205">
        <v>2.8367072189809522E-3</v>
      </c>
    </row>
    <row r="3188" spans="1:6">
      <c r="A3188" s="210">
        <v>311912000</v>
      </c>
      <c r="B3188" s="202" t="s">
        <v>1902</v>
      </c>
      <c r="C3188" s="203" t="s">
        <v>2143</v>
      </c>
      <c r="D3188" s="204">
        <v>1</v>
      </c>
      <c r="E3188" s="204" t="s">
        <v>2013</v>
      </c>
      <c r="F3188" s="205">
        <v>2.5182701501562377E-3</v>
      </c>
    </row>
    <row r="3189" spans="1:6">
      <c r="A3189" s="210">
        <v>311919000</v>
      </c>
      <c r="B3189" s="202" t="s">
        <v>1903</v>
      </c>
      <c r="C3189" s="203" t="s">
        <v>2143</v>
      </c>
      <c r="D3189" s="204">
        <v>1</v>
      </c>
      <c r="E3189" s="204" t="s">
        <v>2013</v>
      </c>
      <c r="F3189" s="205">
        <v>2.5011639783452042E-3</v>
      </c>
    </row>
    <row r="3190" spans="1:6">
      <c r="A3190" s="210">
        <v>311921000</v>
      </c>
      <c r="B3190" s="202" t="s">
        <v>6248</v>
      </c>
      <c r="C3190" s="203" t="s">
        <v>2143</v>
      </c>
      <c r="D3190" s="204">
        <v>1</v>
      </c>
      <c r="E3190" s="204" t="s">
        <v>2013</v>
      </c>
      <c r="F3190" s="205">
        <v>3.4703525358277501E-3</v>
      </c>
    </row>
    <row r="3191" spans="1:6">
      <c r="A3191" s="210">
        <v>312100000</v>
      </c>
      <c r="B3191" s="202" t="s">
        <v>6249</v>
      </c>
      <c r="C3191" s="203" t="s">
        <v>2143</v>
      </c>
      <c r="D3191" s="204">
        <v>1</v>
      </c>
      <c r="E3191" s="204" t="s">
        <v>2013</v>
      </c>
      <c r="F3191" s="205">
        <v>2.6290703856452907E-3</v>
      </c>
    </row>
    <row r="3192" spans="1:6">
      <c r="A3192" s="210">
        <v>312111000</v>
      </c>
      <c r="B3192" s="202" t="s">
        <v>6250</v>
      </c>
      <c r="C3192" s="203" t="s">
        <v>2143</v>
      </c>
      <c r="D3192" s="204">
        <v>1</v>
      </c>
      <c r="E3192" s="204" t="s">
        <v>2013</v>
      </c>
      <c r="F3192" s="205">
        <v>2.4941171853719094E-3</v>
      </c>
    </row>
    <row r="3193" spans="1:6">
      <c r="A3193" s="210">
        <v>312119000</v>
      </c>
      <c r="B3193" s="202" t="s">
        <v>1904</v>
      </c>
      <c r="C3193" s="203" t="s">
        <v>2143</v>
      </c>
      <c r="D3193" s="204">
        <v>1</v>
      </c>
      <c r="E3193" s="204" t="s">
        <v>2013</v>
      </c>
      <c r="F3193" s="205">
        <v>2.6817782013579747E-3</v>
      </c>
    </row>
    <row r="3194" spans="1:6">
      <c r="A3194" s="210">
        <v>313100000</v>
      </c>
      <c r="B3194" s="202" t="s">
        <v>6251</v>
      </c>
      <c r="C3194" s="203" t="s">
        <v>2143</v>
      </c>
      <c r="D3194" s="204">
        <v>1</v>
      </c>
      <c r="E3194" s="204" t="s">
        <v>2013</v>
      </c>
      <c r="F3194" s="205">
        <v>2.1228398814757618E-3</v>
      </c>
    </row>
    <row r="3195" spans="1:6">
      <c r="A3195" s="210">
        <v>313111000</v>
      </c>
      <c r="B3195" s="202" t="s">
        <v>6252</v>
      </c>
      <c r="C3195" s="203" t="s">
        <v>2143</v>
      </c>
      <c r="D3195" s="204">
        <v>1</v>
      </c>
      <c r="E3195" s="204" t="s">
        <v>2013</v>
      </c>
      <c r="F3195" s="205">
        <v>2.1125595330330343E-3</v>
      </c>
    </row>
    <row r="3196" spans="1:6">
      <c r="A3196" s="210">
        <v>313112000</v>
      </c>
      <c r="B3196" s="202" t="s">
        <v>6253</v>
      </c>
      <c r="C3196" s="203" t="s">
        <v>2143</v>
      </c>
      <c r="D3196" s="204">
        <v>1</v>
      </c>
      <c r="E3196" s="204" t="s">
        <v>2013</v>
      </c>
      <c r="F3196" s="205">
        <v>2.2478348938400096E-3</v>
      </c>
    </row>
    <row r="3197" spans="1:6">
      <c r="A3197" s="210">
        <v>313200000</v>
      </c>
      <c r="B3197" s="202" t="s">
        <v>6254</v>
      </c>
      <c r="C3197" s="203" t="s">
        <v>2143</v>
      </c>
      <c r="D3197" s="204">
        <v>1</v>
      </c>
      <c r="E3197" s="204" t="s">
        <v>2013</v>
      </c>
      <c r="F3197" s="205">
        <v>1.8436639818702246E-3</v>
      </c>
    </row>
    <row r="3198" spans="1:6">
      <c r="A3198" s="210">
        <v>313211000</v>
      </c>
      <c r="B3198" s="202" t="s">
        <v>1905</v>
      </c>
      <c r="C3198" s="203" t="s">
        <v>2143</v>
      </c>
      <c r="D3198" s="204">
        <v>1</v>
      </c>
      <c r="E3198" s="204" t="s">
        <v>2013</v>
      </c>
      <c r="F3198" s="205">
        <v>1.8436639818702246E-3</v>
      </c>
    </row>
    <row r="3199" spans="1:6">
      <c r="A3199" s="210">
        <v>313300000</v>
      </c>
      <c r="B3199" s="202" t="s">
        <v>6255</v>
      </c>
      <c r="C3199" s="203" t="s">
        <v>2143</v>
      </c>
      <c r="D3199" s="204">
        <v>1</v>
      </c>
      <c r="E3199" s="204" t="s">
        <v>2013</v>
      </c>
      <c r="F3199" s="205">
        <v>4.0333140043492819E-3</v>
      </c>
    </row>
    <row r="3200" spans="1:6">
      <c r="A3200" s="210">
        <v>313311000</v>
      </c>
      <c r="B3200" s="202" t="s">
        <v>1906</v>
      </c>
      <c r="C3200" s="203" t="s">
        <v>2143</v>
      </c>
      <c r="D3200" s="204">
        <v>1</v>
      </c>
      <c r="E3200" s="204" t="s">
        <v>2013</v>
      </c>
      <c r="F3200" s="205">
        <v>4.0333140043492819E-3</v>
      </c>
    </row>
    <row r="3201" spans="1:6">
      <c r="A3201" s="210">
        <v>313400000</v>
      </c>
      <c r="B3201" s="202" t="s">
        <v>6256</v>
      </c>
      <c r="C3201" s="203" t="s">
        <v>2143</v>
      </c>
      <c r="D3201" s="204">
        <v>1</v>
      </c>
      <c r="E3201" s="204" t="s">
        <v>2013</v>
      </c>
      <c r="F3201" s="205">
        <v>4.6381875339673983E-3</v>
      </c>
    </row>
    <row r="3202" spans="1:6">
      <c r="A3202" s="210">
        <v>313411000</v>
      </c>
      <c r="B3202" s="202" t="s">
        <v>1907</v>
      </c>
      <c r="C3202" s="203" t="s">
        <v>2143</v>
      </c>
      <c r="D3202" s="204">
        <v>1</v>
      </c>
      <c r="E3202" s="204" t="s">
        <v>2013</v>
      </c>
      <c r="F3202" s="205">
        <v>4.6381875339673983E-3</v>
      </c>
    </row>
    <row r="3203" spans="1:6">
      <c r="A3203" s="210">
        <v>313500000</v>
      </c>
      <c r="B3203" s="202" t="s">
        <v>6257</v>
      </c>
      <c r="C3203" s="203" t="s">
        <v>2143</v>
      </c>
      <c r="D3203" s="204">
        <v>1</v>
      </c>
      <c r="E3203" s="204" t="s">
        <v>2013</v>
      </c>
      <c r="F3203" s="205">
        <v>2.2698411895873483E-3</v>
      </c>
    </row>
    <row r="3204" spans="1:6">
      <c r="A3204" s="210">
        <v>313511000</v>
      </c>
      <c r="B3204" s="202" t="s">
        <v>1908</v>
      </c>
      <c r="C3204" s="203" t="s">
        <v>2143</v>
      </c>
      <c r="D3204" s="204">
        <v>1</v>
      </c>
      <c r="E3204" s="204" t="s">
        <v>2013</v>
      </c>
      <c r="F3204" s="205">
        <v>2.2698411895873483E-3</v>
      </c>
    </row>
    <row r="3205" spans="1:6">
      <c r="A3205" s="210">
        <v>314100000</v>
      </c>
      <c r="B3205" s="202" t="s">
        <v>6258</v>
      </c>
      <c r="C3205" s="203" t="s">
        <v>2143</v>
      </c>
      <c r="D3205" s="204">
        <v>1</v>
      </c>
      <c r="E3205" s="204" t="s">
        <v>2013</v>
      </c>
      <c r="F3205" s="205">
        <v>3.2642837478531091E-3</v>
      </c>
    </row>
    <row r="3206" spans="1:6">
      <c r="A3206" s="210">
        <v>314111000</v>
      </c>
      <c r="B3206" s="202" t="s">
        <v>1909</v>
      </c>
      <c r="C3206" s="203" t="s">
        <v>2143</v>
      </c>
      <c r="D3206" s="204">
        <v>1</v>
      </c>
      <c r="E3206" s="204" t="s">
        <v>2013</v>
      </c>
      <c r="F3206" s="205">
        <v>3.2642837478531091E-3</v>
      </c>
    </row>
    <row r="3207" spans="1:6">
      <c r="A3207" s="210">
        <v>315100000</v>
      </c>
      <c r="B3207" s="202" t="s">
        <v>6259</v>
      </c>
      <c r="C3207" s="203" t="s">
        <v>2143</v>
      </c>
      <c r="D3207" s="204">
        <v>1</v>
      </c>
      <c r="E3207" s="204" t="s">
        <v>2013</v>
      </c>
      <c r="F3207" s="205">
        <v>3.4614185594783464E-3</v>
      </c>
    </row>
    <row r="3208" spans="1:6">
      <c r="A3208" s="210">
        <v>315111000</v>
      </c>
      <c r="B3208" s="202" t="s">
        <v>1910</v>
      </c>
      <c r="C3208" s="203" t="s">
        <v>2143</v>
      </c>
      <c r="D3208" s="204">
        <v>1</v>
      </c>
      <c r="E3208" s="204" t="s">
        <v>2013</v>
      </c>
      <c r="F3208" s="205">
        <v>3.2918286935153182E-3</v>
      </c>
    </row>
    <row r="3209" spans="1:6">
      <c r="A3209" s="210">
        <v>315112000</v>
      </c>
      <c r="B3209" s="202" t="s">
        <v>1911</v>
      </c>
      <c r="C3209" s="203" t="s">
        <v>2143</v>
      </c>
      <c r="D3209" s="204">
        <v>1</v>
      </c>
      <c r="E3209" s="204" t="s">
        <v>2144</v>
      </c>
      <c r="F3209" s="205">
        <v>22.631758899250315</v>
      </c>
    </row>
    <row r="3210" spans="1:6">
      <c r="A3210" s="210">
        <v>315113000</v>
      </c>
      <c r="B3210" s="202" t="s">
        <v>5217</v>
      </c>
      <c r="C3210" s="203" t="s">
        <v>2143</v>
      </c>
      <c r="D3210" s="204">
        <v>1</v>
      </c>
      <c r="E3210" s="204" t="s">
        <v>2144</v>
      </c>
      <c r="F3210" s="205">
        <v>233.99984994204806</v>
      </c>
    </row>
    <row r="3211" spans="1:6">
      <c r="A3211" s="210">
        <v>315200000</v>
      </c>
      <c r="B3211" s="202" t="s">
        <v>5219</v>
      </c>
      <c r="C3211" s="203" t="s">
        <v>2143</v>
      </c>
      <c r="D3211" s="204">
        <v>1</v>
      </c>
      <c r="E3211" s="204" t="s">
        <v>2013</v>
      </c>
      <c r="F3211" s="205">
        <v>1.7339376533182516E-3</v>
      </c>
    </row>
    <row r="3212" spans="1:6">
      <c r="A3212" s="210">
        <v>315211000</v>
      </c>
      <c r="B3212" s="202" t="s">
        <v>1912</v>
      </c>
      <c r="C3212" s="203" t="s">
        <v>2143</v>
      </c>
      <c r="D3212" s="204">
        <v>1</v>
      </c>
      <c r="E3212" s="204" t="s">
        <v>2144</v>
      </c>
      <c r="F3212" s="205">
        <v>28.646699001736238</v>
      </c>
    </row>
    <row r="3213" spans="1:6">
      <c r="A3213" s="210">
        <v>315212000</v>
      </c>
      <c r="B3213" s="202" t="s">
        <v>1913</v>
      </c>
      <c r="C3213" s="203" t="s">
        <v>2143</v>
      </c>
      <c r="D3213" s="204">
        <v>1</v>
      </c>
      <c r="E3213" s="204" t="s">
        <v>2144</v>
      </c>
      <c r="F3213" s="205">
        <v>301.24445758216257</v>
      </c>
    </row>
    <row r="3214" spans="1:6">
      <c r="A3214" s="210">
        <v>315213000</v>
      </c>
      <c r="B3214" s="202" t="s">
        <v>5223</v>
      </c>
      <c r="C3214" s="203" t="s">
        <v>2143</v>
      </c>
      <c r="D3214" s="204">
        <v>1</v>
      </c>
      <c r="E3214" s="204" t="s">
        <v>2013</v>
      </c>
      <c r="F3214" s="205">
        <v>1.9738752385354483E-3</v>
      </c>
    </row>
    <row r="3215" spans="1:6">
      <c r="A3215" s="210">
        <v>315214000</v>
      </c>
      <c r="B3215" s="202" t="s">
        <v>1914</v>
      </c>
      <c r="C3215" s="203" t="s">
        <v>2143</v>
      </c>
      <c r="D3215" s="204">
        <v>1</v>
      </c>
      <c r="E3215" s="204" t="s">
        <v>2144</v>
      </c>
      <c r="F3215" s="205">
        <v>4.1919834718015139</v>
      </c>
    </row>
    <row r="3216" spans="1:6">
      <c r="A3216" s="210">
        <v>315300000</v>
      </c>
      <c r="B3216" s="202" t="s">
        <v>6260</v>
      </c>
      <c r="C3216" s="203" t="s">
        <v>2143</v>
      </c>
      <c r="D3216" s="204">
        <v>1</v>
      </c>
      <c r="E3216" s="204" t="s">
        <v>2013</v>
      </c>
      <c r="F3216" s="205">
        <v>3.72640603379263E-3</v>
      </c>
    </row>
    <row r="3217" spans="1:6">
      <c r="A3217" s="210">
        <v>315311000</v>
      </c>
      <c r="B3217" s="202" t="s">
        <v>1915</v>
      </c>
      <c r="C3217" s="203" t="s">
        <v>2143</v>
      </c>
      <c r="D3217" s="204">
        <v>1</v>
      </c>
      <c r="E3217" s="204" t="s">
        <v>2013</v>
      </c>
      <c r="F3217" s="205">
        <v>3.72640603379263E-3</v>
      </c>
    </row>
    <row r="3218" spans="1:6">
      <c r="A3218" s="210">
        <v>315400000</v>
      </c>
      <c r="B3218" s="202" t="s">
        <v>6261</v>
      </c>
      <c r="C3218" s="203" t="s">
        <v>2143</v>
      </c>
      <c r="D3218" s="204">
        <v>1</v>
      </c>
      <c r="E3218" s="204" t="s">
        <v>2013</v>
      </c>
      <c r="F3218" s="205">
        <v>1.2642578666946396E-3</v>
      </c>
    </row>
    <row r="3219" spans="1:6">
      <c r="A3219" s="210">
        <v>315411000</v>
      </c>
      <c r="B3219" s="202" t="s">
        <v>1916</v>
      </c>
      <c r="C3219" s="203" t="s">
        <v>2143</v>
      </c>
      <c r="D3219" s="204">
        <v>1</v>
      </c>
      <c r="E3219" s="204" t="s">
        <v>2013</v>
      </c>
      <c r="F3219" s="205">
        <v>1.4356995692009935E-3</v>
      </c>
    </row>
    <row r="3220" spans="1:6">
      <c r="A3220" s="210">
        <v>315412000</v>
      </c>
      <c r="B3220" s="202" t="s">
        <v>1917</v>
      </c>
      <c r="C3220" s="203" t="s">
        <v>2143</v>
      </c>
      <c r="D3220" s="204">
        <v>1</v>
      </c>
      <c r="E3220" s="204" t="s">
        <v>2144</v>
      </c>
      <c r="F3220" s="205">
        <v>36.847806215599007</v>
      </c>
    </row>
    <row r="3221" spans="1:6">
      <c r="A3221" s="210">
        <v>315413000</v>
      </c>
      <c r="B3221" s="202" t="s">
        <v>1918</v>
      </c>
      <c r="C3221" s="203" t="s">
        <v>2143</v>
      </c>
      <c r="D3221" s="204">
        <v>1</v>
      </c>
      <c r="E3221" s="204" t="s">
        <v>2013</v>
      </c>
      <c r="F3221" s="205">
        <v>1.4865760154905549E-3</v>
      </c>
    </row>
    <row r="3222" spans="1:6">
      <c r="A3222" s="210">
        <v>315414000</v>
      </c>
      <c r="B3222" s="202" t="s">
        <v>1919</v>
      </c>
      <c r="C3222" s="203" t="s">
        <v>2143</v>
      </c>
      <c r="D3222" s="204">
        <v>1</v>
      </c>
      <c r="E3222" s="204" t="s">
        <v>2013</v>
      </c>
      <c r="F3222" s="205">
        <v>1.2283751116175482E-3</v>
      </c>
    </row>
    <row r="3223" spans="1:6">
      <c r="A3223" s="210">
        <v>316100000</v>
      </c>
      <c r="B3223" s="202" t="s">
        <v>6262</v>
      </c>
      <c r="C3223" s="203" t="s">
        <v>2143</v>
      </c>
      <c r="D3223" s="204">
        <v>1</v>
      </c>
      <c r="E3223" s="204" t="s">
        <v>2013</v>
      </c>
      <c r="F3223" s="205">
        <v>2.0876278035398578E-3</v>
      </c>
    </row>
    <row r="3224" spans="1:6">
      <c r="A3224" s="210">
        <v>316111000</v>
      </c>
      <c r="B3224" s="202" t="s">
        <v>1920</v>
      </c>
      <c r="C3224" s="203" t="s">
        <v>2143</v>
      </c>
      <c r="D3224" s="204">
        <v>1</v>
      </c>
      <c r="E3224" s="204" t="s">
        <v>2013</v>
      </c>
      <c r="F3224" s="205">
        <v>2.2749772532998473E-3</v>
      </c>
    </row>
    <row r="3225" spans="1:6">
      <c r="A3225" s="210">
        <v>316112000</v>
      </c>
      <c r="B3225" s="202" t="s">
        <v>1921</v>
      </c>
      <c r="C3225" s="203" t="s">
        <v>2143</v>
      </c>
      <c r="D3225" s="204">
        <v>1</v>
      </c>
      <c r="E3225" s="204" t="s">
        <v>2013</v>
      </c>
      <c r="F3225" s="205">
        <v>2.2028724504255665E-3</v>
      </c>
    </row>
    <row r="3226" spans="1:6">
      <c r="A3226" s="210">
        <v>316113000</v>
      </c>
      <c r="B3226" s="202" t="s">
        <v>6263</v>
      </c>
      <c r="C3226" s="203" t="s">
        <v>2143</v>
      </c>
      <c r="D3226" s="204">
        <v>1</v>
      </c>
      <c r="E3226" s="204" t="s">
        <v>2013</v>
      </c>
      <c r="F3226" s="205">
        <v>1.9664316716040929E-3</v>
      </c>
    </row>
    <row r="3227" spans="1:6">
      <c r="A3227" s="210">
        <v>316114000</v>
      </c>
      <c r="B3227" s="202" t="s">
        <v>1922</v>
      </c>
      <c r="C3227" s="203" t="s">
        <v>2143</v>
      </c>
      <c r="D3227" s="204">
        <v>1</v>
      </c>
      <c r="E3227" s="204" t="s">
        <v>2013</v>
      </c>
      <c r="F3227" s="205">
        <v>2.5759368708098375E-3</v>
      </c>
    </row>
    <row r="3228" spans="1:6">
      <c r="A3228" s="210">
        <v>317100000</v>
      </c>
      <c r="B3228" s="202" t="s">
        <v>5227</v>
      </c>
      <c r="C3228" s="203" t="s">
        <v>2143</v>
      </c>
      <c r="D3228" s="204">
        <v>1</v>
      </c>
      <c r="E3228" s="204" t="s">
        <v>2013</v>
      </c>
      <c r="F3228" s="205">
        <v>4.2984234354681988E-3</v>
      </c>
    </row>
    <row r="3229" spans="1:6">
      <c r="A3229" s="210">
        <v>317111000</v>
      </c>
      <c r="B3229" s="202" t="s">
        <v>5229</v>
      </c>
      <c r="C3229" s="203" t="s">
        <v>2143</v>
      </c>
      <c r="D3229" s="204">
        <v>1</v>
      </c>
      <c r="E3229" s="204" t="s">
        <v>2013</v>
      </c>
      <c r="F3229" s="205">
        <v>4.9557890154579079E-3</v>
      </c>
    </row>
    <row r="3230" spans="1:6">
      <c r="A3230" s="210">
        <v>317112000</v>
      </c>
      <c r="B3230" s="202" t="s">
        <v>5231</v>
      </c>
      <c r="C3230" s="203" t="s">
        <v>2143</v>
      </c>
      <c r="D3230" s="204">
        <v>1</v>
      </c>
      <c r="E3230" s="204" t="s">
        <v>2013</v>
      </c>
      <c r="F3230" s="205">
        <v>2.216393551688435E-3</v>
      </c>
    </row>
    <row r="3231" spans="1:6">
      <c r="A3231" s="210">
        <v>317119000</v>
      </c>
      <c r="B3231" s="202" t="s">
        <v>1923</v>
      </c>
      <c r="C3231" s="203" t="s">
        <v>2143</v>
      </c>
      <c r="D3231" s="204">
        <v>1</v>
      </c>
      <c r="E3231" s="204" t="s">
        <v>2013</v>
      </c>
      <c r="F3231" s="205">
        <v>3.9539170872027116E-3</v>
      </c>
    </row>
    <row r="3232" spans="1:6">
      <c r="A3232" s="210">
        <v>317121000</v>
      </c>
      <c r="B3232" s="202" t="s">
        <v>1924</v>
      </c>
      <c r="C3232" s="203" t="s">
        <v>2143</v>
      </c>
      <c r="D3232" s="204">
        <v>1</v>
      </c>
      <c r="E3232" s="204" t="s">
        <v>2013</v>
      </c>
      <c r="F3232" s="205">
        <v>4.1592022796885508E-3</v>
      </c>
    </row>
    <row r="3233" spans="1:6">
      <c r="A3233" s="210">
        <v>317200000</v>
      </c>
      <c r="B3233" s="202" t="s">
        <v>6264</v>
      </c>
      <c r="C3233" s="203" t="s">
        <v>2143</v>
      </c>
      <c r="D3233" s="204">
        <v>1</v>
      </c>
      <c r="E3233" s="204" t="s">
        <v>2013</v>
      </c>
      <c r="F3233" s="205">
        <v>4.2238677109937596E-3</v>
      </c>
    </row>
    <row r="3234" spans="1:6">
      <c r="A3234" s="210">
        <v>317211000</v>
      </c>
      <c r="B3234" s="202" t="s">
        <v>1925</v>
      </c>
      <c r="C3234" s="203" t="s">
        <v>2143</v>
      </c>
      <c r="D3234" s="204">
        <v>1</v>
      </c>
      <c r="E3234" s="204" t="s">
        <v>2013</v>
      </c>
      <c r="F3234" s="205">
        <v>4.3891564172305088E-3</v>
      </c>
    </row>
    <row r="3235" spans="1:6">
      <c r="A3235" s="210">
        <v>317219000</v>
      </c>
      <c r="B3235" s="202" t="s">
        <v>1926</v>
      </c>
      <c r="C3235" s="203" t="s">
        <v>2143</v>
      </c>
      <c r="D3235" s="204">
        <v>1</v>
      </c>
      <c r="E3235" s="204" t="s">
        <v>2013</v>
      </c>
      <c r="F3235" s="205">
        <v>3.898352903288594E-3</v>
      </c>
    </row>
    <row r="3236" spans="1:6">
      <c r="A3236" s="210">
        <v>321100000</v>
      </c>
      <c r="B3236" s="202" t="s">
        <v>6265</v>
      </c>
      <c r="C3236" s="203" t="s">
        <v>2143</v>
      </c>
      <c r="D3236" s="204">
        <v>1</v>
      </c>
      <c r="E3236" s="204" t="s">
        <v>2013</v>
      </c>
      <c r="F3236" s="205">
        <v>4.5713677763134404E-3</v>
      </c>
    </row>
    <row r="3237" spans="1:6">
      <c r="A3237" s="210">
        <v>321111000</v>
      </c>
      <c r="B3237" s="202" t="s">
        <v>6266</v>
      </c>
      <c r="C3237" s="203" t="s">
        <v>2143</v>
      </c>
      <c r="D3237" s="204">
        <v>1</v>
      </c>
      <c r="E3237" s="204" t="s">
        <v>2013</v>
      </c>
      <c r="F3237" s="205">
        <v>4.4076594196355637E-3</v>
      </c>
    </row>
    <row r="3238" spans="1:6">
      <c r="A3238" s="210">
        <v>321112000</v>
      </c>
      <c r="B3238" s="202" t="s">
        <v>6267</v>
      </c>
      <c r="C3238" s="203" t="s">
        <v>2143</v>
      </c>
      <c r="D3238" s="204">
        <v>1</v>
      </c>
      <c r="E3238" s="204" t="s">
        <v>2013</v>
      </c>
      <c r="F3238" s="205">
        <v>5.9584544243830601E-3</v>
      </c>
    </row>
    <row r="3239" spans="1:6">
      <c r="A3239" s="210">
        <v>321200000</v>
      </c>
      <c r="B3239" s="202" t="s">
        <v>6268</v>
      </c>
      <c r="C3239" s="203" t="s">
        <v>2143</v>
      </c>
      <c r="D3239" s="204">
        <v>1</v>
      </c>
      <c r="E3239" s="204" t="s">
        <v>2013</v>
      </c>
      <c r="F3239" s="205">
        <v>2.4845914853467775E-3</v>
      </c>
    </row>
    <row r="3240" spans="1:6">
      <c r="A3240" s="210">
        <v>321211000</v>
      </c>
      <c r="B3240" s="202" t="s">
        <v>1927</v>
      </c>
      <c r="C3240" s="203" t="s">
        <v>2143</v>
      </c>
      <c r="D3240" s="204">
        <v>1</v>
      </c>
      <c r="E3240" s="204" t="s">
        <v>2013</v>
      </c>
      <c r="F3240" s="205">
        <v>2.4845914853467775E-3</v>
      </c>
    </row>
    <row r="3241" spans="1:6">
      <c r="A3241" s="210">
        <v>321900000</v>
      </c>
      <c r="B3241" s="202" t="s">
        <v>6269</v>
      </c>
      <c r="C3241" s="203" t="s">
        <v>2143</v>
      </c>
      <c r="D3241" s="204">
        <v>1</v>
      </c>
      <c r="E3241" s="204" t="s">
        <v>2013</v>
      </c>
      <c r="F3241" s="205">
        <v>2.7784091941519388E-3</v>
      </c>
    </row>
    <row r="3242" spans="1:6">
      <c r="A3242" s="210">
        <v>321911000</v>
      </c>
      <c r="B3242" s="202" t="s">
        <v>6270</v>
      </c>
      <c r="C3242" s="203" t="s">
        <v>2143</v>
      </c>
      <c r="D3242" s="204">
        <v>1</v>
      </c>
      <c r="E3242" s="204" t="s">
        <v>2013</v>
      </c>
      <c r="F3242" s="205">
        <v>2.7784091941519388E-3</v>
      </c>
    </row>
    <row r="3243" spans="1:6">
      <c r="A3243" s="210">
        <v>322100000</v>
      </c>
      <c r="B3243" s="202" t="s">
        <v>5233</v>
      </c>
      <c r="C3243" s="203" t="s">
        <v>2143</v>
      </c>
      <c r="D3243" s="204">
        <v>1</v>
      </c>
      <c r="E3243" s="204" t="s">
        <v>2144</v>
      </c>
      <c r="F3243" s="205">
        <v>1552.0013593910885</v>
      </c>
    </row>
    <row r="3244" spans="1:6">
      <c r="A3244" s="210">
        <v>322111000</v>
      </c>
      <c r="B3244" s="202" t="s">
        <v>1928</v>
      </c>
      <c r="C3244" s="203" t="s">
        <v>2143</v>
      </c>
      <c r="D3244" s="204">
        <v>1</v>
      </c>
      <c r="E3244" s="204" t="s">
        <v>2144</v>
      </c>
      <c r="F3244" s="205">
        <v>1552.0013593910885</v>
      </c>
    </row>
    <row r="3245" spans="1:6">
      <c r="A3245" s="210">
        <v>322200000</v>
      </c>
      <c r="B3245" s="202" t="s">
        <v>5236</v>
      </c>
      <c r="C3245" s="203" t="s">
        <v>2143</v>
      </c>
      <c r="D3245" s="204">
        <v>1</v>
      </c>
      <c r="E3245" s="204" t="s">
        <v>2144</v>
      </c>
      <c r="F3245" s="205">
        <v>119.37018652563158</v>
      </c>
    </row>
    <row r="3246" spans="1:6">
      <c r="A3246" s="210">
        <v>322211000</v>
      </c>
      <c r="B3246" s="202" t="s">
        <v>5238</v>
      </c>
      <c r="C3246" s="203" t="s">
        <v>2143</v>
      </c>
      <c r="D3246" s="204">
        <v>1</v>
      </c>
      <c r="E3246" s="204" t="s">
        <v>2144</v>
      </c>
      <c r="F3246" s="205">
        <v>119.37018652563158</v>
      </c>
    </row>
    <row r="3247" spans="1:6">
      <c r="A3247" s="210">
        <v>322900000</v>
      </c>
      <c r="B3247" s="202" t="s">
        <v>5240</v>
      </c>
      <c r="C3247" s="203" t="s">
        <v>2143</v>
      </c>
      <c r="D3247" s="204">
        <v>1</v>
      </c>
      <c r="E3247" s="204" t="s">
        <v>2013</v>
      </c>
      <c r="F3247" s="205">
        <v>2.31436632215112E-3</v>
      </c>
    </row>
    <row r="3248" spans="1:6">
      <c r="A3248" s="210">
        <v>322911000</v>
      </c>
      <c r="B3248" s="202" t="s">
        <v>1929</v>
      </c>
      <c r="C3248" s="203" t="s">
        <v>2143</v>
      </c>
      <c r="D3248" s="204">
        <v>1</v>
      </c>
      <c r="E3248" s="204" t="s">
        <v>2144</v>
      </c>
      <c r="F3248" s="205">
        <v>162.85388375794287</v>
      </c>
    </row>
    <row r="3249" spans="1:6">
      <c r="A3249" s="210">
        <v>322919000</v>
      </c>
      <c r="B3249" s="202" t="s">
        <v>1930</v>
      </c>
      <c r="C3249" s="203" t="s">
        <v>2143</v>
      </c>
      <c r="D3249" s="204">
        <v>1</v>
      </c>
      <c r="E3249" s="204" t="s">
        <v>2013</v>
      </c>
      <c r="F3249" s="205">
        <v>2.3843526606896603E-3</v>
      </c>
    </row>
    <row r="3250" spans="1:6">
      <c r="A3250" s="210">
        <v>323100000</v>
      </c>
      <c r="B3250" s="202" t="s">
        <v>5244</v>
      </c>
      <c r="C3250" s="203" t="s">
        <v>2143</v>
      </c>
      <c r="D3250" s="204">
        <v>1</v>
      </c>
      <c r="E3250" s="204" t="s">
        <v>2013</v>
      </c>
      <c r="F3250" s="205">
        <v>4.3214796267720731E-3</v>
      </c>
    </row>
    <row r="3251" spans="1:6">
      <c r="A3251" s="210">
        <v>323111000</v>
      </c>
      <c r="B3251" s="202" t="s">
        <v>6271</v>
      </c>
      <c r="C3251" s="203" t="s">
        <v>2143</v>
      </c>
      <c r="D3251" s="204">
        <v>1</v>
      </c>
      <c r="E3251" s="204" t="s">
        <v>2013</v>
      </c>
      <c r="F3251" s="205">
        <v>1.6841887816426683E-2</v>
      </c>
    </row>
    <row r="3252" spans="1:6">
      <c r="A3252" s="210">
        <v>323113000</v>
      </c>
      <c r="B3252" s="202" t="s">
        <v>1931</v>
      </c>
      <c r="C3252" s="203" t="s">
        <v>2143</v>
      </c>
      <c r="D3252" s="204">
        <v>1</v>
      </c>
      <c r="E3252" s="204" t="s">
        <v>2013</v>
      </c>
      <c r="F3252" s="205">
        <v>3.976970800314744E-3</v>
      </c>
    </row>
    <row r="3253" spans="1:6">
      <c r="A3253" s="210">
        <v>323114000</v>
      </c>
      <c r="B3253" s="202" t="s">
        <v>1932</v>
      </c>
      <c r="C3253" s="203" t="s">
        <v>2143</v>
      </c>
      <c r="D3253" s="204">
        <v>1</v>
      </c>
      <c r="E3253" s="204" t="s">
        <v>2013</v>
      </c>
      <c r="F3253" s="205">
        <v>3.4221053880114788E-3</v>
      </c>
    </row>
    <row r="3254" spans="1:6">
      <c r="A3254" s="210">
        <v>323115000</v>
      </c>
      <c r="B3254" s="202" t="s">
        <v>1933</v>
      </c>
      <c r="C3254" s="203" t="s">
        <v>2143</v>
      </c>
      <c r="D3254" s="204">
        <v>1</v>
      </c>
      <c r="E3254" s="204" t="s">
        <v>2144</v>
      </c>
      <c r="F3254" s="205">
        <v>1.9276296714914434</v>
      </c>
    </row>
    <row r="3255" spans="1:6">
      <c r="A3255" s="210">
        <v>323129000</v>
      </c>
      <c r="B3255" s="202" t="s">
        <v>1934</v>
      </c>
      <c r="C3255" s="203" t="s">
        <v>2143</v>
      </c>
      <c r="D3255" s="204">
        <v>1</v>
      </c>
      <c r="E3255" s="204" t="s">
        <v>2013</v>
      </c>
      <c r="F3255" s="205">
        <v>2.1978659862821439E-3</v>
      </c>
    </row>
    <row r="3256" spans="1:6">
      <c r="A3256" s="210">
        <v>323200000</v>
      </c>
      <c r="B3256" s="202" t="s">
        <v>6272</v>
      </c>
      <c r="C3256" s="203" t="s">
        <v>2143</v>
      </c>
      <c r="D3256" s="204">
        <v>1</v>
      </c>
      <c r="E3256" s="204" t="s">
        <v>2013</v>
      </c>
      <c r="F3256" s="205">
        <v>3.9647983871488887E-3</v>
      </c>
    </row>
    <row r="3257" spans="1:6">
      <c r="A3257" s="210">
        <v>323211000</v>
      </c>
      <c r="B3257" s="202" t="s">
        <v>1935</v>
      </c>
      <c r="C3257" s="203" t="s">
        <v>2143</v>
      </c>
      <c r="D3257" s="204">
        <v>1</v>
      </c>
      <c r="E3257" s="204" t="s">
        <v>2013</v>
      </c>
      <c r="F3257" s="205">
        <v>3.9647983871488887E-3</v>
      </c>
    </row>
    <row r="3258" spans="1:6">
      <c r="A3258" s="210">
        <v>323300000</v>
      </c>
      <c r="B3258" s="202" t="s">
        <v>6273</v>
      </c>
      <c r="C3258" s="203" t="s">
        <v>2143</v>
      </c>
      <c r="D3258" s="204">
        <v>1</v>
      </c>
      <c r="E3258" s="204" t="s">
        <v>2013</v>
      </c>
      <c r="F3258" s="205">
        <v>5.8946026828776464E-3</v>
      </c>
    </row>
    <row r="3259" spans="1:6">
      <c r="A3259" s="210">
        <v>323311000</v>
      </c>
      <c r="B3259" s="202" t="s">
        <v>6274</v>
      </c>
      <c r="C3259" s="203" t="s">
        <v>2143</v>
      </c>
      <c r="D3259" s="204">
        <v>1</v>
      </c>
      <c r="E3259" s="204" t="s">
        <v>2013</v>
      </c>
      <c r="F3259" s="205">
        <v>5.8946026828776464E-3</v>
      </c>
    </row>
    <row r="3260" spans="1:6">
      <c r="A3260" s="210">
        <v>323400000</v>
      </c>
      <c r="B3260" s="202" t="s">
        <v>6275</v>
      </c>
      <c r="C3260" s="203" t="s">
        <v>2143</v>
      </c>
      <c r="D3260" s="204">
        <v>1</v>
      </c>
      <c r="E3260" s="204" t="s">
        <v>2013</v>
      </c>
      <c r="F3260" s="205">
        <v>6.1312951050069417E-3</v>
      </c>
    </row>
    <row r="3261" spans="1:6">
      <c r="A3261" s="210">
        <v>323411000</v>
      </c>
      <c r="B3261" s="202" t="s">
        <v>1936</v>
      </c>
      <c r="C3261" s="203" t="s">
        <v>2143</v>
      </c>
      <c r="D3261" s="204">
        <v>1</v>
      </c>
      <c r="E3261" s="204" t="s">
        <v>2013</v>
      </c>
      <c r="F3261" s="205">
        <v>6.1312951050069417E-3</v>
      </c>
    </row>
    <row r="3262" spans="1:6">
      <c r="A3262" s="210">
        <v>324100000</v>
      </c>
      <c r="B3262" s="202" t="s">
        <v>5250</v>
      </c>
      <c r="C3262" s="203" t="s">
        <v>2143</v>
      </c>
      <c r="D3262" s="204">
        <v>1</v>
      </c>
      <c r="E3262" s="204" t="s">
        <v>2144</v>
      </c>
      <c r="F3262" s="205">
        <v>0.2524943921281842</v>
      </c>
    </row>
    <row r="3263" spans="1:6">
      <c r="A3263" s="210">
        <v>324111000</v>
      </c>
      <c r="B3263" s="202" t="s">
        <v>1937</v>
      </c>
      <c r="C3263" s="203" t="s">
        <v>2143</v>
      </c>
      <c r="D3263" s="204">
        <v>1</v>
      </c>
      <c r="E3263" s="204" t="s">
        <v>2144</v>
      </c>
      <c r="F3263" s="205">
        <v>0.2524943921281842</v>
      </c>
    </row>
    <row r="3264" spans="1:6">
      <c r="A3264" s="210">
        <v>324200000</v>
      </c>
      <c r="B3264" s="202" t="s">
        <v>5253</v>
      </c>
      <c r="C3264" s="203" t="s">
        <v>2143</v>
      </c>
      <c r="D3264" s="204">
        <v>1</v>
      </c>
      <c r="E3264" s="204" t="s">
        <v>2144</v>
      </c>
      <c r="F3264" s="205">
        <v>0.17905501441597566</v>
      </c>
    </row>
    <row r="3265" spans="1:6">
      <c r="A3265" s="210">
        <v>324211000</v>
      </c>
      <c r="B3265" s="202" t="s">
        <v>1938</v>
      </c>
      <c r="C3265" s="203" t="s">
        <v>2143</v>
      </c>
      <c r="D3265" s="204">
        <v>1</v>
      </c>
      <c r="E3265" s="204" t="s">
        <v>2144</v>
      </c>
      <c r="F3265" s="205">
        <v>0.17905501441597566</v>
      </c>
    </row>
    <row r="3266" spans="1:6">
      <c r="A3266" s="210">
        <v>324300000</v>
      </c>
      <c r="B3266" s="202" t="s">
        <v>5256</v>
      </c>
      <c r="C3266" s="203" t="s">
        <v>2143</v>
      </c>
      <c r="D3266" s="204">
        <v>1</v>
      </c>
      <c r="E3266" s="204" t="s">
        <v>2144</v>
      </c>
      <c r="F3266" s="205">
        <v>4.5890742788961734E-2</v>
      </c>
    </row>
    <row r="3267" spans="1:6">
      <c r="A3267" s="210">
        <v>324311000</v>
      </c>
      <c r="B3267" s="202" t="s">
        <v>1939</v>
      </c>
      <c r="C3267" s="203" t="s">
        <v>2143</v>
      </c>
      <c r="D3267" s="204">
        <v>1</v>
      </c>
      <c r="E3267" s="204" t="s">
        <v>2144</v>
      </c>
      <c r="F3267" s="205">
        <v>4.5890742788961734E-2</v>
      </c>
    </row>
    <row r="3268" spans="1:6">
      <c r="A3268" s="210">
        <v>324400000</v>
      </c>
      <c r="B3268" s="202" t="s">
        <v>6276</v>
      </c>
      <c r="C3268" s="203" t="s">
        <v>2143</v>
      </c>
      <c r="D3268" s="204">
        <v>1</v>
      </c>
      <c r="E3268" s="204" t="s">
        <v>2013</v>
      </c>
      <c r="F3268" s="205">
        <v>3.3975952891705332E-3</v>
      </c>
    </row>
    <row r="3269" spans="1:6">
      <c r="A3269" s="210">
        <v>324411000</v>
      </c>
      <c r="B3269" s="202" t="s">
        <v>6277</v>
      </c>
      <c r="C3269" s="203" t="s">
        <v>2143</v>
      </c>
      <c r="D3269" s="204">
        <v>1</v>
      </c>
      <c r="E3269" s="204" t="s">
        <v>2013</v>
      </c>
      <c r="F3269" s="205">
        <v>3.3975952891705332E-3</v>
      </c>
    </row>
    <row r="3270" spans="1:6">
      <c r="A3270" s="210">
        <v>324900000</v>
      </c>
      <c r="B3270" s="202" t="s">
        <v>6278</v>
      </c>
      <c r="C3270" s="203" t="s">
        <v>2143</v>
      </c>
      <c r="D3270" s="204">
        <v>1</v>
      </c>
      <c r="E3270" s="204" t="s">
        <v>2013</v>
      </c>
      <c r="F3270" s="205">
        <v>2.8554901593613041E-3</v>
      </c>
    </row>
    <row r="3271" spans="1:6">
      <c r="A3271" s="210">
        <v>324911000</v>
      </c>
      <c r="B3271" s="202" t="s">
        <v>1940</v>
      </c>
      <c r="C3271" s="203" t="s">
        <v>2143</v>
      </c>
      <c r="D3271" s="204">
        <v>1</v>
      </c>
      <c r="E3271" s="204" t="s">
        <v>2013</v>
      </c>
      <c r="F3271" s="205">
        <v>2.8554901593613041E-3</v>
      </c>
    </row>
    <row r="3272" spans="1:6">
      <c r="A3272" s="210">
        <v>325100000</v>
      </c>
      <c r="B3272" s="202" t="s">
        <v>6279</v>
      </c>
      <c r="C3272" s="203" t="s">
        <v>2143</v>
      </c>
      <c r="D3272" s="204">
        <v>1</v>
      </c>
      <c r="E3272" s="204" t="s">
        <v>2013</v>
      </c>
      <c r="F3272" s="205">
        <v>3.5314333648782015E-3</v>
      </c>
    </row>
    <row r="3273" spans="1:6">
      <c r="A3273" s="210">
        <v>325111000</v>
      </c>
      <c r="B3273" s="202" t="s">
        <v>6280</v>
      </c>
      <c r="C3273" s="203" t="s">
        <v>2143</v>
      </c>
      <c r="D3273" s="204">
        <v>1</v>
      </c>
      <c r="E3273" s="204" t="s">
        <v>2013</v>
      </c>
      <c r="F3273" s="205">
        <v>3.5314333648782015E-3</v>
      </c>
    </row>
    <row r="3274" spans="1:6">
      <c r="A3274" s="210">
        <v>325200000</v>
      </c>
      <c r="B3274" s="202" t="s">
        <v>6281</v>
      </c>
      <c r="C3274" s="203" t="s">
        <v>2143</v>
      </c>
      <c r="D3274" s="204">
        <v>1</v>
      </c>
      <c r="E3274" s="204" t="s">
        <v>2013</v>
      </c>
      <c r="F3274" s="205">
        <v>7.0868517123158182E-3</v>
      </c>
    </row>
    <row r="3275" spans="1:6">
      <c r="A3275" s="210">
        <v>325211000</v>
      </c>
      <c r="B3275" s="202" t="s">
        <v>6282</v>
      </c>
      <c r="C3275" s="203" t="s">
        <v>2143</v>
      </c>
      <c r="D3275" s="204">
        <v>1</v>
      </c>
      <c r="E3275" s="204" t="s">
        <v>2013</v>
      </c>
      <c r="F3275" s="205">
        <v>7.0868517123158182E-3</v>
      </c>
    </row>
    <row r="3276" spans="1:6">
      <c r="A3276" s="210">
        <v>325300000</v>
      </c>
      <c r="B3276" s="202" t="s">
        <v>6283</v>
      </c>
      <c r="C3276" s="203" t="s">
        <v>2143</v>
      </c>
      <c r="D3276" s="204">
        <v>1</v>
      </c>
      <c r="E3276" s="204" t="s">
        <v>2013</v>
      </c>
      <c r="F3276" s="205">
        <v>2.9368586020265966E-3</v>
      </c>
    </row>
    <row r="3277" spans="1:6">
      <c r="A3277" s="210">
        <v>325311000</v>
      </c>
      <c r="B3277" s="202" t="s">
        <v>1941</v>
      </c>
      <c r="C3277" s="203" t="s">
        <v>2143</v>
      </c>
      <c r="D3277" s="204">
        <v>1</v>
      </c>
      <c r="E3277" s="204" t="s">
        <v>2013</v>
      </c>
      <c r="F3277" s="205">
        <v>2.9368586020265966E-3</v>
      </c>
    </row>
    <row r="3278" spans="1:6">
      <c r="A3278" s="210">
        <v>325400000</v>
      </c>
      <c r="B3278" s="202" t="s">
        <v>6284</v>
      </c>
      <c r="C3278" s="203" t="s">
        <v>2143</v>
      </c>
      <c r="D3278" s="204">
        <v>1</v>
      </c>
      <c r="E3278" s="204" t="s">
        <v>2013</v>
      </c>
      <c r="F3278" s="205">
        <v>1.2954222672246513E-3</v>
      </c>
    </row>
    <row r="3279" spans="1:6">
      <c r="A3279" s="210">
        <v>325411000</v>
      </c>
      <c r="B3279" s="202" t="s">
        <v>1942</v>
      </c>
      <c r="C3279" s="203" t="s">
        <v>2143</v>
      </c>
      <c r="D3279" s="204">
        <v>1</v>
      </c>
      <c r="E3279" s="204" t="s">
        <v>2013</v>
      </c>
      <c r="F3279" s="205">
        <v>1.2954222672246513E-3</v>
      </c>
    </row>
    <row r="3280" spans="1:6">
      <c r="A3280" s="210">
        <v>325500000</v>
      </c>
      <c r="B3280" s="202" t="s">
        <v>6285</v>
      </c>
      <c r="C3280" s="203" t="s">
        <v>2143</v>
      </c>
      <c r="D3280" s="204">
        <v>1</v>
      </c>
      <c r="E3280" s="204" t="s">
        <v>2013</v>
      </c>
      <c r="F3280" s="205">
        <v>1.6953108491263463E-3</v>
      </c>
    </row>
    <row r="3281" spans="1:6">
      <c r="A3281" s="210">
        <v>325511000</v>
      </c>
      <c r="B3281" s="202" t="s">
        <v>6286</v>
      </c>
      <c r="C3281" s="203" t="s">
        <v>2143</v>
      </c>
      <c r="D3281" s="204">
        <v>1</v>
      </c>
      <c r="E3281" s="204" t="s">
        <v>2013</v>
      </c>
      <c r="F3281" s="205">
        <v>1.6953108491263463E-3</v>
      </c>
    </row>
    <row r="3282" spans="1:6">
      <c r="A3282" s="210">
        <v>326100000</v>
      </c>
      <c r="B3282" s="202" t="s">
        <v>6287</v>
      </c>
      <c r="C3282" s="203" t="s">
        <v>2143</v>
      </c>
      <c r="D3282" s="204">
        <v>1</v>
      </c>
      <c r="E3282" s="204" t="s">
        <v>2013</v>
      </c>
      <c r="F3282" s="205">
        <v>4.7533551211604965E-3</v>
      </c>
    </row>
    <row r="3283" spans="1:6">
      <c r="A3283" s="210">
        <v>326111000</v>
      </c>
      <c r="B3283" s="202" t="s">
        <v>1943</v>
      </c>
      <c r="C3283" s="203" t="s">
        <v>2143</v>
      </c>
      <c r="D3283" s="204">
        <v>1</v>
      </c>
      <c r="E3283" s="204" t="s">
        <v>2013</v>
      </c>
      <c r="F3283" s="205">
        <v>4.7533551211604965E-3</v>
      </c>
    </row>
    <row r="3284" spans="1:6">
      <c r="A3284" s="210">
        <v>327100000</v>
      </c>
      <c r="B3284" s="202" t="s">
        <v>6288</v>
      </c>
      <c r="C3284" s="203" t="s">
        <v>2143</v>
      </c>
      <c r="D3284" s="204">
        <v>1</v>
      </c>
      <c r="E3284" s="204" t="s">
        <v>2013</v>
      </c>
      <c r="F3284" s="205">
        <v>1.5360777964551606E-3</v>
      </c>
    </row>
    <row r="3285" spans="1:6">
      <c r="A3285" s="210">
        <v>327111000</v>
      </c>
      <c r="B3285" s="202" t="s">
        <v>1944</v>
      </c>
      <c r="C3285" s="203" t="s">
        <v>2143</v>
      </c>
      <c r="D3285" s="204">
        <v>1</v>
      </c>
      <c r="E3285" s="204" t="s">
        <v>2013</v>
      </c>
      <c r="F3285" s="205">
        <v>1.5360777964551606E-3</v>
      </c>
    </row>
    <row r="3286" spans="1:6">
      <c r="A3286" s="210">
        <v>327200000</v>
      </c>
      <c r="B3286" s="202" t="s">
        <v>6289</v>
      </c>
      <c r="C3286" s="203" t="s">
        <v>2143</v>
      </c>
      <c r="D3286" s="204">
        <v>1</v>
      </c>
      <c r="E3286" s="204" t="s">
        <v>2144</v>
      </c>
      <c r="F3286" s="205">
        <v>1.9238341701025368</v>
      </c>
    </row>
    <row r="3287" spans="1:6">
      <c r="A3287" s="210">
        <v>327211000</v>
      </c>
      <c r="B3287" s="202" t="s">
        <v>6290</v>
      </c>
      <c r="C3287" s="203" t="s">
        <v>2143</v>
      </c>
      <c r="D3287" s="204">
        <v>1</v>
      </c>
      <c r="E3287" s="204" t="s">
        <v>2144</v>
      </c>
      <c r="F3287" s="205">
        <v>1.9238341701025368</v>
      </c>
    </row>
    <row r="3288" spans="1:6">
      <c r="A3288" s="210">
        <v>327300000</v>
      </c>
      <c r="B3288" s="202" t="s">
        <v>6291</v>
      </c>
      <c r="C3288" s="203" t="s">
        <v>2143</v>
      </c>
      <c r="D3288" s="204">
        <v>1</v>
      </c>
      <c r="E3288" s="204" t="s">
        <v>2013</v>
      </c>
      <c r="F3288" s="205">
        <v>2.3812135974829716E-3</v>
      </c>
    </row>
    <row r="3289" spans="1:6">
      <c r="A3289" s="210">
        <v>327311000</v>
      </c>
      <c r="B3289" s="202" t="s">
        <v>1946</v>
      </c>
      <c r="C3289" s="203" t="s">
        <v>2143</v>
      </c>
      <c r="D3289" s="204">
        <v>1</v>
      </c>
      <c r="E3289" s="204" t="s">
        <v>2013</v>
      </c>
      <c r="F3289" s="205">
        <v>2.3812135974829716E-3</v>
      </c>
    </row>
    <row r="3290" spans="1:6">
      <c r="A3290" s="210">
        <v>327400000</v>
      </c>
      <c r="B3290" s="202" t="s">
        <v>6292</v>
      </c>
      <c r="C3290" s="203" t="s">
        <v>2143</v>
      </c>
      <c r="D3290" s="204">
        <v>1</v>
      </c>
      <c r="E3290" s="204" t="s">
        <v>2013</v>
      </c>
      <c r="F3290" s="205">
        <v>3.6652132431393121E-3</v>
      </c>
    </row>
    <row r="3291" spans="1:6">
      <c r="A3291" s="210">
        <v>327411000</v>
      </c>
      <c r="B3291" s="202" t="s">
        <v>1947</v>
      </c>
      <c r="C3291" s="203" t="s">
        <v>2143</v>
      </c>
      <c r="D3291" s="204">
        <v>1</v>
      </c>
      <c r="E3291" s="204" t="s">
        <v>2013</v>
      </c>
      <c r="F3291" s="205">
        <v>3.6652132431393121E-3</v>
      </c>
    </row>
    <row r="3292" spans="1:6">
      <c r="A3292" s="210">
        <v>327500000</v>
      </c>
      <c r="B3292" s="202" t="s">
        <v>5262</v>
      </c>
      <c r="C3292" s="203" t="s">
        <v>2143</v>
      </c>
      <c r="D3292" s="204">
        <v>1</v>
      </c>
      <c r="E3292" s="204" t="s">
        <v>2144</v>
      </c>
      <c r="F3292" s="205">
        <v>7.8488669062591052</v>
      </c>
    </row>
    <row r="3293" spans="1:6">
      <c r="A3293" s="210">
        <v>327511000</v>
      </c>
      <c r="B3293" s="202" t="s">
        <v>1948</v>
      </c>
      <c r="C3293" s="203" t="s">
        <v>2143</v>
      </c>
      <c r="D3293" s="204">
        <v>1</v>
      </c>
      <c r="E3293" s="204" t="s">
        <v>2144</v>
      </c>
      <c r="F3293" s="205">
        <v>7.8488669062591052</v>
      </c>
    </row>
    <row r="3294" spans="1:6">
      <c r="A3294" s="210">
        <v>327600000</v>
      </c>
      <c r="B3294" s="202" t="s">
        <v>6293</v>
      </c>
      <c r="C3294" s="203" t="s">
        <v>2143</v>
      </c>
      <c r="D3294" s="204">
        <v>1</v>
      </c>
      <c r="E3294" s="204" t="s">
        <v>2013</v>
      </c>
      <c r="F3294" s="205">
        <v>7.1079364450104465E-3</v>
      </c>
    </row>
    <row r="3295" spans="1:6">
      <c r="A3295" s="210">
        <v>327611000</v>
      </c>
      <c r="B3295" s="202" t="s">
        <v>6294</v>
      </c>
      <c r="C3295" s="203" t="s">
        <v>2143</v>
      </c>
      <c r="D3295" s="204">
        <v>1</v>
      </c>
      <c r="E3295" s="204" t="s">
        <v>2013</v>
      </c>
      <c r="F3295" s="205">
        <v>7.1079364450104465E-3</v>
      </c>
    </row>
    <row r="3296" spans="1:6">
      <c r="A3296" s="210">
        <v>327700000</v>
      </c>
      <c r="B3296" s="202" t="s">
        <v>6295</v>
      </c>
      <c r="C3296" s="203" t="s">
        <v>2143</v>
      </c>
      <c r="D3296" s="204">
        <v>1</v>
      </c>
      <c r="E3296" s="204" t="s">
        <v>2013</v>
      </c>
      <c r="F3296" s="205">
        <v>2.9247808987417565E-3</v>
      </c>
    </row>
    <row r="3297" spans="1:6">
      <c r="A3297" s="210">
        <v>327711000</v>
      </c>
      <c r="B3297" s="202" t="s">
        <v>6296</v>
      </c>
      <c r="C3297" s="203" t="s">
        <v>2143</v>
      </c>
      <c r="D3297" s="204">
        <v>1</v>
      </c>
      <c r="E3297" s="204" t="s">
        <v>2013</v>
      </c>
      <c r="F3297" s="205">
        <v>2.9247808987417565E-3</v>
      </c>
    </row>
    <row r="3298" spans="1:6">
      <c r="A3298" s="210">
        <v>327800000</v>
      </c>
      <c r="B3298" s="202" t="s">
        <v>6297</v>
      </c>
      <c r="C3298" s="203" t="s">
        <v>2143</v>
      </c>
      <c r="D3298" s="204">
        <v>1</v>
      </c>
      <c r="E3298" s="204" t="s">
        <v>2013</v>
      </c>
      <c r="F3298" s="205">
        <v>6.3889685560635364E-3</v>
      </c>
    </row>
    <row r="3299" spans="1:6">
      <c r="A3299" s="210">
        <v>327811000</v>
      </c>
      <c r="B3299" s="202" t="s">
        <v>1949</v>
      </c>
      <c r="C3299" s="203" t="s">
        <v>2143</v>
      </c>
      <c r="D3299" s="204">
        <v>1</v>
      </c>
      <c r="E3299" s="204" t="s">
        <v>2013</v>
      </c>
      <c r="F3299" s="205">
        <v>6.3889685560635364E-3</v>
      </c>
    </row>
    <row r="3300" spans="1:6">
      <c r="A3300" s="210">
        <v>328100000</v>
      </c>
      <c r="B3300" s="202" t="s">
        <v>6298</v>
      </c>
      <c r="C3300" s="203" t="s">
        <v>2143</v>
      </c>
      <c r="D3300" s="204">
        <v>1</v>
      </c>
      <c r="E3300" s="204" t="s">
        <v>2013</v>
      </c>
      <c r="F3300" s="205">
        <v>4.1103564302736872E-3</v>
      </c>
    </row>
    <row r="3301" spans="1:6">
      <c r="A3301" s="210">
        <v>328111000</v>
      </c>
      <c r="B3301" s="202" t="s">
        <v>1950</v>
      </c>
      <c r="C3301" s="203" t="s">
        <v>2143</v>
      </c>
      <c r="D3301" s="204">
        <v>1</v>
      </c>
      <c r="E3301" s="204" t="s">
        <v>2013</v>
      </c>
      <c r="F3301" s="205">
        <v>4.1103564302736872E-3</v>
      </c>
    </row>
    <row r="3302" spans="1:6">
      <c r="A3302" s="210">
        <v>329100000</v>
      </c>
      <c r="B3302" s="202" t="s">
        <v>6299</v>
      </c>
      <c r="C3302" s="203" t="s">
        <v>2143</v>
      </c>
      <c r="D3302" s="204">
        <v>1</v>
      </c>
      <c r="E3302" s="204" t="s">
        <v>2013</v>
      </c>
      <c r="F3302" s="205">
        <v>9.0363047072249854E-3</v>
      </c>
    </row>
    <row r="3303" spans="1:6">
      <c r="A3303" s="210">
        <v>329111000</v>
      </c>
      <c r="B3303" s="202" t="s">
        <v>6300</v>
      </c>
      <c r="C3303" s="203" t="s">
        <v>2143</v>
      </c>
      <c r="D3303" s="204">
        <v>1</v>
      </c>
      <c r="E3303" s="204" t="s">
        <v>2013</v>
      </c>
      <c r="F3303" s="205">
        <v>9.0363047072249854E-3</v>
      </c>
    </row>
    <row r="3304" spans="1:6">
      <c r="A3304" s="210">
        <v>329200000</v>
      </c>
      <c r="B3304" s="202" t="s">
        <v>6301</v>
      </c>
      <c r="C3304" s="203" t="s">
        <v>2143</v>
      </c>
      <c r="D3304" s="204">
        <v>1</v>
      </c>
      <c r="E3304" s="204" t="s">
        <v>2013</v>
      </c>
      <c r="F3304" s="205">
        <v>2.8356655125737042E-3</v>
      </c>
    </row>
    <row r="3305" spans="1:6">
      <c r="A3305" s="210">
        <v>329211000</v>
      </c>
      <c r="B3305" s="202" t="s">
        <v>1951</v>
      </c>
      <c r="C3305" s="203" t="s">
        <v>2143</v>
      </c>
      <c r="D3305" s="204">
        <v>1</v>
      </c>
      <c r="E3305" s="204" t="s">
        <v>2013</v>
      </c>
      <c r="F3305" s="205">
        <v>2.8356655125737042E-3</v>
      </c>
    </row>
    <row r="3306" spans="1:6">
      <c r="A3306" s="210">
        <v>329300000</v>
      </c>
      <c r="B3306" s="202" t="s">
        <v>6302</v>
      </c>
      <c r="C3306" s="203" t="s">
        <v>2143</v>
      </c>
      <c r="D3306" s="204">
        <v>1</v>
      </c>
      <c r="E3306" s="204" t="s">
        <v>2013</v>
      </c>
      <c r="F3306" s="205">
        <v>2.9486637907626305E-3</v>
      </c>
    </row>
    <row r="3307" spans="1:6">
      <c r="A3307" s="210">
        <v>329311000</v>
      </c>
      <c r="B3307" s="202" t="s">
        <v>6303</v>
      </c>
      <c r="C3307" s="203" t="s">
        <v>2143</v>
      </c>
      <c r="D3307" s="204">
        <v>1</v>
      </c>
      <c r="E3307" s="204" t="s">
        <v>2013</v>
      </c>
      <c r="F3307" s="205">
        <v>2.9486637907626305E-3</v>
      </c>
    </row>
    <row r="3308" spans="1:6">
      <c r="A3308" s="210">
        <v>329400000</v>
      </c>
      <c r="B3308" s="202" t="s">
        <v>6304</v>
      </c>
      <c r="C3308" s="203" t="s">
        <v>2143</v>
      </c>
      <c r="D3308" s="204">
        <v>1</v>
      </c>
      <c r="E3308" s="204" t="s">
        <v>2013</v>
      </c>
      <c r="F3308" s="205">
        <v>2.6771287859081944E-3</v>
      </c>
    </row>
    <row r="3309" spans="1:6">
      <c r="A3309" s="210">
        <v>329411000</v>
      </c>
      <c r="B3309" s="202" t="s">
        <v>6305</v>
      </c>
      <c r="C3309" s="203" t="s">
        <v>2143</v>
      </c>
      <c r="D3309" s="204">
        <v>1</v>
      </c>
      <c r="E3309" s="204" t="s">
        <v>2013</v>
      </c>
      <c r="F3309" s="205">
        <v>2.6771287859081944E-3</v>
      </c>
    </row>
    <row r="3310" spans="1:6">
      <c r="A3310" s="210">
        <v>329500000</v>
      </c>
      <c r="B3310" s="202" t="s">
        <v>6306</v>
      </c>
      <c r="C3310" s="203" t="s">
        <v>2143</v>
      </c>
      <c r="D3310" s="204">
        <v>1</v>
      </c>
      <c r="E3310" s="204" t="s">
        <v>2013</v>
      </c>
      <c r="F3310" s="205">
        <v>1.9857631946420158E-3</v>
      </c>
    </row>
    <row r="3311" spans="1:6">
      <c r="A3311" s="210">
        <v>329511000</v>
      </c>
      <c r="B3311" s="202" t="s">
        <v>6307</v>
      </c>
      <c r="C3311" s="203" t="s">
        <v>2143</v>
      </c>
      <c r="D3311" s="204">
        <v>1</v>
      </c>
      <c r="E3311" s="204" t="s">
        <v>2013</v>
      </c>
      <c r="F3311" s="205">
        <v>1.9857631946420158E-3</v>
      </c>
    </row>
    <row r="3312" spans="1:6">
      <c r="A3312" s="210">
        <v>329600000</v>
      </c>
      <c r="B3312" s="202" t="s">
        <v>6308</v>
      </c>
      <c r="C3312" s="203" t="s">
        <v>2143</v>
      </c>
      <c r="D3312" s="204">
        <v>1</v>
      </c>
      <c r="E3312" s="204" t="s">
        <v>2013</v>
      </c>
      <c r="F3312" s="205">
        <v>1.2458918282042676E-3</v>
      </c>
    </row>
    <row r="3313" spans="1:6">
      <c r="A3313" s="210">
        <v>329611000</v>
      </c>
      <c r="B3313" s="202" t="s">
        <v>6309</v>
      </c>
      <c r="C3313" s="203" t="s">
        <v>2143</v>
      </c>
      <c r="D3313" s="204">
        <v>1</v>
      </c>
      <c r="E3313" s="204" t="s">
        <v>2013</v>
      </c>
      <c r="F3313" s="205">
        <v>1.2458918282042676E-3</v>
      </c>
    </row>
    <row r="3314" spans="1:6">
      <c r="A3314" s="210">
        <v>329611200</v>
      </c>
      <c r="B3314" s="202" t="s">
        <v>1952</v>
      </c>
      <c r="C3314" s="203" t="s">
        <v>2143</v>
      </c>
      <c r="D3314" s="204">
        <v>1</v>
      </c>
      <c r="E3314" s="204" t="s">
        <v>2144</v>
      </c>
      <c r="F3314" s="205">
        <v>0.47761269645551069</v>
      </c>
    </row>
    <row r="3315" spans="1:6">
      <c r="A3315" s="210">
        <v>329611201</v>
      </c>
      <c r="B3315" s="202" t="s">
        <v>1953</v>
      </c>
      <c r="C3315" s="203" t="s">
        <v>2143</v>
      </c>
      <c r="D3315" s="204">
        <v>1</v>
      </c>
      <c r="E3315" s="204" t="s">
        <v>2144</v>
      </c>
      <c r="F3315" s="205">
        <v>0.52034017673245947</v>
      </c>
    </row>
    <row r="3316" spans="1:6">
      <c r="A3316" s="210">
        <v>329900000</v>
      </c>
      <c r="B3316" s="202" t="s">
        <v>6310</v>
      </c>
      <c r="C3316" s="203" t="s">
        <v>2143</v>
      </c>
      <c r="D3316" s="204">
        <v>1</v>
      </c>
      <c r="E3316" s="204" t="s">
        <v>2013</v>
      </c>
      <c r="F3316" s="205">
        <v>3.3029009025845671E-3</v>
      </c>
    </row>
    <row r="3317" spans="1:6">
      <c r="A3317" s="210">
        <v>329915000</v>
      </c>
      <c r="B3317" s="202" t="s">
        <v>1954</v>
      </c>
      <c r="C3317" s="203" t="s">
        <v>2143</v>
      </c>
      <c r="D3317" s="204">
        <v>1</v>
      </c>
      <c r="E3317" s="204" t="s">
        <v>2013</v>
      </c>
      <c r="F3317" s="205">
        <v>3.1928425791445114E-3</v>
      </c>
    </row>
    <row r="3318" spans="1:6">
      <c r="A3318" s="210">
        <v>329915200</v>
      </c>
      <c r="B3318" s="202" t="s">
        <v>6311</v>
      </c>
      <c r="C3318" s="203" t="s">
        <v>2143</v>
      </c>
      <c r="D3318" s="204">
        <v>1</v>
      </c>
      <c r="E3318" s="204" t="s">
        <v>2144</v>
      </c>
      <c r="F3318" s="205">
        <v>158.38557495275592</v>
      </c>
    </row>
    <row r="3319" spans="1:6">
      <c r="A3319" s="210">
        <v>329915201</v>
      </c>
      <c r="B3319" s="202" t="s">
        <v>1955</v>
      </c>
      <c r="C3319" s="203" t="s">
        <v>2143</v>
      </c>
      <c r="D3319" s="204">
        <v>1</v>
      </c>
      <c r="E3319" s="204" t="s">
        <v>2144</v>
      </c>
      <c r="F3319" s="205">
        <v>104.34580904120851</v>
      </c>
    </row>
    <row r="3320" spans="1:6">
      <c r="A3320" s="210">
        <v>329915202</v>
      </c>
      <c r="B3320" s="202" t="s">
        <v>1956</v>
      </c>
      <c r="C3320" s="203" t="s">
        <v>2143</v>
      </c>
      <c r="D3320" s="204">
        <v>1</v>
      </c>
      <c r="E3320" s="204" t="s">
        <v>2144</v>
      </c>
      <c r="F3320" s="205">
        <v>129.73745030699703</v>
      </c>
    </row>
    <row r="3321" spans="1:6">
      <c r="A3321" s="210">
        <v>329919000</v>
      </c>
      <c r="B3321" s="202" t="s">
        <v>1957</v>
      </c>
      <c r="C3321" s="203" t="s">
        <v>2143</v>
      </c>
      <c r="D3321" s="204">
        <v>1</v>
      </c>
      <c r="E3321" s="204" t="s">
        <v>2013</v>
      </c>
      <c r="F3321" s="205">
        <v>3.3668968835577524E-3</v>
      </c>
    </row>
    <row r="3322" spans="1:6">
      <c r="A3322" s="210">
        <v>331111004</v>
      </c>
      <c r="B3322" s="202" t="s">
        <v>6312</v>
      </c>
      <c r="C3322" s="203" t="s">
        <v>2143</v>
      </c>
      <c r="D3322" s="204">
        <v>1</v>
      </c>
      <c r="E3322" s="204" t="s">
        <v>1958</v>
      </c>
      <c r="F3322" s="205">
        <v>0.42715158113548995</v>
      </c>
    </row>
    <row r="3323" spans="1:6">
      <c r="A3323" s="210">
        <v>331111005</v>
      </c>
      <c r="B3323" s="202" t="s">
        <v>6313</v>
      </c>
      <c r="C3323" s="203" t="s">
        <v>2143</v>
      </c>
      <c r="D3323" s="204">
        <v>1</v>
      </c>
      <c r="E3323" s="204" t="s">
        <v>1958</v>
      </c>
      <c r="F3323" s="205">
        <v>0.42688630018843676</v>
      </c>
    </row>
    <row r="3324" spans="1:6">
      <c r="A3324" s="210">
        <v>331111006</v>
      </c>
      <c r="B3324" s="202" t="s">
        <v>6314</v>
      </c>
      <c r="C3324" s="203" t="s">
        <v>2143</v>
      </c>
      <c r="D3324" s="204">
        <v>1</v>
      </c>
      <c r="E3324" s="204" t="s">
        <v>1958</v>
      </c>
      <c r="F3324" s="205">
        <v>0.4186847210680989</v>
      </c>
    </row>
    <row r="3325" spans="1:6">
      <c r="A3325" s="210">
        <v>331111007</v>
      </c>
      <c r="B3325" s="202" t="s">
        <v>6315</v>
      </c>
      <c r="C3325" s="203" t="s">
        <v>2143</v>
      </c>
      <c r="D3325" s="204">
        <v>1</v>
      </c>
      <c r="E3325" s="204" t="s">
        <v>1958</v>
      </c>
      <c r="F3325" s="205">
        <v>0.46814229441512695</v>
      </c>
    </row>
    <row r="3326" spans="1:6">
      <c r="A3326" s="210">
        <v>331111008</v>
      </c>
      <c r="B3326" s="202" t="s">
        <v>6316</v>
      </c>
      <c r="C3326" s="203" t="s">
        <v>2143</v>
      </c>
      <c r="D3326" s="204">
        <v>1</v>
      </c>
      <c r="E3326" s="204" t="s">
        <v>1958</v>
      </c>
      <c r="F3326" s="205">
        <v>0.45487333606245739</v>
      </c>
    </row>
    <row r="3327" spans="1:6">
      <c r="A3327" s="210">
        <v>331111009</v>
      </c>
      <c r="B3327" s="202" t="s">
        <v>6317</v>
      </c>
      <c r="C3327" s="203" t="s">
        <v>2143</v>
      </c>
      <c r="D3327" s="204">
        <v>1</v>
      </c>
      <c r="E3327" s="204" t="s">
        <v>1958</v>
      </c>
      <c r="F3327" s="205">
        <v>0.41778173872420843</v>
      </c>
    </row>
    <row r="3328" spans="1:6">
      <c r="A3328" s="210">
        <v>331111010</v>
      </c>
      <c r="B3328" s="202" t="s">
        <v>6318</v>
      </c>
      <c r="C3328" s="203" t="s">
        <v>2143</v>
      </c>
      <c r="D3328" s="204">
        <v>1</v>
      </c>
      <c r="E3328" s="204" t="s">
        <v>1958</v>
      </c>
      <c r="F3328" s="205">
        <v>0.42182219264375848</v>
      </c>
    </row>
    <row r="3329" spans="1:6">
      <c r="A3329" s="210">
        <v>331111011</v>
      </c>
      <c r="B3329" s="202" t="s">
        <v>5265</v>
      </c>
      <c r="C3329" s="203" t="s">
        <v>2143</v>
      </c>
      <c r="D3329" s="204">
        <v>1</v>
      </c>
      <c r="E3329" s="204" t="s">
        <v>1958</v>
      </c>
      <c r="F3329" s="205">
        <v>0.54733454410584015</v>
      </c>
    </row>
    <row r="3330" spans="1:6">
      <c r="A3330" s="210">
        <v>331111012</v>
      </c>
      <c r="B3330" s="202" t="s">
        <v>5267</v>
      </c>
      <c r="C3330" s="203" t="s">
        <v>2143</v>
      </c>
      <c r="D3330" s="204">
        <v>1</v>
      </c>
      <c r="E3330" s="204" t="s">
        <v>1958</v>
      </c>
      <c r="F3330" s="205">
        <v>0.62254746778093817</v>
      </c>
    </row>
    <row r="3331" spans="1:6">
      <c r="A3331" s="210">
        <v>331111013</v>
      </c>
      <c r="B3331" s="202" t="s">
        <v>6319</v>
      </c>
      <c r="C3331" s="203" t="s">
        <v>2143</v>
      </c>
      <c r="D3331" s="204">
        <v>1</v>
      </c>
      <c r="E3331" s="204" t="s">
        <v>1958</v>
      </c>
      <c r="F3331" s="205">
        <v>0.6214545007331177</v>
      </c>
    </row>
    <row r="3332" spans="1:6">
      <c r="A3332" s="210">
        <v>331111014</v>
      </c>
      <c r="B3332" s="202" t="s">
        <v>6320</v>
      </c>
      <c r="C3332" s="203" t="s">
        <v>2143</v>
      </c>
      <c r="D3332" s="204">
        <v>1</v>
      </c>
      <c r="E3332" s="204" t="s">
        <v>1958</v>
      </c>
      <c r="F3332" s="205">
        <v>0.60709688431749542</v>
      </c>
    </row>
    <row r="3333" spans="1:6">
      <c r="A3333" s="210">
        <v>331120004</v>
      </c>
      <c r="B3333" s="202" t="s">
        <v>6321</v>
      </c>
      <c r="C3333" s="203" t="s">
        <v>2143</v>
      </c>
      <c r="D3333" s="204">
        <v>1</v>
      </c>
      <c r="E3333" s="204" t="s">
        <v>1958</v>
      </c>
      <c r="F3333" s="205">
        <v>0.59720908854203758</v>
      </c>
    </row>
    <row r="3334" spans="1:6">
      <c r="A3334" s="210">
        <v>331120005</v>
      </c>
      <c r="B3334" s="202" t="s">
        <v>6322</v>
      </c>
      <c r="C3334" s="203" t="s">
        <v>2143</v>
      </c>
      <c r="D3334" s="204">
        <v>1</v>
      </c>
      <c r="E3334" s="204" t="s">
        <v>1958</v>
      </c>
      <c r="F3334" s="205">
        <v>0.55720091237783287</v>
      </c>
    </row>
    <row r="3335" spans="1:6">
      <c r="A3335" s="210">
        <v>331120006</v>
      </c>
      <c r="B3335" s="202" t="s">
        <v>6323</v>
      </c>
      <c r="C3335" s="203" t="s">
        <v>2143</v>
      </c>
      <c r="D3335" s="204">
        <v>1</v>
      </c>
      <c r="E3335" s="204" t="s">
        <v>1958</v>
      </c>
      <c r="F3335" s="205">
        <v>0.5402594765114801</v>
      </c>
    </row>
    <row r="3336" spans="1:6">
      <c r="A3336" s="210">
        <v>331120007</v>
      </c>
      <c r="B3336" s="202" t="s">
        <v>6324</v>
      </c>
      <c r="C3336" s="203" t="s">
        <v>2143</v>
      </c>
      <c r="D3336" s="204">
        <v>1</v>
      </c>
      <c r="E3336" s="204" t="s">
        <v>1958</v>
      </c>
      <c r="F3336" s="205">
        <v>0.58171467844998559</v>
      </c>
    </row>
    <row r="3337" spans="1:6">
      <c r="A3337" s="210">
        <v>331120008</v>
      </c>
      <c r="B3337" s="202" t="s">
        <v>6325</v>
      </c>
      <c r="C3337" s="203" t="s">
        <v>2143</v>
      </c>
      <c r="D3337" s="204">
        <v>1</v>
      </c>
      <c r="E3337" s="204" t="s">
        <v>1958</v>
      </c>
      <c r="F3337" s="205">
        <v>0.66918464494920193</v>
      </c>
    </row>
    <row r="3338" spans="1:6">
      <c r="A3338" s="210">
        <v>331120009</v>
      </c>
      <c r="B3338" s="202" t="s">
        <v>6326</v>
      </c>
      <c r="C3338" s="203" t="s">
        <v>2143</v>
      </c>
      <c r="D3338" s="204">
        <v>1</v>
      </c>
      <c r="E3338" s="204" t="s">
        <v>1958</v>
      </c>
      <c r="F3338" s="205">
        <v>0.48427833547040999</v>
      </c>
    </row>
    <row r="3339" spans="1:6">
      <c r="A3339" s="210">
        <v>331120010</v>
      </c>
      <c r="B3339" s="202" t="s">
        <v>6327</v>
      </c>
      <c r="C3339" s="203" t="s">
        <v>2143</v>
      </c>
      <c r="D3339" s="204">
        <v>1</v>
      </c>
      <c r="E3339" s="204" t="s">
        <v>1958</v>
      </c>
      <c r="F3339" s="205">
        <v>0.39230133441032128</v>
      </c>
    </row>
    <row r="3340" spans="1:6">
      <c r="A3340" s="210">
        <v>331120011</v>
      </c>
      <c r="B3340" s="202" t="s">
        <v>6328</v>
      </c>
      <c r="C3340" s="203" t="s">
        <v>2143</v>
      </c>
      <c r="D3340" s="204">
        <v>1</v>
      </c>
      <c r="E3340" s="204" t="s">
        <v>1958</v>
      </c>
      <c r="F3340" s="205">
        <v>0.5690466644564226</v>
      </c>
    </row>
    <row r="3341" spans="1:6">
      <c r="A3341" s="210">
        <v>331120012</v>
      </c>
      <c r="B3341" s="202" t="s">
        <v>6329</v>
      </c>
      <c r="C3341" s="203" t="s">
        <v>2143</v>
      </c>
      <c r="D3341" s="204">
        <v>1</v>
      </c>
      <c r="E3341" s="204" t="s">
        <v>1958</v>
      </c>
      <c r="F3341" s="205">
        <v>0.8031864123783462</v>
      </c>
    </row>
    <row r="3342" spans="1:6">
      <c r="A3342" s="210">
        <v>331120013</v>
      </c>
      <c r="B3342" s="202" t="s">
        <v>6330</v>
      </c>
      <c r="C3342" s="203" t="s">
        <v>2143</v>
      </c>
      <c r="D3342" s="204">
        <v>1</v>
      </c>
      <c r="E3342" s="204" t="s">
        <v>1958</v>
      </c>
      <c r="F3342" s="205">
        <v>0.79034445522305119</v>
      </c>
    </row>
    <row r="3343" spans="1:6">
      <c r="A3343" s="210">
        <v>331120014</v>
      </c>
      <c r="B3343" s="202" t="s">
        <v>6331</v>
      </c>
      <c r="C3343" s="203" t="s">
        <v>2143</v>
      </c>
      <c r="D3343" s="204">
        <v>1</v>
      </c>
      <c r="E3343" s="204" t="s">
        <v>1958</v>
      </c>
      <c r="F3343" s="205">
        <v>0.80375587617805633</v>
      </c>
    </row>
    <row r="3344" spans="1:6">
      <c r="A3344" s="210">
        <v>331121004</v>
      </c>
      <c r="B3344" s="202" t="s">
        <v>6332</v>
      </c>
      <c r="C3344" s="203" t="s">
        <v>2143</v>
      </c>
      <c r="D3344" s="204">
        <v>1</v>
      </c>
      <c r="E3344" s="204" t="s">
        <v>1958</v>
      </c>
      <c r="F3344" s="205">
        <v>0.51233738376826188</v>
      </c>
    </row>
    <row r="3345" spans="1:6">
      <c r="A3345" s="210">
        <v>331121005</v>
      </c>
      <c r="B3345" s="202" t="s">
        <v>6333</v>
      </c>
      <c r="C3345" s="203" t="s">
        <v>2143</v>
      </c>
      <c r="D3345" s="204">
        <v>1</v>
      </c>
      <c r="E3345" s="204" t="s">
        <v>1958</v>
      </c>
      <c r="F3345" s="205">
        <v>0.53822877283283532</v>
      </c>
    </row>
    <row r="3346" spans="1:6">
      <c r="A3346" s="210">
        <v>331121006</v>
      </c>
      <c r="B3346" s="202" t="s">
        <v>6334</v>
      </c>
      <c r="C3346" s="203" t="s">
        <v>2143</v>
      </c>
      <c r="D3346" s="204">
        <v>1</v>
      </c>
      <c r="E3346" s="204" t="s">
        <v>1958</v>
      </c>
      <c r="F3346" s="205">
        <v>0.50150878201353355</v>
      </c>
    </row>
    <row r="3347" spans="1:6">
      <c r="A3347" s="210">
        <v>331121007</v>
      </c>
      <c r="B3347" s="202" t="s">
        <v>6335</v>
      </c>
      <c r="C3347" s="203" t="s">
        <v>2143</v>
      </c>
      <c r="D3347" s="204">
        <v>1</v>
      </c>
      <c r="E3347" s="204" t="s">
        <v>1958</v>
      </c>
      <c r="F3347" s="205">
        <v>0.4754364591492854</v>
      </c>
    </row>
    <row r="3348" spans="1:6">
      <c r="A3348" s="210">
        <v>331121008</v>
      </c>
      <c r="B3348" s="202" t="s">
        <v>6336</v>
      </c>
      <c r="C3348" s="203" t="s">
        <v>2143</v>
      </c>
      <c r="D3348" s="204">
        <v>1</v>
      </c>
      <c r="E3348" s="204" t="s">
        <v>1958</v>
      </c>
      <c r="F3348" s="205">
        <v>0.46392034852405312</v>
      </c>
    </row>
    <row r="3349" spans="1:6">
      <c r="A3349" s="210">
        <v>331121009</v>
      </c>
      <c r="B3349" s="202" t="s">
        <v>6337</v>
      </c>
      <c r="C3349" s="203" t="s">
        <v>2143</v>
      </c>
      <c r="D3349" s="204">
        <v>1</v>
      </c>
      <c r="E3349" s="204" t="s">
        <v>1958</v>
      </c>
      <c r="F3349" s="205">
        <v>0.45825066286780336</v>
      </c>
    </row>
    <row r="3350" spans="1:6">
      <c r="A3350" s="210">
        <v>331121010</v>
      </c>
      <c r="B3350" s="202" t="s">
        <v>6338</v>
      </c>
      <c r="C3350" s="203" t="s">
        <v>2143</v>
      </c>
      <c r="D3350" s="204">
        <v>1</v>
      </c>
      <c r="E3350" s="204" t="s">
        <v>1958</v>
      </c>
      <c r="F3350" s="205">
        <v>0.44018402989135397</v>
      </c>
    </row>
    <row r="3351" spans="1:6">
      <c r="A3351" s="210">
        <v>331121011</v>
      </c>
      <c r="B3351" s="202" t="s">
        <v>6339</v>
      </c>
      <c r="C3351" s="203" t="s">
        <v>2143</v>
      </c>
      <c r="D3351" s="204">
        <v>1</v>
      </c>
      <c r="E3351" s="204" t="s">
        <v>1958</v>
      </c>
      <c r="F3351" s="205">
        <v>0.58214508971456924</v>
      </c>
    </row>
    <row r="3352" spans="1:6">
      <c r="A3352" s="210">
        <v>331121012</v>
      </c>
      <c r="B3352" s="202" t="s">
        <v>6340</v>
      </c>
      <c r="C3352" s="203" t="s">
        <v>2143</v>
      </c>
      <c r="D3352" s="204">
        <v>1</v>
      </c>
      <c r="E3352" s="204" t="s">
        <v>1958</v>
      </c>
      <c r="F3352" s="205">
        <v>0.60663963406827026</v>
      </c>
    </row>
    <row r="3353" spans="1:6">
      <c r="A3353" s="210">
        <v>331121013</v>
      </c>
      <c r="B3353" s="202" t="s">
        <v>6341</v>
      </c>
      <c r="C3353" s="203" t="s">
        <v>2143</v>
      </c>
      <c r="D3353" s="204">
        <v>1</v>
      </c>
      <c r="E3353" s="204" t="s">
        <v>1958</v>
      </c>
      <c r="F3353" s="205">
        <v>0.62885790797244834</v>
      </c>
    </row>
    <row r="3354" spans="1:6">
      <c r="A3354" s="210">
        <v>331121014</v>
      </c>
      <c r="B3354" s="202" t="s">
        <v>6342</v>
      </c>
      <c r="C3354" s="203" t="s">
        <v>2143</v>
      </c>
      <c r="D3354" s="204">
        <v>1</v>
      </c>
      <c r="E3354" s="204" t="s">
        <v>1958</v>
      </c>
      <c r="F3354" s="205">
        <v>0.59923059481361218</v>
      </c>
    </row>
    <row r="3355" spans="1:6">
      <c r="A3355" s="210">
        <v>331122004</v>
      </c>
      <c r="B3355" s="202" t="s">
        <v>6343</v>
      </c>
      <c r="C3355" s="203" t="s">
        <v>2143</v>
      </c>
      <c r="D3355" s="204">
        <v>1</v>
      </c>
      <c r="E3355" s="204" t="s">
        <v>1958</v>
      </c>
      <c r="F3355" s="205">
        <v>0.39146807222225732</v>
      </c>
    </row>
    <row r="3356" spans="1:6">
      <c r="A3356" s="210">
        <v>331122005</v>
      </c>
      <c r="B3356" s="202" t="s">
        <v>6344</v>
      </c>
      <c r="C3356" s="203" t="s">
        <v>2143</v>
      </c>
      <c r="D3356" s="204">
        <v>1</v>
      </c>
      <c r="E3356" s="204" t="s">
        <v>1958</v>
      </c>
      <c r="F3356" s="205">
        <v>0.38746007001789268</v>
      </c>
    </row>
    <row r="3357" spans="1:6">
      <c r="A3357" s="210">
        <v>331122006</v>
      </c>
      <c r="B3357" s="202" t="s">
        <v>6345</v>
      </c>
      <c r="C3357" s="203" t="s">
        <v>2143</v>
      </c>
      <c r="D3357" s="204">
        <v>1</v>
      </c>
      <c r="E3357" s="204" t="s">
        <v>1958</v>
      </c>
      <c r="F3357" s="205">
        <v>0.35001259785726829</v>
      </c>
    </row>
    <row r="3358" spans="1:6">
      <c r="A3358" s="210">
        <v>331122007</v>
      </c>
      <c r="B3358" s="202" t="s">
        <v>6346</v>
      </c>
      <c r="C3358" s="203" t="s">
        <v>2143</v>
      </c>
      <c r="D3358" s="204">
        <v>1</v>
      </c>
      <c r="E3358" s="204" t="s">
        <v>1958</v>
      </c>
      <c r="F3358" s="205">
        <v>0.46526229494779209</v>
      </c>
    </row>
    <row r="3359" spans="1:6">
      <c r="A3359" s="210">
        <v>331122008</v>
      </c>
      <c r="B3359" s="202" t="s">
        <v>6347</v>
      </c>
      <c r="C3359" s="203" t="s">
        <v>2143</v>
      </c>
      <c r="D3359" s="204">
        <v>1</v>
      </c>
      <c r="E3359" s="204" t="s">
        <v>1958</v>
      </c>
      <c r="F3359" s="205">
        <v>0.4528724570996519</v>
      </c>
    </row>
    <row r="3360" spans="1:6">
      <c r="A3360" s="210">
        <v>331122009</v>
      </c>
      <c r="B3360" s="202" t="s">
        <v>6348</v>
      </c>
      <c r="C3360" s="203" t="s">
        <v>2143</v>
      </c>
      <c r="D3360" s="204">
        <v>1</v>
      </c>
      <c r="E3360" s="204" t="s">
        <v>1958</v>
      </c>
      <c r="F3360" s="205">
        <v>0.39962177714411223</v>
      </c>
    </row>
    <row r="3361" spans="1:6">
      <c r="A3361" s="210">
        <v>331122010</v>
      </c>
      <c r="B3361" s="202" t="s">
        <v>6349</v>
      </c>
      <c r="C3361" s="203" t="s">
        <v>2143</v>
      </c>
      <c r="D3361" s="204">
        <v>1</v>
      </c>
      <c r="E3361" s="204" t="s">
        <v>1958</v>
      </c>
      <c r="F3361" s="205">
        <v>0.39538299657692488</v>
      </c>
    </row>
    <row r="3362" spans="1:6">
      <c r="A3362" s="210">
        <v>331122011</v>
      </c>
      <c r="B3362" s="202" t="s">
        <v>6350</v>
      </c>
      <c r="C3362" s="203" t="s">
        <v>2143</v>
      </c>
      <c r="D3362" s="204">
        <v>1</v>
      </c>
      <c r="E3362" s="204" t="s">
        <v>1958</v>
      </c>
      <c r="F3362" s="205">
        <v>0.52573898164673416</v>
      </c>
    </row>
    <row r="3363" spans="1:6">
      <c r="A3363" s="210">
        <v>331122012</v>
      </c>
      <c r="B3363" s="202" t="s">
        <v>6351</v>
      </c>
      <c r="C3363" s="203" t="s">
        <v>2143</v>
      </c>
      <c r="D3363" s="204">
        <v>1</v>
      </c>
      <c r="E3363" s="204" t="s">
        <v>1958</v>
      </c>
      <c r="F3363" s="205">
        <v>0.60294867370219629</v>
      </c>
    </row>
    <row r="3364" spans="1:6">
      <c r="A3364" s="210">
        <v>331122013</v>
      </c>
      <c r="B3364" s="202" t="s">
        <v>6352</v>
      </c>
      <c r="C3364" s="203" t="s">
        <v>2143</v>
      </c>
      <c r="D3364" s="204">
        <v>1</v>
      </c>
      <c r="E3364" s="204" t="s">
        <v>1958</v>
      </c>
      <c r="F3364" s="205">
        <v>0.59102126275780709</v>
      </c>
    </row>
    <row r="3365" spans="1:6">
      <c r="A3365" s="210">
        <v>331122014</v>
      </c>
      <c r="B3365" s="202" t="s">
        <v>6353</v>
      </c>
      <c r="C3365" s="203" t="s">
        <v>2143</v>
      </c>
      <c r="D3365" s="204">
        <v>1</v>
      </c>
      <c r="E3365" s="204" t="s">
        <v>1958</v>
      </c>
      <c r="F3365" s="205">
        <v>0.55927569551314271</v>
      </c>
    </row>
    <row r="3366" spans="1:6">
      <c r="A3366" s="210">
        <v>331123004</v>
      </c>
      <c r="B3366" s="202" t="s">
        <v>6354</v>
      </c>
      <c r="C3366" s="203" t="s">
        <v>2143</v>
      </c>
      <c r="D3366" s="204">
        <v>1</v>
      </c>
      <c r="E3366" s="204" t="s">
        <v>1958</v>
      </c>
      <c r="F3366" s="205">
        <v>0.5118744583959286</v>
      </c>
    </row>
    <row r="3367" spans="1:6">
      <c r="A3367" s="210">
        <v>331123005</v>
      </c>
      <c r="B3367" s="202" t="s">
        <v>6355</v>
      </c>
      <c r="C3367" s="203" t="s">
        <v>2143</v>
      </c>
      <c r="D3367" s="204">
        <v>1</v>
      </c>
      <c r="E3367" s="204" t="s">
        <v>1958</v>
      </c>
      <c r="F3367" s="205">
        <v>0.51440299313855187</v>
      </c>
    </row>
    <row r="3368" spans="1:6">
      <c r="A3368" s="210">
        <v>331123006</v>
      </c>
      <c r="B3368" s="202" t="s">
        <v>6356</v>
      </c>
      <c r="C3368" s="203" t="s">
        <v>2143</v>
      </c>
      <c r="D3368" s="204">
        <v>1</v>
      </c>
      <c r="E3368" s="204" t="s">
        <v>1958</v>
      </c>
      <c r="F3368" s="205">
        <v>0.54880037694093964</v>
      </c>
    </row>
    <row r="3369" spans="1:6">
      <c r="A3369" s="210">
        <v>331123007</v>
      </c>
      <c r="B3369" s="202" t="s">
        <v>6357</v>
      </c>
      <c r="C3369" s="203" t="s">
        <v>2143</v>
      </c>
      <c r="D3369" s="204">
        <v>1</v>
      </c>
      <c r="E3369" s="204" t="s">
        <v>1958</v>
      </c>
      <c r="F3369" s="205">
        <v>0.53231874721654204</v>
      </c>
    </row>
    <row r="3370" spans="1:6">
      <c r="A3370" s="210">
        <v>331123008</v>
      </c>
      <c r="B3370" s="202" t="s">
        <v>6358</v>
      </c>
      <c r="C3370" s="203" t="s">
        <v>2143</v>
      </c>
      <c r="D3370" s="204">
        <v>1</v>
      </c>
      <c r="E3370" s="204" t="s">
        <v>1958</v>
      </c>
      <c r="F3370" s="205">
        <v>0.51829752607742186</v>
      </c>
    </row>
    <row r="3371" spans="1:6">
      <c r="A3371" s="210">
        <v>331123009</v>
      </c>
      <c r="B3371" s="202" t="s">
        <v>6359</v>
      </c>
      <c r="C3371" s="203" t="s">
        <v>2143</v>
      </c>
      <c r="D3371" s="204">
        <v>1</v>
      </c>
      <c r="E3371" s="204" t="s">
        <v>1958</v>
      </c>
      <c r="F3371" s="205">
        <v>0.54240650466761198</v>
      </c>
    </row>
    <row r="3372" spans="1:6">
      <c r="A3372" s="210">
        <v>331123010</v>
      </c>
      <c r="B3372" s="202" t="s">
        <v>6360</v>
      </c>
      <c r="C3372" s="203" t="s">
        <v>2143</v>
      </c>
      <c r="D3372" s="204">
        <v>1</v>
      </c>
      <c r="E3372" s="204" t="s">
        <v>1958</v>
      </c>
      <c r="F3372" s="205">
        <v>0.55441722895448731</v>
      </c>
    </row>
    <row r="3373" spans="1:6">
      <c r="A3373" s="210">
        <v>331123011</v>
      </c>
      <c r="B3373" s="202" t="s">
        <v>6361</v>
      </c>
      <c r="C3373" s="203" t="s">
        <v>2143</v>
      </c>
      <c r="D3373" s="204">
        <v>1</v>
      </c>
      <c r="E3373" s="204" t="s">
        <v>1958</v>
      </c>
      <c r="F3373" s="205">
        <v>0.60080504653769995</v>
      </c>
    </row>
    <row r="3374" spans="1:6">
      <c r="A3374" s="210">
        <v>331123012</v>
      </c>
      <c r="B3374" s="202" t="s">
        <v>6362</v>
      </c>
      <c r="C3374" s="203" t="s">
        <v>2143</v>
      </c>
      <c r="D3374" s="204">
        <v>1</v>
      </c>
      <c r="E3374" s="204" t="s">
        <v>1958</v>
      </c>
      <c r="F3374" s="205">
        <v>0.6103531496062079</v>
      </c>
    </row>
    <row r="3375" spans="1:6">
      <c r="A3375" s="210">
        <v>331123013</v>
      </c>
      <c r="B3375" s="202" t="s">
        <v>6363</v>
      </c>
      <c r="C3375" s="203" t="s">
        <v>2143</v>
      </c>
      <c r="D3375" s="204">
        <v>1</v>
      </c>
      <c r="E3375" s="204" t="s">
        <v>1958</v>
      </c>
      <c r="F3375" s="205">
        <v>0.60439634315213464</v>
      </c>
    </row>
    <row r="3376" spans="1:6">
      <c r="A3376" s="210">
        <v>331123014</v>
      </c>
      <c r="B3376" s="202" t="s">
        <v>6364</v>
      </c>
      <c r="C3376" s="203" t="s">
        <v>2143</v>
      </c>
      <c r="D3376" s="204">
        <v>1</v>
      </c>
      <c r="E3376" s="204" t="s">
        <v>1958</v>
      </c>
      <c r="F3376" s="205">
        <v>0.58970345576758998</v>
      </c>
    </row>
    <row r="3377" spans="1:6">
      <c r="A3377" s="210">
        <v>331124004</v>
      </c>
      <c r="B3377" s="202" t="s">
        <v>6365</v>
      </c>
      <c r="C3377" s="203" t="s">
        <v>2143</v>
      </c>
      <c r="D3377" s="204">
        <v>1</v>
      </c>
      <c r="E3377" s="204" t="s">
        <v>1958</v>
      </c>
      <c r="F3377" s="205">
        <v>0.6089386000015512</v>
      </c>
    </row>
    <row r="3378" spans="1:6">
      <c r="A3378" s="210">
        <v>331124005</v>
      </c>
      <c r="B3378" s="202" t="s">
        <v>6366</v>
      </c>
      <c r="C3378" s="203" t="s">
        <v>2143</v>
      </c>
      <c r="D3378" s="204">
        <v>1</v>
      </c>
      <c r="E3378" s="204" t="s">
        <v>1958</v>
      </c>
      <c r="F3378" s="205">
        <v>0.53446734700675169</v>
      </c>
    </row>
    <row r="3379" spans="1:6">
      <c r="A3379" s="210">
        <v>331124006</v>
      </c>
      <c r="B3379" s="202" t="s">
        <v>6367</v>
      </c>
      <c r="C3379" s="203" t="s">
        <v>2143</v>
      </c>
      <c r="D3379" s="204">
        <v>1</v>
      </c>
      <c r="E3379" s="204" t="s">
        <v>1958</v>
      </c>
      <c r="F3379" s="205">
        <v>0.57452197093360902</v>
      </c>
    </row>
    <row r="3380" spans="1:6">
      <c r="A3380" s="210">
        <v>331124007</v>
      </c>
      <c r="B3380" s="202" t="s">
        <v>6368</v>
      </c>
      <c r="C3380" s="203" t="s">
        <v>2143</v>
      </c>
      <c r="D3380" s="204">
        <v>1</v>
      </c>
      <c r="E3380" s="204" t="s">
        <v>1958</v>
      </c>
      <c r="F3380" s="205">
        <v>0.73131963295300295</v>
      </c>
    </row>
    <row r="3381" spans="1:6">
      <c r="A3381" s="210">
        <v>331124008</v>
      </c>
      <c r="B3381" s="202" t="s">
        <v>6369</v>
      </c>
      <c r="C3381" s="203" t="s">
        <v>2143</v>
      </c>
      <c r="D3381" s="204">
        <v>1</v>
      </c>
      <c r="E3381" s="204" t="s">
        <v>1958</v>
      </c>
      <c r="F3381" s="205">
        <v>0.53099477077804169</v>
      </c>
    </row>
    <row r="3382" spans="1:6">
      <c r="A3382" s="210">
        <v>331124009</v>
      </c>
      <c r="B3382" s="202" t="s">
        <v>6370</v>
      </c>
      <c r="C3382" s="203" t="s">
        <v>2143</v>
      </c>
      <c r="D3382" s="204">
        <v>1</v>
      </c>
      <c r="E3382" s="204" t="s">
        <v>1958</v>
      </c>
      <c r="F3382" s="205">
        <v>0.4794877023881528</v>
      </c>
    </row>
    <row r="3383" spans="1:6">
      <c r="A3383" s="210">
        <v>331124010</v>
      </c>
      <c r="B3383" s="202" t="s">
        <v>6371</v>
      </c>
      <c r="C3383" s="203" t="s">
        <v>2143</v>
      </c>
      <c r="D3383" s="204">
        <v>1</v>
      </c>
      <c r="E3383" s="204" t="s">
        <v>1958</v>
      </c>
      <c r="F3383" s="205">
        <v>0.43872803359760204</v>
      </c>
    </row>
    <row r="3384" spans="1:6">
      <c r="A3384" s="210">
        <v>331124011</v>
      </c>
      <c r="B3384" s="202" t="s">
        <v>6372</v>
      </c>
      <c r="C3384" s="203" t="s">
        <v>2143</v>
      </c>
      <c r="D3384" s="204">
        <v>1</v>
      </c>
      <c r="E3384" s="204" t="s">
        <v>1958</v>
      </c>
      <c r="F3384" s="205">
        <v>0.70562407552081252</v>
      </c>
    </row>
    <row r="3385" spans="1:6">
      <c r="A3385" s="210">
        <v>331124012</v>
      </c>
      <c r="B3385" s="202" t="s">
        <v>6373</v>
      </c>
      <c r="C3385" s="203" t="s">
        <v>2143</v>
      </c>
      <c r="D3385" s="204">
        <v>1</v>
      </c>
      <c r="E3385" s="204" t="s">
        <v>1958</v>
      </c>
      <c r="F3385" s="205">
        <v>0.71846901157943721</v>
      </c>
    </row>
    <row r="3386" spans="1:6">
      <c r="A3386" s="210">
        <v>331124013</v>
      </c>
      <c r="B3386" s="202" t="s">
        <v>6374</v>
      </c>
      <c r="C3386" s="203" t="s">
        <v>2143</v>
      </c>
      <c r="D3386" s="204">
        <v>1</v>
      </c>
      <c r="E3386" s="204" t="s">
        <v>1958</v>
      </c>
      <c r="F3386" s="205">
        <v>0.69407889900823594</v>
      </c>
    </row>
    <row r="3387" spans="1:6">
      <c r="A3387" s="210">
        <v>331124014</v>
      </c>
      <c r="B3387" s="202" t="s">
        <v>6375</v>
      </c>
      <c r="C3387" s="203" t="s">
        <v>2143</v>
      </c>
      <c r="D3387" s="204">
        <v>1</v>
      </c>
      <c r="E3387" s="204" t="s">
        <v>1958</v>
      </c>
      <c r="F3387" s="205">
        <v>0.70381340939703851</v>
      </c>
    </row>
    <row r="3388" spans="1:6">
      <c r="A3388" s="210">
        <v>331125004</v>
      </c>
      <c r="B3388" s="202" t="s">
        <v>6376</v>
      </c>
      <c r="C3388" s="203" t="s">
        <v>2143</v>
      </c>
      <c r="D3388" s="204">
        <v>1</v>
      </c>
      <c r="E3388" s="204" t="s">
        <v>1958</v>
      </c>
      <c r="F3388" s="205">
        <v>0.24733194480265652</v>
      </c>
    </row>
    <row r="3389" spans="1:6">
      <c r="A3389" s="210">
        <v>331125005</v>
      </c>
      <c r="B3389" s="202" t="s">
        <v>6377</v>
      </c>
      <c r="C3389" s="203" t="s">
        <v>2143</v>
      </c>
      <c r="D3389" s="204">
        <v>1</v>
      </c>
      <c r="E3389" s="204" t="s">
        <v>1958</v>
      </c>
      <c r="F3389" s="205">
        <v>0.25163357044987827</v>
      </c>
    </row>
    <row r="3390" spans="1:6">
      <c r="A3390" s="210">
        <v>331125006</v>
      </c>
      <c r="B3390" s="202" t="s">
        <v>6378</v>
      </c>
      <c r="C3390" s="203" t="s">
        <v>2143</v>
      </c>
      <c r="D3390" s="204">
        <v>1</v>
      </c>
      <c r="E3390" s="204" t="s">
        <v>1958</v>
      </c>
      <c r="F3390" s="205">
        <v>0.24183537652012543</v>
      </c>
    </row>
    <row r="3391" spans="1:6">
      <c r="A3391" s="210">
        <v>331125007</v>
      </c>
      <c r="B3391" s="202" t="s">
        <v>6379</v>
      </c>
      <c r="C3391" s="203" t="s">
        <v>2143</v>
      </c>
      <c r="D3391" s="204">
        <v>1</v>
      </c>
      <c r="E3391" s="204" t="s">
        <v>1958</v>
      </c>
      <c r="F3391" s="205">
        <v>0.29333374675843921</v>
      </c>
    </row>
    <row r="3392" spans="1:6">
      <c r="A3392" s="210">
        <v>331125008</v>
      </c>
      <c r="B3392" s="202" t="s">
        <v>6380</v>
      </c>
      <c r="C3392" s="203" t="s">
        <v>2143</v>
      </c>
      <c r="D3392" s="204">
        <v>1</v>
      </c>
      <c r="E3392" s="204" t="s">
        <v>1958</v>
      </c>
      <c r="F3392" s="205">
        <v>0.29867452751732432</v>
      </c>
    </row>
    <row r="3393" spans="1:6">
      <c r="A3393" s="210">
        <v>331125009</v>
      </c>
      <c r="B3393" s="202" t="s">
        <v>6381</v>
      </c>
      <c r="C3393" s="203" t="s">
        <v>2143</v>
      </c>
      <c r="D3393" s="204">
        <v>1</v>
      </c>
      <c r="E3393" s="204" t="s">
        <v>1958</v>
      </c>
      <c r="F3393" s="205">
        <v>0.24354041131178711</v>
      </c>
    </row>
    <row r="3394" spans="1:6">
      <c r="A3394" s="210">
        <v>331125010</v>
      </c>
      <c r="B3394" s="202" t="s">
        <v>6382</v>
      </c>
      <c r="C3394" s="203" t="s">
        <v>2143</v>
      </c>
      <c r="D3394" s="204">
        <v>1</v>
      </c>
      <c r="E3394" s="204" t="s">
        <v>1958</v>
      </c>
      <c r="F3394" s="205">
        <v>0.26807223788964329</v>
      </c>
    </row>
    <row r="3395" spans="1:6">
      <c r="A3395" s="210">
        <v>331125011</v>
      </c>
      <c r="B3395" s="202" t="s">
        <v>6383</v>
      </c>
      <c r="C3395" s="203" t="s">
        <v>2143</v>
      </c>
      <c r="D3395" s="204">
        <v>1</v>
      </c>
      <c r="E3395" s="204" t="s">
        <v>1958</v>
      </c>
      <c r="F3395" s="205">
        <v>0.42146411601252215</v>
      </c>
    </row>
    <row r="3396" spans="1:6">
      <c r="A3396" s="210">
        <v>331125012</v>
      </c>
      <c r="B3396" s="202" t="s">
        <v>6384</v>
      </c>
      <c r="C3396" s="203" t="s">
        <v>2143</v>
      </c>
      <c r="D3396" s="204">
        <v>1</v>
      </c>
      <c r="E3396" s="204" t="s">
        <v>1958</v>
      </c>
      <c r="F3396" s="205">
        <v>0.51320413758383909</v>
      </c>
    </row>
    <row r="3397" spans="1:6">
      <c r="A3397" s="210">
        <v>331125013</v>
      </c>
      <c r="B3397" s="202" t="s">
        <v>6385</v>
      </c>
      <c r="C3397" s="203" t="s">
        <v>2143</v>
      </c>
      <c r="D3397" s="204">
        <v>1</v>
      </c>
      <c r="E3397" s="204" t="s">
        <v>1958</v>
      </c>
      <c r="F3397" s="205">
        <v>0.53616780081258142</v>
      </c>
    </row>
    <row r="3398" spans="1:6">
      <c r="A3398" s="210">
        <v>331125014</v>
      </c>
      <c r="B3398" s="202" t="s">
        <v>6386</v>
      </c>
      <c r="C3398" s="203" t="s">
        <v>2143</v>
      </c>
      <c r="D3398" s="204">
        <v>1</v>
      </c>
      <c r="E3398" s="204" t="s">
        <v>1958</v>
      </c>
      <c r="F3398" s="205">
        <v>0.5499170461378714</v>
      </c>
    </row>
    <row r="3399" spans="1:6">
      <c r="A3399" s="210">
        <v>331126004</v>
      </c>
      <c r="B3399" s="202" t="s">
        <v>6387</v>
      </c>
      <c r="C3399" s="203" t="s">
        <v>2143</v>
      </c>
      <c r="D3399" s="204">
        <v>1</v>
      </c>
      <c r="E3399" s="204" t="s">
        <v>1958</v>
      </c>
      <c r="F3399" s="205">
        <v>0.623403714600687</v>
      </c>
    </row>
    <row r="3400" spans="1:6">
      <c r="A3400" s="210">
        <v>331126005</v>
      </c>
      <c r="B3400" s="202" t="s">
        <v>6388</v>
      </c>
      <c r="C3400" s="203" t="s">
        <v>2143</v>
      </c>
      <c r="D3400" s="204">
        <v>1</v>
      </c>
      <c r="E3400" s="204" t="s">
        <v>1958</v>
      </c>
      <c r="F3400" s="205">
        <v>0.61629695203498014</v>
      </c>
    </row>
    <row r="3401" spans="1:6">
      <c r="A3401" s="210">
        <v>331126006</v>
      </c>
      <c r="B3401" s="202" t="s">
        <v>6389</v>
      </c>
      <c r="C3401" s="203" t="s">
        <v>2143</v>
      </c>
      <c r="D3401" s="204">
        <v>1</v>
      </c>
      <c r="E3401" s="204" t="s">
        <v>1958</v>
      </c>
      <c r="F3401" s="205">
        <v>0.62588925941118934</v>
      </c>
    </row>
    <row r="3402" spans="1:6">
      <c r="A3402" s="210">
        <v>331126007</v>
      </c>
      <c r="B3402" s="202" t="s">
        <v>6390</v>
      </c>
      <c r="C3402" s="203" t="s">
        <v>2143</v>
      </c>
      <c r="D3402" s="204">
        <v>1</v>
      </c>
      <c r="E3402" s="204" t="s">
        <v>1958</v>
      </c>
      <c r="F3402" s="205">
        <v>0.64038874766336318</v>
      </c>
    </row>
    <row r="3403" spans="1:6">
      <c r="A3403" s="210">
        <v>331126008</v>
      </c>
      <c r="B3403" s="202" t="s">
        <v>6391</v>
      </c>
      <c r="C3403" s="203" t="s">
        <v>2143</v>
      </c>
      <c r="D3403" s="204">
        <v>1</v>
      </c>
      <c r="E3403" s="204" t="s">
        <v>1958</v>
      </c>
      <c r="F3403" s="205">
        <v>0.63199042901460301</v>
      </c>
    </row>
    <row r="3404" spans="1:6">
      <c r="A3404" s="210">
        <v>331126009</v>
      </c>
      <c r="B3404" s="202" t="s">
        <v>6392</v>
      </c>
      <c r="C3404" s="203" t="s">
        <v>2143</v>
      </c>
      <c r="D3404" s="204">
        <v>1</v>
      </c>
      <c r="E3404" s="204" t="s">
        <v>1958</v>
      </c>
      <c r="F3404" s="205">
        <v>0.57528634848443738</v>
      </c>
    </row>
    <row r="3405" spans="1:6">
      <c r="A3405" s="210">
        <v>331126010</v>
      </c>
      <c r="B3405" s="202" t="s">
        <v>6393</v>
      </c>
      <c r="C3405" s="203" t="s">
        <v>2143</v>
      </c>
      <c r="D3405" s="204">
        <v>1</v>
      </c>
      <c r="E3405" s="204" t="s">
        <v>1958</v>
      </c>
      <c r="F3405" s="205">
        <v>0.70443797696225219</v>
      </c>
    </row>
    <row r="3406" spans="1:6">
      <c r="A3406" s="210">
        <v>331126011</v>
      </c>
      <c r="B3406" s="202" t="s">
        <v>6394</v>
      </c>
      <c r="C3406" s="203" t="s">
        <v>2143</v>
      </c>
      <c r="D3406" s="204">
        <v>1</v>
      </c>
      <c r="E3406" s="204" t="s">
        <v>1958</v>
      </c>
      <c r="F3406" s="205">
        <v>0.62760703046190647</v>
      </c>
    </row>
    <row r="3407" spans="1:6">
      <c r="A3407" s="210">
        <v>331126012</v>
      </c>
      <c r="B3407" s="202" t="s">
        <v>6395</v>
      </c>
      <c r="C3407" s="203" t="s">
        <v>2143</v>
      </c>
      <c r="D3407" s="204">
        <v>1</v>
      </c>
      <c r="E3407" s="204" t="s">
        <v>1958</v>
      </c>
      <c r="F3407" s="205">
        <v>0.727724582643686</v>
      </c>
    </row>
    <row r="3408" spans="1:6">
      <c r="A3408" s="210">
        <v>331126013</v>
      </c>
      <c r="B3408" s="202" t="s">
        <v>6396</v>
      </c>
      <c r="C3408" s="203" t="s">
        <v>2143</v>
      </c>
      <c r="D3408" s="204">
        <v>1</v>
      </c>
      <c r="E3408" s="204" t="s">
        <v>1958</v>
      </c>
      <c r="F3408" s="205">
        <v>0.71158334632027198</v>
      </c>
    </row>
    <row r="3409" spans="1:6">
      <c r="A3409" s="210">
        <v>331126014</v>
      </c>
      <c r="B3409" s="202" t="s">
        <v>6397</v>
      </c>
      <c r="C3409" s="203" t="s">
        <v>2143</v>
      </c>
      <c r="D3409" s="204">
        <v>1</v>
      </c>
      <c r="E3409" s="204" t="s">
        <v>1958</v>
      </c>
      <c r="F3409" s="205">
        <v>0.70418330771031434</v>
      </c>
    </row>
    <row r="3410" spans="1:6">
      <c r="A3410" s="210">
        <v>331127004</v>
      </c>
      <c r="B3410" s="202" t="s">
        <v>6398</v>
      </c>
      <c r="C3410" s="203" t="s">
        <v>2143</v>
      </c>
      <c r="D3410" s="204">
        <v>1</v>
      </c>
      <c r="E3410" s="204" t="s">
        <v>1958</v>
      </c>
      <c r="F3410" s="205">
        <v>0.41243658241106712</v>
      </c>
    </row>
    <row r="3411" spans="1:6">
      <c r="A3411" s="210">
        <v>331127005</v>
      </c>
      <c r="B3411" s="202" t="s">
        <v>6399</v>
      </c>
      <c r="C3411" s="203" t="s">
        <v>2143</v>
      </c>
      <c r="D3411" s="204">
        <v>1</v>
      </c>
      <c r="E3411" s="204" t="s">
        <v>1958</v>
      </c>
      <c r="F3411" s="205">
        <v>0.38257835238393101</v>
      </c>
    </row>
    <row r="3412" spans="1:6">
      <c r="A3412" s="210">
        <v>331127006</v>
      </c>
      <c r="B3412" s="202" t="s">
        <v>6400</v>
      </c>
      <c r="C3412" s="203" t="s">
        <v>2143</v>
      </c>
      <c r="D3412" s="204">
        <v>1</v>
      </c>
      <c r="E3412" s="204" t="s">
        <v>1958</v>
      </c>
      <c r="F3412" s="205">
        <v>0.39066935329563507</v>
      </c>
    </row>
    <row r="3413" spans="1:6">
      <c r="A3413" s="210">
        <v>331127007</v>
      </c>
      <c r="B3413" s="202" t="s">
        <v>6401</v>
      </c>
      <c r="C3413" s="203" t="s">
        <v>2143</v>
      </c>
      <c r="D3413" s="204">
        <v>1</v>
      </c>
      <c r="E3413" s="204" t="s">
        <v>1958</v>
      </c>
      <c r="F3413" s="205">
        <v>0.40980637821777027</v>
      </c>
    </row>
    <row r="3414" spans="1:6">
      <c r="A3414" s="210">
        <v>331127008</v>
      </c>
      <c r="B3414" s="202" t="s">
        <v>6402</v>
      </c>
      <c r="C3414" s="203" t="s">
        <v>2143</v>
      </c>
      <c r="D3414" s="204">
        <v>1</v>
      </c>
      <c r="E3414" s="204" t="s">
        <v>1958</v>
      </c>
      <c r="F3414" s="205">
        <v>0.38009136957087897</v>
      </c>
    </row>
    <row r="3415" spans="1:6">
      <c r="A3415" s="210">
        <v>331127009</v>
      </c>
      <c r="B3415" s="202" t="s">
        <v>6403</v>
      </c>
      <c r="C3415" s="203" t="s">
        <v>2143</v>
      </c>
      <c r="D3415" s="204">
        <v>1</v>
      </c>
      <c r="E3415" s="204" t="s">
        <v>1958</v>
      </c>
      <c r="F3415" s="205">
        <v>0.36834985732934677</v>
      </c>
    </row>
    <row r="3416" spans="1:6">
      <c r="A3416" s="210">
        <v>331127010</v>
      </c>
      <c r="B3416" s="202" t="s">
        <v>6404</v>
      </c>
      <c r="C3416" s="203" t="s">
        <v>2143</v>
      </c>
      <c r="D3416" s="204">
        <v>1</v>
      </c>
      <c r="E3416" s="204" t="s">
        <v>1958</v>
      </c>
      <c r="F3416" s="205">
        <v>0.33220243671106936</v>
      </c>
    </row>
    <row r="3417" spans="1:6">
      <c r="A3417" s="210">
        <v>331127011</v>
      </c>
      <c r="B3417" s="202" t="s">
        <v>6405</v>
      </c>
      <c r="C3417" s="203" t="s">
        <v>2143</v>
      </c>
      <c r="D3417" s="204">
        <v>1</v>
      </c>
      <c r="E3417" s="204" t="s">
        <v>1958</v>
      </c>
      <c r="F3417" s="205">
        <v>0.54378038043722154</v>
      </c>
    </row>
    <row r="3418" spans="1:6">
      <c r="A3418" s="210">
        <v>331127012</v>
      </c>
      <c r="B3418" s="202" t="s">
        <v>6406</v>
      </c>
      <c r="C3418" s="203" t="s">
        <v>2143</v>
      </c>
      <c r="D3418" s="204">
        <v>1</v>
      </c>
      <c r="E3418" s="204" t="s">
        <v>1958</v>
      </c>
      <c r="F3418" s="205">
        <v>0.71880922903800437</v>
      </c>
    </row>
    <row r="3419" spans="1:6">
      <c r="A3419" s="210">
        <v>331127013</v>
      </c>
      <c r="B3419" s="202" t="s">
        <v>6407</v>
      </c>
      <c r="C3419" s="203" t="s">
        <v>2143</v>
      </c>
      <c r="D3419" s="204">
        <v>1</v>
      </c>
      <c r="E3419" s="204" t="s">
        <v>1958</v>
      </c>
      <c r="F3419" s="205">
        <v>0.72217175222226559</v>
      </c>
    </row>
    <row r="3420" spans="1:6">
      <c r="A3420" s="210">
        <v>331127014</v>
      </c>
      <c r="B3420" s="202" t="s">
        <v>6408</v>
      </c>
      <c r="C3420" s="203" t="s">
        <v>2143</v>
      </c>
      <c r="D3420" s="204">
        <v>1</v>
      </c>
      <c r="E3420" s="204" t="s">
        <v>1958</v>
      </c>
      <c r="F3420" s="205">
        <v>0.71604700668401478</v>
      </c>
    </row>
    <row r="3421" spans="1:6">
      <c r="A3421" s="210">
        <v>331128004</v>
      </c>
      <c r="B3421" s="202" t="s">
        <v>6409</v>
      </c>
      <c r="C3421" s="203" t="s">
        <v>2143</v>
      </c>
      <c r="D3421" s="204">
        <v>1</v>
      </c>
      <c r="E3421" s="204" t="s">
        <v>1958</v>
      </c>
      <c r="F3421" s="205">
        <v>0.29918547720955424</v>
      </c>
    </row>
    <row r="3422" spans="1:6">
      <c r="A3422" s="210">
        <v>331128005</v>
      </c>
      <c r="B3422" s="202" t="s">
        <v>6410</v>
      </c>
      <c r="C3422" s="203" t="s">
        <v>2143</v>
      </c>
      <c r="D3422" s="204">
        <v>1</v>
      </c>
      <c r="E3422" s="204" t="s">
        <v>1958</v>
      </c>
      <c r="F3422" s="205">
        <v>0.32229423480218977</v>
      </c>
    </row>
    <row r="3423" spans="1:6">
      <c r="A3423" s="210">
        <v>331128006</v>
      </c>
      <c r="B3423" s="202" t="s">
        <v>6411</v>
      </c>
      <c r="C3423" s="203" t="s">
        <v>2143</v>
      </c>
      <c r="D3423" s="204">
        <v>1</v>
      </c>
      <c r="E3423" s="204" t="s">
        <v>1958</v>
      </c>
      <c r="F3423" s="205">
        <v>0.34890660743947877</v>
      </c>
    </row>
    <row r="3424" spans="1:6">
      <c r="A3424" s="210">
        <v>331128007</v>
      </c>
      <c r="B3424" s="202" t="s">
        <v>6412</v>
      </c>
      <c r="C3424" s="203" t="s">
        <v>2143</v>
      </c>
      <c r="D3424" s="204">
        <v>1</v>
      </c>
      <c r="E3424" s="204" t="s">
        <v>1958</v>
      </c>
      <c r="F3424" s="205">
        <v>0.35645764048203493</v>
      </c>
    </row>
    <row r="3425" spans="1:6">
      <c r="A3425" s="210">
        <v>331128008</v>
      </c>
      <c r="B3425" s="202" t="s">
        <v>6413</v>
      </c>
      <c r="C3425" s="203" t="s">
        <v>2143</v>
      </c>
      <c r="D3425" s="204">
        <v>1</v>
      </c>
      <c r="E3425" s="204" t="s">
        <v>1958</v>
      </c>
      <c r="F3425" s="205">
        <v>0.34687987222371947</v>
      </c>
    </row>
    <row r="3426" spans="1:6">
      <c r="A3426" s="210">
        <v>331128009</v>
      </c>
      <c r="B3426" s="202" t="s">
        <v>6414</v>
      </c>
      <c r="C3426" s="203" t="s">
        <v>2143</v>
      </c>
      <c r="D3426" s="204">
        <v>1</v>
      </c>
      <c r="E3426" s="204" t="s">
        <v>1958</v>
      </c>
      <c r="F3426" s="205">
        <v>0.35272087490284049</v>
      </c>
    </row>
    <row r="3427" spans="1:6">
      <c r="A3427" s="210">
        <v>331128010</v>
      </c>
      <c r="B3427" s="202" t="s">
        <v>6415</v>
      </c>
      <c r="C3427" s="203" t="s">
        <v>2143</v>
      </c>
      <c r="D3427" s="204">
        <v>1</v>
      </c>
      <c r="E3427" s="204" t="s">
        <v>1958</v>
      </c>
      <c r="F3427" s="205">
        <v>0.36993166790098575</v>
      </c>
    </row>
    <row r="3428" spans="1:6">
      <c r="A3428" s="210">
        <v>331128011</v>
      </c>
      <c r="B3428" s="202" t="s">
        <v>6416</v>
      </c>
      <c r="C3428" s="203" t="s">
        <v>2143</v>
      </c>
      <c r="D3428" s="204">
        <v>1</v>
      </c>
      <c r="E3428" s="204" t="s">
        <v>1958</v>
      </c>
      <c r="F3428" s="205">
        <v>0.53935547108477377</v>
      </c>
    </row>
    <row r="3429" spans="1:6">
      <c r="A3429" s="210">
        <v>331128012</v>
      </c>
      <c r="B3429" s="202" t="s">
        <v>6417</v>
      </c>
      <c r="C3429" s="203" t="s">
        <v>2143</v>
      </c>
      <c r="D3429" s="204">
        <v>1</v>
      </c>
      <c r="E3429" s="204" t="s">
        <v>1958</v>
      </c>
      <c r="F3429" s="205">
        <v>0.66891762777522379</v>
      </c>
    </row>
    <row r="3430" spans="1:6">
      <c r="A3430" s="210">
        <v>331128013</v>
      </c>
      <c r="B3430" s="202" t="s">
        <v>6418</v>
      </c>
      <c r="C3430" s="203" t="s">
        <v>2143</v>
      </c>
      <c r="D3430" s="204">
        <v>1</v>
      </c>
      <c r="E3430" s="204" t="s">
        <v>1958</v>
      </c>
      <c r="F3430" s="205">
        <v>0.67601253158280306</v>
      </c>
    </row>
    <row r="3431" spans="1:6">
      <c r="A3431" s="210">
        <v>331128014</v>
      </c>
      <c r="B3431" s="202" t="s">
        <v>6419</v>
      </c>
      <c r="C3431" s="203" t="s">
        <v>2143</v>
      </c>
      <c r="D3431" s="204">
        <v>1</v>
      </c>
      <c r="E3431" s="204" t="s">
        <v>1958</v>
      </c>
      <c r="F3431" s="205">
        <v>0.65918450572365872</v>
      </c>
    </row>
    <row r="3432" spans="1:6">
      <c r="A3432" s="210">
        <v>331129004</v>
      </c>
      <c r="B3432" s="202" t="s">
        <v>6420</v>
      </c>
      <c r="C3432" s="203" t="s">
        <v>2143</v>
      </c>
      <c r="D3432" s="204">
        <v>1</v>
      </c>
      <c r="E3432" s="204" t="s">
        <v>1958</v>
      </c>
      <c r="F3432" s="205">
        <v>1.0070040542106951</v>
      </c>
    </row>
    <row r="3433" spans="1:6">
      <c r="A3433" s="210">
        <v>331129005</v>
      </c>
      <c r="B3433" s="202" t="s">
        <v>6421</v>
      </c>
      <c r="C3433" s="203" t="s">
        <v>2143</v>
      </c>
      <c r="D3433" s="204">
        <v>1</v>
      </c>
      <c r="E3433" s="204" t="s">
        <v>1958</v>
      </c>
      <c r="F3433" s="205">
        <v>1.001564997842969</v>
      </c>
    </row>
    <row r="3434" spans="1:6">
      <c r="A3434" s="210">
        <v>331129006</v>
      </c>
      <c r="B3434" s="202" t="s">
        <v>6422</v>
      </c>
      <c r="C3434" s="203" t="s">
        <v>2143</v>
      </c>
      <c r="D3434" s="204">
        <v>1</v>
      </c>
      <c r="E3434" s="204" t="s">
        <v>1958</v>
      </c>
      <c r="F3434" s="205">
        <v>1.0016109343184509</v>
      </c>
    </row>
    <row r="3435" spans="1:6">
      <c r="A3435" s="210">
        <v>331129007</v>
      </c>
      <c r="B3435" s="202" t="s">
        <v>6423</v>
      </c>
      <c r="C3435" s="203" t="s">
        <v>2143</v>
      </c>
      <c r="D3435" s="204">
        <v>1</v>
      </c>
      <c r="E3435" s="204" t="s">
        <v>1958</v>
      </c>
      <c r="F3435" s="205">
        <v>0.99869306050210271</v>
      </c>
    </row>
    <row r="3436" spans="1:6">
      <c r="A3436" s="210">
        <v>331129008</v>
      </c>
      <c r="B3436" s="202" t="s">
        <v>6424</v>
      </c>
      <c r="C3436" s="203" t="s">
        <v>2143</v>
      </c>
      <c r="D3436" s="204">
        <v>1</v>
      </c>
      <c r="E3436" s="204" t="s">
        <v>1958</v>
      </c>
      <c r="F3436" s="205">
        <v>1.0237351898462754</v>
      </c>
    </row>
    <row r="3437" spans="1:6">
      <c r="A3437" s="210">
        <v>331129009</v>
      </c>
      <c r="B3437" s="202" t="s">
        <v>6425</v>
      </c>
      <c r="C3437" s="203" t="s">
        <v>2143</v>
      </c>
      <c r="D3437" s="204">
        <v>1</v>
      </c>
      <c r="E3437" s="204" t="s">
        <v>1958</v>
      </c>
      <c r="F3437" s="205">
        <v>1.0092302255711263</v>
      </c>
    </row>
    <row r="3438" spans="1:6">
      <c r="A3438" s="210">
        <v>331129010</v>
      </c>
      <c r="B3438" s="202" t="s">
        <v>6426</v>
      </c>
      <c r="C3438" s="203" t="s">
        <v>2143</v>
      </c>
      <c r="D3438" s="204">
        <v>1</v>
      </c>
      <c r="E3438" s="204" t="s">
        <v>1958</v>
      </c>
      <c r="F3438" s="205">
        <v>1.0245955713335544</v>
      </c>
    </row>
    <row r="3439" spans="1:6">
      <c r="A3439" s="210">
        <v>331129011</v>
      </c>
      <c r="B3439" s="202" t="s">
        <v>6427</v>
      </c>
      <c r="C3439" s="203" t="s">
        <v>2143</v>
      </c>
      <c r="D3439" s="204">
        <v>1</v>
      </c>
      <c r="E3439" s="204" t="s">
        <v>1958</v>
      </c>
      <c r="F3439" s="205">
        <v>1.0500287022604144</v>
      </c>
    </row>
    <row r="3440" spans="1:6">
      <c r="A3440" s="210">
        <v>331129012</v>
      </c>
      <c r="B3440" s="202" t="s">
        <v>6428</v>
      </c>
      <c r="C3440" s="203" t="s">
        <v>2143</v>
      </c>
      <c r="D3440" s="204">
        <v>1</v>
      </c>
      <c r="E3440" s="204" t="s">
        <v>1958</v>
      </c>
      <c r="F3440" s="205">
        <v>0.99406549582119075</v>
      </c>
    </row>
    <row r="3441" spans="1:6">
      <c r="A3441" s="210">
        <v>331129013</v>
      </c>
      <c r="B3441" s="202" t="s">
        <v>6429</v>
      </c>
      <c r="C3441" s="203" t="s">
        <v>2143</v>
      </c>
      <c r="D3441" s="204">
        <v>1</v>
      </c>
      <c r="E3441" s="204" t="s">
        <v>1958</v>
      </c>
      <c r="F3441" s="205">
        <v>0.96114399997663569</v>
      </c>
    </row>
    <row r="3442" spans="1:6">
      <c r="A3442" s="210">
        <v>331129014</v>
      </c>
      <c r="B3442" s="202" t="s">
        <v>6430</v>
      </c>
      <c r="C3442" s="203" t="s">
        <v>2143</v>
      </c>
      <c r="D3442" s="204">
        <v>1</v>
      </c>
      <c r="E3442" s="204" t="s">
        <v>1958</v>
      </c>
      <c r="F3442" s="205">
        <v>0.92561136600083671</v>
      </c>
    </row>
    <row r="3443" spans="1:6">
      <c r="A3443" s="210">
        <v>332001011</v>
      </c>
      <c r="B3443" s="202" t="s">
        <v>6431</v>
      </c>
      <c r="C3443" s="203" t="s">
        <v>2159</v>
      </c>
      <c r="D3443" s="204">
        <v>1</v>
      </c>
      <c r="E3443" s="204" t="s">
        <v>1958</v>
      </c>
      <c r="F3443" s="205">
        <v>9.760537489295543E-3</v>
      </c>
    </row>
    <row r="3444" spans="1:6">
      <c r="A3444" s="210">
        <v>332002011</v>
      </c>
      <c r="B3444" s="202" t="s">
        <v>6432</v>
      </c>
      <c r="C3444" s="203" t="s">
        <v>2160</v>
      </c>
      <c r="D3444" s="204">
        <v>1</v>
      </c>
      <c r="E3444" s="204" t="s">
        <v>1958</v>
      </c>
      <c r="F3444" s="205">
        <v>0.79533716299519441</v>
      </c>
    </row>
    <row r="3445" spans="1:6">
      <c r="A3445" s="210">
        <v>332003011</v>
      </c>
      <c r="B3445" s="202" t="s">
        <v>6433</v>
      </c>
      <c r="C3445" s="203" t="s">
        <v>2161</v>
      </c>
      <c r="D3445" s="204">
        <v>1</v>
      </c>
      <c r="E3445" s="204" t="s">
        <v>1958</v>
      </c>
      <c r="F3445" s="205">
        <v>0.52587415031902884</v>
      </c>
    </row>
    <row r="3446" spans="1:6">
      <c r="A3446" s="210">
        <v>332004011</v>
      </c>
      <c r="B3446" s="202" t="s">
        <v>6434</v>
      </c>
      <c r="C3446" s="203" t="s">
        <v>2162</v>
      </c>
      <c r="D3446" s="204">
        <v>1</v>
      </c>
      <c r="E3446" s="204" t="s">
        <v>1958</v>
      </c>
      <c r="F3446" s="205">
        <v>0.49008790726661</v>
      </c>
    </row>
    <row r="3447" spans="1:6">
      <c r="A3447" s="210">
        <v>332005011</v>
      </c>
      <c r="B3447" s="202" t="s">
        <v>6435</v>
      </c>
      <c r="C3447" s="203" t="s">
        <v>2163</v>
      </c>
      <c r="D3447" s="204">
        <v>1</v>
      </c>
      <c r="E3447" s="204" t="s">
        <v>1958</v>
      </c>
      <c r="F3447" s="205">
        <v>0.16686999440545344</v>
      </c>
    </row>
    <row r="3448" spans="1:6">
      <c r="A3448" s="210">
        <v>332006011</v>
      </c>
      <c r="B3448" s="202" t="s">
        <v>6436</v>
      </c>
      <c r="C3448" s="203" t="s">
        <v>2149</v>
      </c>
      <c r="D3448" s="204">
        <v>1</v>
      </c>
      <c r="E3448" s="204" t="s">
        <v>1958</v>
      </c>
      <c r="F3448" s="205">
        <v>0.99674026645838831</v>
      </c>
    </row>
    <row r="3449" spans="1:6">
      <c r="A3449" s="210">
        <v>332007011</v>
      </c>
      <c r="B3449" s="202" t="s">
        <v>6437</v>
      </c>
      <c r="C3449" s="203" t="s">
        <v>2164</v>
      </c>
      <c r="D3449" s="204">
        <v>1</v>
      </c>
      <c r="E3449" s="204" t="s">
        <v>1958</v>
      </c>
      <c r="F3449" s="205">
        <v>0.19560161823163386</v>
      </c>
    </row>
    <row r="3450" spans="1:6">
      <c r="A3450" s="210">
        <v>332008011</v>
      </c>
      <c r="B3450" s="202" t="s">
        <v>6438</v>
      </c>
      <c r="C3450" s="203" t="s">
        <v>2165</v>
      </c>
      <c r="D3450" s="204">
        <v>1</v>
      </c>
      <c r="E3450" s="204" t="s">
        <v>1958</v>
      </c>
      <c r="F3450" s="205">
        <v>0.6191583696855183</v>
      </c>
    </row>
    <row r="3451" spans="1:6">
      <c r="A3451" s="210">
        <v>332009011</v>
      </c>
      <c r="B3451" s="202" t="s">
        <v>6439</v>
      </c>
      <c r="C3451" s="203" t="s">
        <v>2166</v>
      </c>
      <c r="D3451" s="204">
        <v>1</v>
      </c>
      <c r="E3451" s="204" t="s">
        <v>1958</v>
      </c>
      <c r="F3451" s="205">
        <v>0.69174903150335898</v>
      </c>
    </row>
    <row r="3452" spans="1:6">
      <c r="A3452" s="210">
        <v>332010011</v>
      </c>
      <c r="B3452" s="202" t="s">
        <v>6440</v>
      </c>
      <c r="C3452" s="203" t="s">
        <v>2167</v>
      </c>
      <c r="D3452" s="204">
        <v>1</v>
      </c>
      <c r="E3452" s="204" t="s">
        <v>1958</v>
      </c>
      <c r="F3452" s="205">
        <v>0.68781175850062037</v>
      </c>
    </row>
    <row r="3453" spans="1:6">
      <c r="A3453" s="210">
        <v>332011011</v>
      </c>
      <c r="B3453" s="202" t="s">
        <v>6441</v>
      </c>
      <c r="C3453" s="203" t="s">
        <v>2168</v>
      </c>
      <c r="D3453" s="204">
        <v>1</v>
      </c>
      <c r="E3453" s="204" t="s">
        <v>1958</v>
      </c>
      <c r="F3453" s="205">
        <v>0.60145526731568744</v>
      </c>
    </row>
    <row r="3454" spans="1:6">
      <c r="A3454" s="210">
        <v>332012011</v>
      </c>
      <c r="B3454" s="202" t="s">
        <v>6442</v>
      </c>
      <c r="C3454" s="203" t="s">
        <v>2169</v>
      </c>
      <c r="D3454" s="204">
        <v>1</v>
      </c>
      <c r="E3454" s="204" t="s">
        <v>1958</v>
      </c>
      <c r="F3454" s="205">
        <v>0.16971727048661847</v>
      </c>
    </row>
    <row r="3455" spans="1:6">
      <c r="A3455" s="210">
        <v>332013011</v>
      </c>
      <c r="B3455" s="202" t="s">
        <v>6443</v>
      </c>
      <c r="C3455" s="203" t="s">
        <v>2170</v>
      </c>
      <c r="D3455" s="204">
        <v>1</v>
      </c>
      <c r="E3455" s="204" t="s">
        <v>1958</v>
      </c>
      <c r="F3455" s="205">
        <v>0.81249920969007861</v>
      </c>
    </row>
    <row r="3456" spans="1:6">
      <c r="A3456" s="210">
        <v>332014011</v>
      </c>
      <c r="B3456" s="202" t="s">
        <v>6444</v>
      </c>
      <c r="C3456" s="203" t="s">
        <v>2171</v>
      </c>
      <c r="D3456" s="204">
        <v>1</v>
      </c>
      <c r="E3456" s="204" t="s">
        <v>1958</v>
      </c>
      <c r="F3456" s="205">
        <v>0.50442452149578909</v>
      </c>
    </row>
    <row r="3457" spans="1:6">
      <c r="A3457" s="210">
        <v>332015011</v>
      </c>
      <c r="B3457" s="202" t="s">
        <v>6445</v>
      </c>
      <c r="C3457" s="203" t="s">
        <v>2171</v>
      </c>
      <c r="D3457" s="204">
        <v>1</v>
      </c>
      <c r="E3457" s="204" t="s">
        <v>1958</v>
      </c>
      <c r="F3457" s="205">
        <v>1.3059901575917137</v>
      </c>
    </row>
    <row r="3458" spans="1:6">
      <c r="A3458" s="210">
        <v>332016011</v>
      </c>
      <c r="B3458" s="202" t="s">
        <v>6446</v>
      </c>
      <c r="C3458" s="203" t="s">
        <v>2172</v>
      </c>
      <c r="D3458" s="204">
        <v>1</v>
      </c>
      <c r="E3458" s="204" t="s">
        <v>1958</v>
      </c>
      <c r="F3458" s="205">
        <v>2.7975952283690133</v>
      </c>
    </row>
    <row r="3459" spans="1:6">
      <c r="A3459" s="210">
        <v>332017011</v>
      </c>
      <c r="B3459" s="202" t="s">
        <v>6447</v>
      </c>
      <c r="C3459" s="203" t="s">
        <v>2150</v>
      </c>
      <c r="D3459" s="204">
        <v>1</v>
      </c>
      <c r="E3459" s="204" t="s">
        <v>1958</v>
      </c>
      <c r="F3459" s="205">
        <v>7.7535600635875279E-2</v>
      </c>
    </row>
    <row r="3460" spans="1:6">
      <c r="A3460" s="210">
        <v>332018011</v>
      </c>
      <c r="B3460" s="202" t="s">
        <v>6448</v>
      </c>
      <c r="C3460" s="203" t="s">
        <v>2173</v>
      </c>
      <c r="D3460" s="204">
        <v>1</v>
      </c>
      <c r="E3460" s="204" t="s">
        <v>1958</v>
      </c>
      <c r="F3460" s="205">
        <v>0.81546560143624425</v>
      </c>
    </row>
    <row r="3461" spans="1:6">
      <c r="A3461" s="210">
        <v>332019011</v>
      </c>
      <c r="B3461" s="202" t="s">
        <v>6449</v>
      </c>
      <c r="C3461" s="203" t="s">
        <v>2174</v>
      </c>
      <c r="D3461" s="204">
        <v>1</v>
      </c>
      <c r="E3461" s="204" t="s">
        <v>1958</v>
      </c>
      <c r="F3461" s="205">
        <v>0.81931283178790026</v>
      </c>
    </row>
    <row r="3462" spans="1:6">
      <c r="A3462" s="210">
        <v>332020011</v>
      </c>
      <c r="B3462" s="202" t="s">
        <v>6450</v>
      </c>
      <c r="C3462" s="203" t="s">
        <v>2175</v>
      </c>
      <c r="D3462" s="204">
        <v>1</v>
      </c>
      <c r="E3462" s="204" t="s">
        <v>1958</v>
      </c>
      <c r="F3462" s="205">
        <v>1.0031342657714968</v>
      </c>
    </row>
    <row r="3463" spans="1:6">
      <c r="A3463" s="210">
        <v>332021011</v>
      </c>
      <c r="B3463" s="202" t="s">
        <v>6451</v>
      </c>
      <c r="C3463" s="203" t="s">
        <v>2176</v>
      </c>
      <c r="D3463" s="204">
        <v>1</v>
      </c>
      <c r="E3463" s="204" t="s">
        <v>1958</v>
      </c>
      <c r="F3463" s="205">
        <v>0.29723216192687862</v>
      </c>
    </row>
    <row r="3464" spans="1:6">
      <c r="A3464" s="210">
        <v>332022011</v>
      </c>
      <c r="B3464" s="202" t="s">
        <v>6452</v>
      </c>
      <c r="C3464" s="203" t="s">
        <v>2152</v>
      </c>
      <c r="D3464" s="204">
        <v>1</v>
      </c>
      <c r="E3464" s="204" t="s">
        <v>1958</v>
      </c>
      <c r="F3464" s="205">
        <v>0.19912024371097603</v>
      </c>
    </row>
    <row r="3465" spans="1:6">
      <c r="A3465" s="210">
        <v>332023011</v>
      </c>
      <c r="B3465" s="202" t="s">
        <v>6453</v>
      </c>
      <c r="C3465" s="203" t="s">
        <v>2177</v>
      </c>
      <c r="D3465" s="204">
        <v>1</v>
      </c>
      <c r="E3465" s="204" t="s">
        <v>1958</v>
      </c>
      <c r="F3465" s="205">
        <v>0.54121843399596337</v>
      </c>
    </row>
    <row r="3466" spans="1:6">
      <c r="A3466" s="210">
        <v>332024011</v>
      </c>
      <c r="B3466" s="202" t="s">
        <v>5271</v>
      </c>
      <c r="C3466" s="203" t="s">
        <v>2178</v>
      </c>
      <c r="D3466" s="204">
        <v>1</v>
      </c>
      <c r="E3466" s="204" t="s">
        <v>1958</v>
      </c>
      <c r="F3466" s="205">
        <v>0.69245346596617008</v>
      </c>
    </row>
    <row r="3467" spans="1:6">
      <c r="A3467" s="210">
        <v>332025011</v>
      </c>
      <c r="B3467" s="202" t="s">
        <v>6454</v>
      </c>
      <c r="C3467" s="203" t="s">
        <v>2179</v>
      </c>
      <c r="D3467" s="204">
        <v>1</v>
      </c>
      <c r="E3467" s="204" t="s">
        <v>1958</v>
      </c>
      <c r="F3467" s="205">
        <v>0.13257510127215041</v>
      </c>
    </row>
    <row r="3468" spans="1:6">
      <c r="A3468" s="210">
        <v>332026011</v>
      </c>
      <c r="B3468" s="202" t="s">
        <v>6455</v>
      </c>
      <c r="C3468" s="203" t="s">
        <v>2180</v>
      </c>
      <c r="D3468" s="204">
        <v>1</v>
      </c>
      <c r="E3468" s="204" t="s">
        <v>1958</v>
      </c>
      <c r="F3468" s="205">
        <v>0.5025601674980571</v>
      </c>
    </row>
    <row r="3469" spans="1:6">
      <c r="A3469" s="210">
        <v>332027011</v>
      </c>
      <c r="B3469" s="202" t="s">
        <v>6456</v>
      </c>
      <c r="C3469" s="203" t="s">
        <v>2181</v>
      </c>
      <c r="D3469" s="204">
        <v>1</v>
      </c>
      <c r="E3469" s="204" t="s">
        <v>1958</v>
      </c>
      <c r="F3469" s="205">
        <v>8.5544304714888317E-2</v>
      </c>
    </row>
    <row r="3470" spans="1:6">
      <c r="A3470" s="210">
        <v>332028011</v>
      </c>
      <c r="B3470" s="202" t="s">
        <v>6457</v>
      </c>
      <c r="C3470" s="203" t="s">
        <v>2182</v>
      </c>
      <c r="D3470" s="204">
        <v>1</v>
      </c>
      <c r="E3470" s="204" t="s">
        <v>1958</v>
      </c>
      <c r="F3470" s="205">
        <v>0.59619044046372616</v>
      </c>
    </row>
    <row r="3471" spans="1:6">
      <c r="A3471" s="210">
        <v>332029011</v>
      </c>
      <c r="B3471" s="202" t="s">
        <v>6458</v>
      </c>
      <c r="C3471" s="203" t="s">
        <v>2183</v>
      </c>
      <c r="D3471" s="204">
        <v>1</v>
      </c>
      <c r="E3471" s="204" t="s">
        <v>1958</v>
      </c>
      <c r="F3471" s="205">
        <v>0.43700454918504189</v>
      </c>
    </row>
    <row r="3472" spans="1:6">
      <c r="A3472" s="210">
        <v>332030011</v>
      </c>
      <c r="B3472" s="202" t="s">
        <v>6459</v>
      </c>
      <c r="C3472" s="203" t="s">
        <v>2184</v>
      </c>
      <c r="D3472" s="204">
        <v>1</v>
      </c>
      <c r="E3472" s="204" t="s">
        <v>1958</v>
      </c>
      <c r="F3472" s="205">
        <v>1.4226740913111739</v>
      </c>
    </row>
    <row r="3473" spans="1:6">
      <c r="A3473" s="210">
        <v>332031011</v>
      </c>
      <c r="B3473" s="202" t="s">
        <v>6460</v>
      </c>
      <c r="C3473" s="203" t="s">
        <v>2185</v>
      </c>
      <c r="D3473" s="204">
        <v>1</v>
      </c>
      <c r="E3473" s="204" t="s">
        <v>1958</v>
      </c>
      <c r="F3473" s="205">
        <v>0.93363510643190473</v>
      </c>
    </row>
    <row r="3474" spans="1:6">
      <c r="A3474" s="210">
        <v>332032011</v>
      </c>
      <c r="B3474" s="202" t="s">
        <v>6461</v>
      </c>
      <c r="C3474" s="203" t="s">
        <v>2186</v>
      </c>
      <c r="D3474" s="204">
        <v>1</v>
      </c>
      <c r="E3474" s="204" t="s">
        <v>1958</v>
      </c>
      <c r="F3474" s="205">
        <v>0.73679205255133984</v>
      </c>
    </row>
    <row r="3475" spans="1:6">
      <c r="A3475" s="210">
        <v>332033011</v>
      </c>
      <c r="B3475" s="202" t="s">
        <v>6462</v>
      </c>
      <c r="C3475" s="203" t="s">
        <v>2187</v>
      </c>
      <c r="D3475" s="204">
        <v>1</v>
      </c>
      <c r="E3475" s="204" t="s">
        <v>1958</v>
      </c>
      <c r="F3475" s="205">
        <v>0.39604340935955462</v>
      </c>
    </row>
    <row r="3476" spans="1:6">
      <c r="A3476" s="210">
        <v>332034011</v>
      </c>
      <c r="B3476" s="202" t="s">
        <v>6463</v>
      </c>
      <c r="C3476" s="203" t="s">
        <v>2188</v>
      </c>
      <c r="D3476" s="204">
        <v>1</v>
      </c>
      <c r="E3476" s="204" t="s">
        <v>1958</v>
      </c>
      <c r="F3476" s="205">
        <v>1.358706121046996</v>
      </c>
    </row>
    <row r="3477" spans="1:6">
      <c r="A3477" s="210">
        <v>332035011</v>
      </c>
      <c r="B3477" s="202" t="s">
        <v>6464</v>
      </c>
      <c r="C3477" s="203" t="s">
        <v>2189</v>
      </c>
      <c r="D3477" s="204">
        <v>1</v>
      </c>
      <c r="E3477" s="204" t="s">
        <v>1958</v>
      </c>
      <c r="F3477" s="205">
        <v>0.71177676637321496</v>
      </c>
    </row>
    <row r="3478" spans="1:6">
      <c r="A3478" s="210">
        <v>332036011</v>
      </c>
      <c r="B3478" s="202" t="s">
        <v>6465</v>
      </c>
      <c r="C3478" s="203" t="s">
        <v>2190</v>
      </c>
      <c r="D3478" s="204">
        <v>1</v>
      </c>
      <c r="E3478" s="204" t="s">
        <v>1958</v>
      </c>
      <c r="F3478" s="205">
        <v>3.7457782763007427E-3</v>
      </c>
    </row>
    <row r="3479" spans="1:6">
      <c r="A3479" s="210">
        <v>332037011</v>
      </c>
      <c r="B3479" s="202" t="s">
        <v>6466</v>
      </c>
      <c r="C3479" s="203" t="s">
        <v>2191</v>
      </c>
      <c r="D3479" s="204">
        <v>1</v>
      </c>
      <c r="E3479" s="204" t="s">
        <v>1958</v>
      </c>
      <c r="F3479" s="205">
        <v>0.58867828301993119</v>
      </c>
    </row>
    <row r="3480" spans="1:6">
      <c r="A3480" s="210">
        <v>332038011</v>
      </c>
      <c r="B3480" s="202" t="s">
        <v>6467</v>
      </c>
      <c r="C3480" s="203" t="s">
        <v>2192</v>
      </c>
      <c r="D3480" s="204">
        <v>1</v>
      </c>
      <c r="E3480" s="204" t="s">
        <v>1958</v>
      </c>
      <c r="F3480" s="205">
        <v>0.54907364053792629</v>
      </c>
    </row>
    <row r="3481" spans="1:6">
      <c r="A3481" s="210">
        <v>332039011</v>
      </c>
      <c r="B3481" s="202" t="s">
        <v>6468</v>
      </c>
      <c r="C3481" s="203" t="s">
        <v>2193</v>
      </c>
      <c r="D3481" s="204">
        <v>1</v>
      </c>
      <c r="E3481" s="204" t="s">
        <v>1958</v>
      </c>
      <c r="F3481" s="205">
        <v>0.34073167913966201</v>
      </c>
    </row>
    <row r="3482" spans="1:6">
      <c r="A3482" s="210">
        <v>332040011</v>
      </c>
      <c r="B3482" s="202" t="s">
        <v>6469</v>
      </c>
      <c r="C3482" s="203" t="s">
        <v>2194</v>
      </c>
      <c r="D3482" s="204">
        <v>1</v>
      </c>
      <c r="E3482" s="204" t="s">
        <v>1958</v>
      </c>
      <c r="F3482" s="205">
        <v>1.2852258714845608</v>
      </c>
    </row>
    <row r="3483" spans="1:6">
      <c r="A3483" s="210">
        <v>332041011</v>
      </c>
      <c r="B3483" s="202" t="s">
        <v>6470</v>
      </c>
      <c r="C3483" s="203" t="s">
        <v>2195</v>
      </c>
      <c r="D3483" s="204">
        <v>1</v>
      </c>
      <c r="E3483" s="204" t="s">
        <v>1958</v>
      </c>
      <c r="F3483" s="205">
        <v>1.350616864773762</v>
      </c>
    </row>
    <row r="3484" spans="1:6">
      <c r="A3484" s="210">
        <v>332042011</v>
      </c>
      <c r="B3484" s="202" t="s">
        <v>6471</v>
      </c>
      <c r="C3484" s="203" t="s">
        <v>2196</v>
      </c>
      <c r="D3484" s="204">
        <v>1</v>
      </c>
      <c r="E3484" s="204" t="s">
        <v>1958</v>
      </c>
      <c r="F3484" s="205">
        <v>1.0809298140708501E-2</v>
      </c>
    </row>
    <row r="3485" spans="1:6">
      <c r="A3485" s="210">
        <v>332043011</v>
      </c>
      <c r="B3485" s="202" t="s">
        <v>6472</v>
      </c>
      <c r="C3485" s="203" t="s">
        <v>2197</v>
      </c>
      <c r="D3485" s="204">
        <v>1</v>
      </c>
      <c r="E3485" s="204" t="s">
        <v>1958</v>
      </c>
      <c r="F3485" s="205">
        <v>1.0771267196698013</v>
      </c>
    </row>
    <row r="3486" spans="1:6">
      <c r="A3486" s="210">
        <v>332044011</v>
      </c>
      <c r="B3486" s="202" t="s">
        <v>6473</v>
      </c>
      <c r="C3486" s="203" t="s">
        <v>2198</v>
      </c>
      <c r="D3486" s="204">
        <v>1</v>
      </c>
      <c r="E3486" s="204" t="s">
        <v>1958</v>
      </c>
      <c r="F3486" s="205">
        <v>0.22444374692810043</v>
      </c>
    </row>
    <row r="3487" spans="1:6">
      <c r="A3487" s="210">
        <v>332045011</v>
      </c>
      <c r="B3487" s="202" t="s">
        <v>6474</v>
      </c>
      <c r="C3487" s="203" t="s">
        <v>2199</v>
      </c>
      <c r="D3487" s="204">
        <v>1</v>
      </c>
      <c r="E3487" s="204" t="s">
        <v>1958</v>
      </c>
      <c r="F3487" s="205">
        <v>8.73584016342073E-2</v>
      </c>
    </row>
    <row r="3488" spans="1:6">
      <c r="A3488" s="210">
        <v>332046011</v>
      </c>
      <c r="B3488" s="202" t="s">
        <v>6475</v>
      </c>
      <c r="C3488" s="203" t="s">
        <v>2200</v>
      </c>
      <c r="D3488" s="204">
        <v>1</v>
      </c>
      <c r="E3488" s="204" t="s">
        <v>1958</v>
      </c>
      <c r="F3488" s="205">
        <v>0.53596123503163706</v>
      </c>
    </row>
    <row r="3489" spans="1:6">
      <c r="A3489" s="210">
        <v>332047011</v>
      </c>
      <c r="B3489" s="202" t="s">
        <v>6476</v>
      </c>
      <c r="C3489" s="203" t="s">
        <v>2200</v>
      </c>
      <c r="D3489" s="204">
        <v>1</v>
      </c>
      <c r="E3489" s="204" t="s">
        <v>1958</v>
      </c>
      <c r="F3489" s="205">
        <v>0.11745722574639998</v>
      </c>
    </row>
    <row r="3490" spans="1:6">
      <c r="A3490" s="210">
        <v>332048011</v>
      </c>
      <c r="B3490" s="202" t="s">
        <v>6477</v>
      </c>
      <c r="C3490" s="203" t="s">
        <v>2153</v>
      </c>
      <c r="D3490" s="204">
        <v>1</v>
      </c>
      <c r="E3490" s="204" t="s">
        <v>1958</v>
      </c>
      <c r="F3490" s="205">
        <v>0.54286568852983808</v>
      </c>
    </row>
    <row r="3491" spans="1:6">
      <c r="A3491" s="210">
        <v>332049011</v>
      </c>
      <c r="B3491" s="202" t="s">
        <v>6478</v>
      </c>
      <c r="C3491" s="203" t="s">
        <v>2201</v>
      </c>
      <c r="D3491" s="204">
        <v>1</v>
      </c>
      <c r="E3491" s="204" t="s">
        <v>1958</v>
      </c>
      <c r="F3491" s="205">
        <v>0.29360486700289173</v>
      </c>
    </row>
    <row r="3492" spans="1:6">
      <c r="A3492" s="210">
        <v>332050011</v>
      </c>
      <c r="B3492" s="202" t="s">
        <v>6479</v>
      </c>
      <c r="C3492" s="203" t="s">
        <v>2202</v>
      </c>
      <c r="D3492" s="204">
        <v>1</v>
      </c>
      <c r="E3492" s="204" t="s">
        <v>1958</v>
      </c>
      <c r="F3492" s="205">
        <v>0.75340827255958198</v>
      </c>
    </row>
    <row r="3493" spans="1:6">
      <c r="A3493" s="210">
        <v>332051011</v>
      </c>
      <c r="B3493" s="202" t="s">
        <v>6480</v>
      </c>
      <c r="C3493" s="203" t="s">
        <v>2203</v>
      </c>
      <c r="D3493" s="204">
        <v>1</v>
      </c>
      <c r="E3493" s="204" t="s">
        <v>1958</v>
      </c>
      <c r="F3493" s="205">
        <v>0.8808333881174516</v>
      </c>
    </row>
    <row r="3494" spans="1:6">
      <c r="A3494" s="210">
        <v>332052011</v>
      </c>
      <c r="B3494" s="202" t="s">
        <v>6481</v>
      </c>
      <c r="C3494" s="203" t="s">
        <v>2204</v>
      </c>
      <c r="D3494" s="204">
        <v>1</v>
      </c>
      <c r="E3494" s="204" t="s">
        <v>1958</v>
      </c>
      <c r="F3494" s="205">
        <v>0.36652576884628141</v>
      </c>
    </row>
    <row r="3495" spans="1:6">
      <c r="A3495" s="210">
        <v>332053011</v>
      </c>
      <c r="B3495" s="202" t="s">
        <v>6482</v>
      </c>
      <c r="C3495" s="203" t="s">
        <v>2205</v>
      </c>
      <c r="D3495" s="204">
        <v>1</v>
      </c>
      <c r="E3495" s="204" t="s">
        <v>1958</v>
      </c>
      <c r="F3495" s="205">
        <v>1.2753775942022962</v>
      </c>
    </row>
    <row r="3496" spans="1:6">
      <c r="A3496" s="210">
        <v>332054011</v>
      </c>
      <c r="B3496" s="202" t="s">
        <v>6483</v>
      </c>
      <c r="C3496" s="203" t="s">
        <v>2206</v>
      </c>
      <c r="D3496" s="204">
        <v>1</v>
      </c>
      <c r="E3496" s="204" t="s">
        <v>1958</v>
      </c>
      <c r="F3496" s="205">
        <v>0.54211895431646806</v>
      </c>
    </row>
    <row r="3497" spans="1:6">
      <c r="A3497" s="210">
        <v>332055011</v>
      </c>
      <c r="B3497" s="202" t="s">
        <v>6484</v>
      </c>
      <c r="C3497" s="203" t="s">
        <v>2207</v>
      </c>
      <c r="D3497" s="204">
        <v>1</v>
      </c>
      <c r="E3497" s="204" t="s">
        <v>1958</v>
      </c>
      <c r="F3497" s="205">
        <v>0.94874196329307581</v>
      </c>
    </row>
    <row r="3498" spans="1:6">
      <c r="A3498" s="210">
        <v>332056011</v>
      </c>
      <c r="B3498" s="202" t="s">
        <v>6485</v>
      </c>
      <c r="C3498" s="203" t="s">
        <v>2208</v>
      </c>
      <c r="D3498" s="204">
        <v>1</v>
      </c>
      <c r="E3498" s="204" t="s">
        <v>1958</v>
      </c>
      <c r="F3498" s="205">
        <v>0.39808205679138531</v>
      </c>
    </row>
    <row r="3499" spans="1:6">
      <c r="A3499" s="210">
        <v>332057011</v>
      </c>
      <c r="B3499" s="202" t="s">
        <v>6486</v>
      </c>
      <c r="C3499" s="203" t="s">
        <v>2209</v>
      </c>
      <c r="D3499" s="204">
        <v>1</v>
      </c>
      <c r="E3499" s="204" t="s">
        <v>1958</v>
      </c>
      <c r="F3499" s="205">
        <v>0</v>
      </c>
    </row>
    <row r="3500" spans="1:6">
      <c r="A3500" s="210">
        <v>332058011</v>
      </c>
      <c r="B3500" s="202" t="s">
        <v>6487</v>
      </c>
      <c r="C3500" s="203" t="s">
        <v>2210</v>
      </c>
      <c r="D3500" s="204">
        <v>1</v>
      </c>
      <c r="E3500" s="204" t="s">
        <v>1958</v>
      </c>
      <c r="F3500" s="205">
        <v>1.3073902005458737</v>
      </c>
    </row>
    <row r="3501" spans="1:6">
      <c r="A3501" s="210">
        <v>332059011</v>
      </c>
      <c r="B3501" s="202" t="s">
        <v>5273</v>
      </c>
      <c r="C3501" s="203" t="s">
        <v>2156</v>
      </c>
      <c r="D3501" s="204">
        <v>1</v>
      </c>
      <c r="E3501" s="204" t="s">
        <v>1958</v>
      </c>
      <c r="F3501" s="205">
        <v>0.96009984412339677</v>
      </c>
    </row>
    <row r="3502" spans="1:6">
      <c r="A3502" s="210">
        <v>332060011</v>
      </c>
      <c r="B3502" s="202" t="s">
        <v>6488</v>
      </c>
      <c r="C3502" s="203" t="s">
        <v>2211</v>
      </c>
      <c r="D3502" s="204">
        <v>1</v>
      </c>
      <c r="E3502" s="204" t="s">
        <v>1958</v>
      </c>
      <c r="F3502" s="205">
        <v>0.76071095107164888</v>
      </c>
    </row>
    <row r="3503" spans="1:6">
      <c r="A3503" s="210">
        <v>332061011</v>
      </c>
      <c r="B3503" s="202" t="s">
        <v>6489</v>
      </c>
      <c r="C3503" s="203" t="s">
        <v>2212</v>
      </c>
      <c r="D3503" s="204">
        <v>1</v>
      </c>
      <c r="E3503" s="204" t="s">
        <v>1958</v>
      </c>
      <c r="F3503" s="205">
        <v>1.5049421083850398</v>
      </c>
    </row>
    <row r="3504" spans="1:6">
      <c r="A3504" s="210">
        <v>332062011</v>
      </c>
      <c r="B3504" s="202" t="s">
        <v>6490</v>
      </c>
      <c r="C3504" s="203" t="s">
        <v>2213</v>
      </c>
      <c r="D3504" s="204">
        <v>1</v>
      </c>
      <c r="E3504" s="204" t="s">
        <v>1958</v>
      </c>
      <c r="F3504" s="205">
        <v>0.50473702407627052</v>
      </c>
    </row>
    <row r="3505" spans="1:6">
      <c r="A3505" s="210">
        <v>332063011</v>
      </c>
      <c r="B3505" s="202" t="s">
        <v>6491</v>
      </c>
      <c r="C3505" s="203" t="s">
        <v>2214</v>
      </c>
      <c r="D3505" s="204">
        <v>1</v>
      </c>
      <c r="E3505" s="204" t="s">
        <v>1958</v>
      </c>
      <c r="F3505" s="205">
        <v>0.90370219152269737</v>
      </c>
    </row>
    <row r="3506" spans="1:6">
      <c r="A3506" s="210">
        <v>332064011</v>
      </c>
      <c r="B3506" s="202" t="s">
        <v>6492</v>
      </c>
      <c r="C3506" s="203" t="s">
        <v>2215</v>
      </c>
      <c r="D3506" s="204">
        <v>1</v>
      </c>
      <c r="E3506" s="204" t="s">
        <v>1958</v>
      </c>
      <c r="F3506" s="205">
        <v>0.44438301863623847</v>
      </c>
    </row>
    <row r="3507" spans="1:6">
      <c r="A3507" s="210">
        <v>332065011</v>
      </c>
      <c r="B3507" s="202" t="s">
        <v>6493</v>
      </c>
      <c r="C3507" s="203" t="s">
        <v>2216</v>
      </c>
      <c r="D3507" s="204">
        <v>1</v>
      </c>
      <c r="E3507" s="204" t="s">
        <v>1958</v>
      </c>
      <c r="F3507" s="205">
        <v>0.88847302583064103</v>
      </c>
    </row>
    <row r="3508" spans="1:6">
      <c r="A3508" s="210">
        <v>332066011</v>
      </c>
      <c r="B3508" s="202" t="s">
        <v>6494</v>
      </c>
      <c r="C3508" s="203" t="s">
        <v>2143</v>
      </c>
      <c r="D3508" s="204">
        <v>1</v>
      </c>
      <c r="E3508" s="204" t="s">
        <v>1958</v>
      </c>
      <c r="F3508" s="205">
        <v>0.53975785273658483</v>
      </c>
    </row>
    <row r="3509" spans="1:6">
      <c r="A3509" s="210">
        <v>332067011</v>
      </c>
      <c r="B3509" s="202" t="s">
        <v>6495</v>
      </c>
      <c r="C3509" s="203" t="s">
        <v>2217</v>
      </c>
      <c r="D3509" s="204">
        <v>1</v>
      </c>
      <c r="E3509" s="204" t="s">
        <v>1958</v>
      </c>
      <c r="F3509" s="205">
        <v>0.87834676200065165</v>
      </c>
    </row>
    <row r="3510" spans="1:6">
      <c r="A3510" s="210">
        <v>332068011</v>
      </c>
      <c r="B3510" s="202" t="s">
        <v>6496</v>
      </c>
      <c r="C3510" s="203" t="s">
        <v>2218</v>
      </c>
      <c r="D3510" s="204">
        <v>1</v>
      </c>
      <c r="E3510" s="204" t="s">
        <v>1958</v>
      </c>
      <c r="F3510" s="205">
        <v>0.64713131362552601</v>
      </c>
    </row>
    <row r="3511" spans="1:6">
      <c r="A3511" s="210">
        <v>332069011</v>
      </c>
      <c r="B3511" s="202" t="s">
        <v>6497</v>
      </c>
      <c r="C3511" s="203" t="s">
        <v>2219</v>
      </c>
      <c r="D3511" s="204">
        <v>1</v>
      </c>
      <c r="E3511" s="204" t="s">
        <v>1958</v>
      </c>
      <c r="F3511" s="205">
        <v>0.42545405552094967</v>
      </c>
    </row>
    <row r="3512" spans="1:6">
      <c r="A3512" s="210">
        <v>332070011</v>
      </c>
      <c r="B3512" s="202" t="s">
        <v>5275</v>
      </c>
      <c r="C3512" s="203" t="s">
        <v>2220</v>
      </c>
      <c r="D3512" s="204">
        <v>1</v>
      </c>
      <c r="E3512" s="204" t="s">
        <v>1958</v>
      </c>
      <c r="F3512" s="205">
        <v>0.59315623349415902</v>
      </c>
    </row>
    <row r="3513" spans="1:6">
      <c r="A3513" s="210">
        <v>332071011</v>
      </c>
      <c r="B3513" s="202" t="s">
        <v>6498</v>
      </c>
      <c r="C3513" s="203" t="s">
        <v>2221</v>
      </c>
      <c r="D3513" s="204">
        <v>1</v>
      </c>
      <c r="E3513" s="204" t="s">
        <v>1958</v>
      </c>
      <c r="F3513" s="205">
        <v>1.5676529515499897</v>
      </c>
    </row>
    <row r="3514" spans="1:6">
      <c r="A3514" s="210">
        <v>332072011</v>
      </c>
      <c r="B3514" s="202" t="s">
        <v>6499</v>
      </c>
      <c r="C3514" s="203" t="s">
        <v>2222</v>
      </c>
      <c r="D3514" s="204">
        <v>1</v>
      </c>
      <c r="E3514" s="204" t="s">
        <v>1958</v>
      </c>
      <c r="F3514" s="205">
        <v>1.0607323373949704</v>
      </c>
    </row>
    <row r="3515" spans="1:6">
      <c r="A3515" s="210">
        <v>332073011</v>
      </c>
      <c r="B3515" s="202" t="s">
        <v>6500</v>
      </c>
      <c r="C3515" s="203" t="s">
        <v>2223</v>
      </c>
      <c r="D3515" s="204">
        <v>1</v>
      </c>
      <c r="E3515" s="204" t="s">
        <v>1958</v>
      </c>
      <c r="F3515" s="205">
        <v>7.1791927721071472E-2</v>
      </c>
    </row>
    <row r="3516" spans="1:6">
      <c r="A3516" s="210">
        <v>332074011</v>
      </c>
      <c r="B3516" s="202" t="s">
        <v>6501</v>
      </c>
      <c r="C3516" s="203" t="s">
        <v>2224</v>
      </c>
      <c r="D3516" s="204">
        <v>1</v>
      </c>
      <c r="E3516" s="204" t="s">
        <v>1958</v>
      </c>
      <c r="F3516" s="205">
        <v>0.17856055028583717</v>
      </c>
    </row>
    <row r="3517" spans="1:6">
      <c r="A3517" s="210">
        <v>332075011</v>
      </c>
      <c r="B3517" s="202" t="s">
        <v>6502</v>
      </c>
      <c r="C3517" s="203" t="s">
        <v>2225</v>
      </c>
      <c r="D3517" s="204">
        <v>1</v>
      </c>
      <c r="E3517" s="204" t="s">
        <v>1958</v>
      </c>
      <c r="F3517" s="205">
        <v>0.9460042739047273</v>
      </c>
    </row>
    <row r="3518" spans="1:6">
      <c r="A3518" s="210">
        <v>332076011</v>
      </c>
      <c r="B3518" s="202" t="s">
        <v>6503</v>
      </c>
      <c r="C3518" s="203" t="s">
        <v>2226</v>
      </c>
      <c r="D3518" s="204">
        <v>1</v>
      </c>
      <c r="E3518" s="204" t="s">
        <v>1958</v>
      </c>
      <c r="F3518" s="205">
        <v>0.87542548183323032</v>
      </c>
    </row>
    <row r="3519" spans="1:6">
      <c r="A3519" s="210">
        <v>332077011</v>
      </c>
      <c r="B3519" s="202" t="s">
        <v>6504</v>
      </c>
      <c r="C3519" s="203" t="s">
        <v>2227</v>
      </c>
      <c r="D3519" s="204">
        <v>1</v>
      </c>
      <c r="E3519" s="204" t="s">
        <v>1958</v>
      </c>
      <c r="F3519" s="205">
        <v>0.41469305574891802</v>
      </c>
    </row>
    <row r="3520" spans="1:6">
      <c r="A3520" s="210">
        <v>332078011</v>
      </c>
      <c r="B3520" s="202" t="s">
        <v>6505</v>
      </c>
      <c r="C3520" s="203" t="s">
        <v>2228</v>
      </c>
      <c r="D3520" s="204">
        <v>1</v>
      </c>
      <c r="E3520" s="204" t="s">
        <v>1958</v>
      </c>
      <c r="F3520" s="205">
        <v>0.44004789316959558</v>
      </c>
    </row>
    <row r="3521" spans="1:6">
      <c r="A3521" s="210">
        <v>332079011</v>
      </c>
      <c r="B3521" s="202" t="s">
        <v>5277</v>
      </c>
      <c r="C3521" s="203" t="s">
        <v>2229</v>
      </c>
      <c r="D3521" s="204">
        <v>1</v>
      </c>
      <c r="E3521" s="204" t="s">
        <v>1958</v>
      </c>
      <c r="F3521" s="205">
        <v>0.84044458335563565</v>
      </c>
    </row>
    <row r="3522" spans="1:6">
      <c r="A3522" s="210">
        <v>332080011</v>
      </c>
      <c r="B3522" s="202" t="s">
        <v>6506</v>
      </c>
      <c r="C3522" s="203" t="s">
        <v>2230</v>
      </c>
      <c r="D3522" s="204">
        <v>1</v>
      </c>
      <c r="E3522" s="204" t="s">
        <v>1958</v>
      </c>
      <c r="F3522" s="205">
        <v>1.1569363161682631</v>
      </c>
    </row>
    <row r="3523" spans="1:6">
      <c r="A3523" s="210">
        <v>332081011</v>
      </c>
      <c r="B3523" s="202" t="s">
        <v>6507</v>
      </c>
      <c r="C3523" s="203" t="s">
        <v>2231</v>
      </c>
      <c r="D3523" s="204">
        <v>1</v>
      </c>
      <c r="E3523" s="204" t="s">
        <v>1958</v>
      </c>
      <c r="F3523" s="205">
        <v>0.60476087268207879</v>
      </c>
    </row>
    <row r="3524" spans="1:6">
      <c r="A3524" s="210">
        <v>332082011</v>
      </c>
      <c r="B3524" s="202" t="s">
        <v>6508</v>
      </c>
      <c r="C3524" s="203" t="s">
        <v>2232</v>
      </c>
      <c r="D3524" s="204">
        <v>1</v>
      </c>
      <c r="E3524" s="204" t="s">
        <v>1958</v>
      </c>
      <c r="F3524" s="205">
        <v>1.3019684529553885</v>
      </c>
    </row>
    <row r="3525" spans="1:6">
      <c r="A3525" s="210">
        <v>332083011</v>
      </c>
      <c r="B3525" s="202" t="s">
        <v>6509</v>
      </c>
      <c r="C3525" s="203" t="s">
        <v>2233</v>
      </c>
      <c r="D3525" s="204">
        <v>1</v>
      </c>
      <c r="E3525" s="204" t="s">
        <v>1958</v>
      </c>
      <c r="F3525" s="205">
        <v>0.871505759398427</v>
      </c>
    </row>
    <row r="3526" spans="1:6">
      <c r="A3526" s="210">
        <v>332084011</v>
      </c>
      <c r="B3526" s="202" t="s">
        <v>6510</v>
      </c>
      <c r="C3526" s="203" t="s">
        <v>2234</v>
      </c>
      <c r="D3526" s="204">
        <v>1</v>
      </c>
      <c r="E3526" s="204" t="s">
        <v>1958</v>
      </c>
      <c r="F3526" s="205">
        <v>0.91783574700842685</v>
      </c>
    </row>
    <row r="3527" spans="1:6">
      <c r="A3527" s="210">
        <v>332085011</v>
      </c>
      <c r="B3527" s="202" t="s">
        <v>6511</v>
      </c>
      <c r="C3527" s="203" t="s">
        <v>2235</v>
      </c>
      <c r="D3527" s="204">
        <v>1</v>
      </c>
      <c r="E3527" s="204" t="s">
        <v>1958</v>
      </c>
      <c r="F3527" s="205">
        <v>1.2451202292504346E-3</v>
      </c>
    </row>
    <row r="3528" spans="1:6">
      <c r="A3528" s="210">
        <v>332086011</v>
      </c>
      <c r="B3528" s="202" t="s">
        <v>6512</v>
      </c>
      <c r="C3528" s="203" t="s">
        <v>2236</v>
      </c>
      <c r="D3528" s="204">
        <v>1</v>
      </c>
      <c r="E3528" s="204" t="s">
        <v>1958</v>
      </c>
      <c r="F3528" s="205">
        <v>0.34392251509427613</v>
      </c>
    </row>
    <row r="3529" spans="1:6">
      <c r="A3529" s="210">
        <v>332087011</v>
      </c>
      <c r="B3529" s="202" t="s">
        <v>6513</v>
      </c>
      <c r="C3529" s="203" t="s">
        <v>2237</v>
      </c>
      <c r="D3529" s="204">
        <v>1</v>
      </c>
      <c r="E3529" s="204" t="s">
        <v>1958</v>
      </c>
      <c r="F3529" s="205">
        <v>1.0724987831712891</v>
      </c>
    </row>
    <row r="3530" spans="1:6">
      <c r="A3530" s="210">
        <v>332088011</v>
      </c>
      <c r="B3530" s="202" t="s">
        <v>6514</v>
      </c>
      <c r="C3530" s="203" t="s">
        <v>2238</v>
      </c>
      <c r="D3530" s="204">
        <v>1</v>
      </c>
      <c r="E3530" s="204" t="s">
        <v>1958</v>
      </c>
      <c r="F3530" s="205">
        <v>3.1802654537963201E-2</v>
      </c>
    </row>
    <row r="3531" spans="1:6">
      <c r="A3531" s="210">
        <v>332089011</v>
      </c>
      <c r="B3531" s="202" t="s">
        <v>6515</v>
      </c>
      <c r="C3531" s="203" t="s">
        <v>2239</v>
      </c>
      <c r="D3531" s="204">
        <v>1</v>
      </c>
      <c r="E3531" s="204" t="s">
        <v>1958</v>
      </c>
      <c r="F3531" s="205">
        <v>0</v>
      </c>
    </row>
    <row r="3532" spans="1:6">
      <c r="A3532" s="210">
        <v>332090011</v>
      </c>
      <c r="B3532" s="202" t="s">
        <v>6516</v>
      </c>
      <c r="C3532" s="203" t="s">
        <v>2240</v>
      </c>
      <c r="D3532" s="204">
        <v>1</v>
      </c>
      <c r="E3532" s="204" t="s">
        <v>1958</v>
      </c>
      <c r="F3532" s="205">
        <v>0.40205566906977852</v>
      </c>
    </row>
    <row r="3533" spans="1:6">
      <c r="A3533" s="210">
        <v>332091011</v>
      </c>
      <c r="B3533" s="202" t="s">
        <v>6517</v>
      </c>
      <c r="C3533" s="203" t="s">
        <v>2241</v>
      </c>
      <c r="D3533" s="204">
        <v>1</v>
      </c>
      <c r="E3533" s="204" t="s">
        <v>1958</v>
      </c>
      <c r="F3533" s="205">
        <v>0.13935923846003517</v>
      </c>
    </row>
    <row r="3534" spans="1:6">
      <c r="A3534" s="210">
        <v>332092011</v>
      </c>
      <c r="B3534" s="202" t="s">
        <v>6518</v>
      </c>
      <c r="C3534" s="203" t="s">
        <v>2242</v>
      </c>
      <c r="D3534" s="204">
        <v>1</v>
      </c>
      <c r="E3534" s="204" t="s">
        <v>1958</v>
      </c>
      <c r="F3534" s="205">
        <v>0.74391151466336281</v>
      </c>
    </row>
    <row r="3535" spans="1:6">
      <c r="A3535" s="210">
        <v>332093011</v>
      </c>
      <c r="B3535" s="202" t="s">
        <v>6519</v>
      </c>
      <c r="C3535" s="203" t="s">
        <v>2243</v>
      </c>
      <c r="D3535" s="204">
        <v>1</v>
      </c>
      <c r="E3535" s="204" t="s">
        <v>1958</v>
      </c>
      <c r="F3535" s="205">
        <v>0.52254170473539752</v>
      </c>
    </row>
    <row r="3536" spans="1:6">
      <c r="A3536" s="210">
        <v>332094011</v>
      </c>
      <c r="B3536" s="202" t="s">
        <v>6520</v>
      </c>
      <c r="C3536" s="203" t="s">
        <v>2244</v>
      </c>
      <c r="D3536" s="204">
        <v>1</v>
      </c>
      <c r="E3536" s="204" t="s">
        <v>1958</v>
      </c>
      <c r="F3536" s="205">
        <v>1.3628655690184944E-2</v>
      </c>
    </row>
    <row r="3537" spans="1:6">
      <c r="A3537" s="210">
        <v>332095011</v>
      </c>
      <c r="B3537" s="202" t="s">
        <v>6521</v>
      </c>
      <c r="C3537" s="203" t="s">
        <v>2245</v>
      </c>
      <c r="D3537" s="204">
        <v>1</v>
      </c>
      <c r="E3537" s="204" t="s">
        <v>1958</v>
      </c>
      <c r="F3537" s="205">
        <v>0.91338346357628541</v>
      </c>
    </row>
    <row r="3538" spans="1:6">
      <c r="A3538" s="210">
        <v>332096011</v>
      </c>
      <c r="B3538" s="202" t="s">
        <v>6522</v>
      </c>
      <c r="C3538" s="203" t="s">
        <v>2155</v>
      </c>
      <c r="D3538" s="204">
        <v>1</v>
      </c>
      <c r="E3538" s="204" t="s">
        <v>1958</v>
      </c>
      <c r="F3538" s="205">
        <v>0.72538443065160729</v>
      </c>
    </row>
    <row r="3539" spans="1:6">
      <c r="A3539" s="210">
        <v>332097011</v>
      </c>
      <c r="B3539" s="202" t="s">
        <v>6523</v>
      </c>
      <c r="C3539" s="203" t="s">
        <v>2155</v>
      </c>
      <c r="D3539" s="204">
        <v>1</v>
      </c>
      <c r="E3539" s="204" t="s">
        <v>1958</v>
      </c>
      <c r="F3539" s="205">
        <v>0.39755768630481753</v>
      </c>
    </row>
    <row r="3540" spans="1:6">
      <c r="A3540" s="210">
        <v>332098011</v>
      </c>
      <c r="B3540" s="202" t="s">
        <v>6524</v>
      </c>
      <c r="C3540" s="203" t="s">
        <v>2155</v>
      </c>
      <c r="D3540" s="204">
        <v>1</v>
      </c>
      <c r="E3540" s="204" t="s">
        <v>1958</v>
      </c>
      <c r="F3540" s="205">
        <v>0.37258353254460008</v>
      </c>
    </row>
    <row r="3541" spans="1:6">
      <c r="A3541" s="210">
        <v>332099011</v>
      </c>
      <c r="B3541" s="202" t="s">
        <v>6525</v>
      </c>
      <c r="C3541" s="203" t="s">
        <v>2246</v>
      </c>
      <c r="D3541" s="204">
        <v>1</v>
      </c>
      <c r="E3541" s="204" t="s">
        <v>1958</v>
      </c>
      <c r="F3541" s="205">
        <v>0.56059841133207444</v>
      </c>
    </row>
    <row r="3542" spans="1:6">
      <c r="A3542" s="210">
        <v>332100011</v>
      </c>
      <c r="B3542" s="202" t="s">
        <v>6526</v>
      </c>
      <c r="C3542" s="203" t="s">
        <v>2247</v>
      </c>
      <c r="D3542" s="204">
        <v>1</v>
      </c>
      <c r="E3542" s="204" t="s">
        <v>1958</v>
      </c>
      <c r="F3542" s="205">
        <v>0.47974843902541686</v>
      </c>
    </row>
    <row r="3543" spans="1:6">
      <c r="A3543" s="210">
        <v>332101011</v>
      </c>
      <c r="B3543" s="202" t="s">
        <v>6527</v>
      </c>
      <c r="C3543" s="203" t="s">
        <v>2248</v>
      </c>
      <c r="D3543" s="204">
        <v>1</v>
      </c>
      <c r="E3543" s="204" t="s">
        <v>1958</v>
      </c>
      <c r="F3543" s="205">
        <v>0</v>
      </c>
    </row>
    <row r="3544" spans="1:6">
      <c r="A3544" s="210">
        <v>332102011</v>
      </c>
      <c r="B3544" s="202" t="s">
        <v>6528</v>
      </c>
      <c r="C3544" s="203" t="s">
        <v>2249</v>
      </c>
      <c r="D3544" s="204">
        <v>1</v>
      </c>
      <c r="E3544" s="204" t="s">
        <v>1958</v>
      </c>
      <c r="F3544" s="205">
        <v>0.33418870449968918</v>
      </c>
    </row>
    <row r="3545" spans="1:6">
      <c r="A3545" s="210">
        <v>332103011</v>
      </c>
      <c r="B3545" s="202" t="s">
        <v>5279</v>
      </c>
      <c r="C3545" s="203" t="s">
        <v>2157</v>
      </c>
      <c r="D3545" s="204">
        <v>1</v>
      </c>
      <c r="E3545" s="204" t="s">
        <v>1958</v>
      </c>
      <c r="F3545" s="205">
        <v>0.66123130373968519</v>
      </c>
    </row>
    <row r="3546" spans="1:6">
      <c r="A3546" s="210">
        <v>332104011</v>
      </c>
      <c r="B3546" s="202" t="s">
        <v>6529</v>
      </c>
      <c r="C3546" s="203" t="s">
        <v>2250</v>
      </c>
      <c r="D3546" s="204">
        <v>1</v>
      </c>
      <c r="E3546" s="204" t="s">
        <v>1958</v>
      </c>
      <c r="F3546" s="205">
        <v>1.025789365668544</v>
      </c>
    </row>
    <row r="3547" spans="1:6">
      <c r="A3547" s="210">
        <v>332105011</v>
      </c>
      <c r="B3547" s="202" t="s">
        <v>6530</v>
      </c>
      <c r="C3547" s="203" t="s">
        <v>2251</v>
      </c>
      <c r="D3547" s="204">
        <v>1</v>
      </c>
      <c r="E3547" s="204" t="s">
        <v>1958</v>
      </c>
      <c r="F3547" s="205">
        <v>0.35746269259049479</v>
      </c>
    </row>
    <row r="3548" spans="1:6">
      <c r="A3548" s="210">
        <v>332106011</v>
      </c>
      <c r="B3548" s="202" t="s">
        <v>5281</v>
      </c>
      <c r="C3548" s="203" t="s">
        <v>2148</v>
      </c>
      <c r="D3548" s="204">
        <v>1</v>
      </c>
      <c r="E3548" s="204" t="s">
        <v>1958</v>
      </c>
      <c r="F3548" s="205">
        <v>0.98674522986692714</v>
      </c>
    </row>
    <row r="3549" spans="1:6">
      <c r="A3549" s="210">
        <v>332107011</v>
      </c>
      <c r="B3549" s="202" t="s">
        <v>6531</v>
      </c>
      <c r="C3549" s="203" t="s">
        <v>2252</v>
      </c>
      <c r="D3549" s="204">
        <v>1</v>
      </c>
      <c r="E3549" s="204" t="s">
        <v>1958</v>
      </c>
      <c r="F3549" s="205">
        <v>0.54602773941447569</v>
      </c>
    </row>
    <row r="3550" spans="1:6">
      <c r="A3550" s="210">
        <v>332108011</v>
      </c>
      <c r="B3550" s="202" t="s">
        <v>6532</v>
      </c>
      <c r="C3550" s="203" t="s">
        <v>2253</v>
      </c>
      <c r="D3550" s="204">
        <v>1</v>
      </c>
      <c r="E3550" s="204" t="s">
        <v>1958</v>
      </c>
      <c r="F3550" s="205">
        <v>0.66595532211036435</v>
      </c>
    </row>
    <row r="3551" spans="1:6">
      <c r="A3551" s="210">
        <v>332109011</v>
      </c>
      <c r="B3551" s="202" t="s">
        <v>6533</v>
      </c>
      <c r="C3551" s="203" t="s">
        <v>2254</v>
      </c>
      <c r="D3551" s="204">
        <v>1</v>
      </c>
      <c r="E3551" s="204" t="s">
        <v>1958</v>
      </c>
      <c r="F3551" s="205">
        <v>0.67610309429239468</v>
      </c>
    </row>
    <row r="3552" spans="1:6">
      <c r="A3552" s="210">
        <v>332110011</v>
      </c>
      <c r="B3552" s="202" t="s">
        <v>6534</v>
      </c>
      <c r="C3552" s="203" t="s">
        <v>2255</v>
      </c>
      <c r="D3552" s="204">
        <v>1</v>
      </c>
      <c r="E3552" s="204" t="s">
        <v>1958</v>
      </c>
      <c r="F3552" s="205">
        <v>0.6070711734441071</v>
      </c>
    </row>
    <row r="3553" spans="1:6">
      <c r="A3553" s="210">
        <v>332111011</v>
      </c>
      <c r="B3553" s="202" t="s">
        <v>6535</v>
      </c>
      <c r="C3553" s="203" t="s">
        <v>2256</v>
      </c>
      <c r="D3553" s="204">
        <v>1</v>
      </c>
      <c r="E3553" s="204" t="s">
        <v>1958</v>
      </c>
      <c r="F3553" s="205">
        <v>0.97250287492311527</v>
      </c>
    </row>
    <row r="3554" spans="1:6">
      <c r="A3554" s="210">
        <v>332112011</v>
      </c>
      <c r="B3554" s="202" t="s">
        <v>6536</v>
      </c>
      <c r="C3554" s="203" t="s">
        <v>2257</v>
      </c>
      <c r="D3554" s="204">
        <v>1</v>
      </c>
      <c r="E3554" s="204" t="s">
        <v>1958</v>
      </c>
      <c r="F3554" s="205">
        <v>0.98537643494780491</v>
      </c>
    </row>
    <row r="3555" spans="1:6">
      <c r="A3555" s="210">
        <v>332113011</v>
      </c>
      <c r="B3555" s="202" t="s">
        <v>6537</v>
      </c>
      <c r="C3555" s="203" t="s">
        <v>2258</v>
      </c>
      <c r="D3555" s="204">
        <v>1</v>
      </c>
      <c r="E3555" s="204" t="s">
        <v>1958</v>
      </c>
      <c r="F3555" s="205">
        <v>1.0754288559595704</v>
      </c>
    </row>
    <row r="3556" spans="1:6">
      <c r="A3556" s="210">
        <v>332114011</v>
      </c>
      <c r="B3556" s="202" t="s">
        <v>6538</v>
      </c>
      <c r="C3556" s="203" t="s">
        <v>2259</v>
      </c>
      <c r="D3556" s="204">
        <v>1</v>
      </c>
      <c r="E3556" s="204" t="s">
        <v>1958</v>
      </c>
      <c r="F3556" s="205">
        <v>0.55369410316398249</v>
      </c>
    </row>
    <row r="3557" spans="1:6">
      <c r="A3557" s="210">
        <v>332115011</v>
      </c>
      <c r="B3557" s="202" t="s">
        <v>6539</v>
      </c>
      <c r="C3557" s="203" t="s">
        <v>2260</v>
      </c>
      <c r="D3557" s="204">
        <v>1</v>
      </c>
      <c r="E3557" s="204" t="s">
        <v>1958</v>
      </c>
      <c r="F3557" s="205">
        <v>0.252311682417242</v>
      </c>
    </row>
    <row r="3558" spans="1:6">
      <c r="A3558" s="210">
        <v>332116011</v>
      </c>
      <c r="B3558" s="202" t="s">
        <v>6540</v>
      </c>
      <c r="C3558" s="203" t="s">
        <v>2261</v>
      </c>
      <c r="D3558" s="204">
        <v>1</v>
      </c>
      <c r="E3558" s="204" t="s">
        <v>1958</v>
      </c>
      <c r="F3558" s="205">
        <v>0.42004363006234791</v>
      </c>
    </row>
    <row r="3559" spans="1:6">
      <c r="A3559" s="210">
        <v>332117011</v>
      </c>
      <c r="B3559" s="202" t="s">
        <v>6541</v>
      </c>
      <c r="C3559" s="203" t="s">
        <v>2262</v>
      </c>
      <c r="D3559" s="204">
        <v>1</v>
      </c>
      <c r="E3559" s="204" t="s">
        <v>1958</v>
      </c>
      <c r="F3559" s="205">
        <v>1.137642826422947</v>
      </c>
    </row>
    <row r="3560" spans="1:6">
      <c r="A3560" s="210">
        <v>332118011</v>
      </c>
      <c r="B3560" s="202" t="s">
        <v>6542</v>
      </c>
      <c r="C3560" s="203" t="s">
        <v>2263</v>
      </c>
      <c r="D3560" s="204">
        <v>1</v>
      </c>
      <c r="E3560" s="204" t="s">
        <v>1958</v>
      </c>
      <c r="F3560" s="205">
        <v>0.3561038734761755</v>
      </c>
    </row>
    <row r="3561" spans="1:6">
      <c r="A3561" s="210">
        <v>332119011</v>
      </c>
      <c r="B3561" s="202" t="s">
        <v>6543</v>
      </c>
      <c r="C3561" s="203" t="s">
        <v>2264</v>
      </c>
      <c r="D3561" s="204">
        <v>1</v>
      </c>
      <c r="E3561" s="204" t="s">
        <v>1958</v>
      </c>
      <c r="F3561" s="205">
        <v>0.63562688155736513</v>
      </c>
    </row>
    <row r="3562" spans="1:6">
      <c r="A3562" s="210">
        <v>332120011</v>
      </c>
      <c r="B3562" s="202" t="s">
        <v>6544</v>
      </c>
      <c r="C3562" s="203" t="s">
        <v>2265</v>
      </c>
      <c r="D3562" s="204">
        <v>1</v>
      </c>
      <c r="E3562" s="204" t="s">
        <v>1958</v>
      </c>
      <c r="F3562" s="205">
        <v>0.30824255277860996</v>
      </c>
    </row>
    <row r="3563" spans="1:6">
      <c r="A3563" s="210">
        <v>332121011</v>
      </c>
      <c r="B3563" s="202" t="s">
        <v>6545</v>
      </c>
      <c r="C3563" s="203" t="s">
        <v>2266</v>
      </c>
      <c r="D3563" s="204">
        <v>1</v>
      </c>
      <c r="E3563" s="204" t="s">
        <v>1958</v>
      </c>
      <c r="F3563" s="205">
        <v>2.6008146349614653E-2</v>
      </c>
    </row>
    <row r="3564" spans="1:6">
      <c r="A3564" s="210">
        <v>332122011</v>
      </c>
      <c r="B3564" s="202" t="s">
        <v>6546</v>
      </c>
      <c r="C3564" s="203" t="s">
        <v>2267</v>
      </c>
      <c r="D3564" s="204">
        <v>1</v>
      </c>
      <c r="E3564" s="204" t="s">
        <v>1958</v>
      </c>
      <c r="F3564" s="205">
        <v>1.8969505705006585E-2</v>
      </c>
    </row>
    <row r="3565" spans="1:6">
      <c r="A3565" s="210">
        <v>332123011</v>
      </c>
      <c r="B3565" s="202" t="s">
        <v>6547</v>
      </c>
      <c r="C3565" s="203" t="s">
        <v>2268</v>
      </c>
      <c r="D3565" s="204">
        <v>1</v>
      </c>
      <c r="E3565" s="204" t="s">
        <v>1958</v>
      </c>
      <c r="F3565" s="205">
        <v>0.80980775443051745</v>
      </c>
    </row>
    <row r="3566" spans="1:6">
      <c r="A3566" s="210">
        <v>332124011</v>
      </c>
      <c r="B3566" s="202" t="s">
        <v>6548</v>
      </c>
      <c r="C3566" s="203" t="s">
        <v>2269</v>
      </c>
      <c r="D3566" s="204">
        <v>1</v>
      </c>
      <c r="E3566" s="204" t="s">
        <v>1958</v>
      </c>
      <c r="F3566" s="205">
        <v>1.6822132537694847E-2</v>
      </c>
    </row>
    <row r="3567" spans="1:6">
      <c r="A3567" s="210">
        <v>332125011</v>
      </c>
      <c r="B3567" s="202" t="s">
        <v>6549</v>
      </c>
      <c r="C3567" s="203" t="s">
        <v>2151</v>
      </c>
      <c r="D3567" s="204">
        <v>1</v>
      </c>
      <c r="E3567" s="204" t="s">
        <v>1958</v>
      </c>
      <c r="F3567" s="205">
        <v>0.59251494241373104</v>
      </c>
    </row>
    <row r="3568" spans="1:6">
      <c r="A3568" s="210">
        <v>332126011</v>
      </c>
      <c r="B3568" s="202" t="s">
        <v>5283</v>
      </c>
      <c r="C3568" s="203" t="s">
        <v>2145</v>
      </c>
      <c r="D3568" s="204">
        <v>1</v>
      </c>
      <c r="E3568" s="204" t="s">
        <v>1958</v>
      </c>
      <c r="F3568" s="205">
        <v>0.60350664597419668</v>
      </c>
    </row>
    <row r="3569" spans="1:6">
      <c r="A3569" s="210">
        <v>332127011</v>
      </c>
      <c r="B3569" s="202" t="s">
        <v>6550</v>
      </c>
      <c r="C3569" s="203" t="s">
        <v>2270</v>
      </c>
      <c r="D3569" s="204">
        <v>1</v>
      </c>
      <c r="E3569" s="204" t="s">
        <v>1958</v>
      </c>
      <c r="F3569" s="205">
        <v>0.45584363720500498</v>
      </c>
    </row>
    <row r="3570" spans="1:6">
      <c r="A3570" s="210">
        <v>332128011</v>
      </c>
      <c r="B3570" s="202" t="s">
        <v>6551</v>
      </c>
      <c r="C3570" s="203" t="s">
        <v>2271</v>
      </c>
      <c r="D3570" s="204">
        <v>1</v>
      </c>
      <c r="E3570" s="204" t="s">
        <v>1958</v>
      </c>
      <c r="F3570" s="205">
        <v>0.54462421627017954</v>
      </c>
    </row>
    <row r="3571" spans="1:6">
      <c r="A3571" s="210">
        <v>332129011</v>
      </c>
      <c r="B3571" s="202" t="s">
        <v>6552</v>
      </c>
      <c r="C3571" s="203" t="s">
        <v>2272</v>
      </c>
      <c r="D3571" s="204">
        <v>1</v>
      </c>
      <c r="E3571" s="204" t="s">
        <v>1958</v>
      </c>
      <c r="F3571" s="205">
        <v>0.57000754580130786</v>
      </c>
    </row>
    <row r="3572" spans="1:6">
      <c r="A3572" s="210">
        <v>332130011</v>
      </c>
      <c r="B3572" s="202" t="s">
        <v>6553</v>
      </c>
      <c r="C3572" s="203" t="s">
        <v>2273</v>
      </c>
      <c r="D3572" s="204">
        <v>1</v>
      </c>
      <c r="E3572" s="204" t="s">
        <v>1958</v>
      </c>
      <c r="F3572" s="205">
        <v>1.2891358418829599</v>
      </c>
    </row>
    <row r="3573" spans="1:6">
      <c r="A3573" s="210">
        <v>332131011</v>
      </c>
      <c r="B3573" s="202" t="s">
        <v>6554</v>
      </c>
      <c r="C3573" s="203" t="s">
        <v>2274</v>
      </c>
      <c r="D3573" s="204">
        <v>1</v>
      </c>
      <c r="E3573" s="204" t="s">
        <v>1958</v>
      </c>
      <c r="F3573" s="205">
        <v>0.6918876026657157</v>
      </c>
    </row>
    <row r="3574" spans="1:6">
      <c r="A3574" s="210">
        <v>332132011</v>
      </c>
      <c r="B3574" s="202" t="s">
        <v>6555</v>
      </c>
      <c r="C3574" s="203" t="s">
        <v>2275</v>
      </c>
      <c r="D3574" s="204">
        <v>1</v>
      </c>
      <c r="E3574" s="204" t="s">
        <v>1958</v>
      </c>
      <c r="F3574" s="205">
        <v>0.63210398913177657</v>
      </c>
    </row>
    <row r="3575" spans="1:6">
      <c r="A3575" s="210">
        <v>332133011</v>
      </c>
      <c r="B3575" s="202" t="s">
        <v>6556</v>
      </c>
      <c r="C3575" s="203" t="s">
        <v>2276</v>
      </c>
      <c r="D3575" s="204">
        <v>1</v>
      </c>
      <c r="E3575" s="204" t="s">
        <v>1958</v>
      </c>
      <c r="F3575" s="205">
        <v>0.53848150258308281</v>
      </c>
    </row>
    <row r="3576" spans="1:6">
      <c r="A3576" s="210">
        <v>332134011</v>
      </c>
      <c r="B3576" s="202" t="s">
        <v>6557</v>
      </c>
      <c r="C3576" s="203" t="s">
        <v>2146</v>
      </c>
      <c r="D3576" s="204">
        <v>1</v>
      </c>
      <c r="E3576" s="204" t="s">
        <v>1958</v>
      </c>
      <c r="F3576" s="205">
        <v>0.61154891107304754</v>
      </c>
    </row>
    <row r="3577" spans="1:6">
      <c r="A3577" s="210">
        <v>332135011</v>
      </c>
      <c r="B3577" s="202" t="s">
        <v>6558</v>
      </c>
      <c r="C3577" s="203" t="s">
        <v>2277</v>
      </c>
      <c r="D3577" s="204">
        <v>1</v>
      </c>
      <c r="E3577" s="204" t="s">
        <v>1958</v>
      </c>
      <c r="F3577" s="205">
        <v>0.36163855142665396</v>
      </c>
    </row>
    <row r="3578" spans="1:6">
      <c r="A3578" s="210">
        <v>332136011</v>
      </c>
      <c r="B3578" s="202" t="s">
        <v>6559</v>
      </c>
      <c r="C3578" s="203" t="s">
        <v>2278</v>
      </c>
      <c r="D3578" s="204">
        <v>1</v>
      </c>
      <c r="E3578" s="204" t="s">
        <v>1958</v>
      </c>
      <c r="F3578" s="205">
        <v>0.27215076179003811</v>
      </c>
    </row>
    <row r="3579" spans="1:6">
      <c r="A3579" s="210">
        <v>332137011</v>
      </c>
      <c r="B3579" s="202" t="s">
        <v>6560</v>
      </c>
      <c r="C3579" s="203" t="s">
        <v>2279</v>
      </c>
      <c r="D3579" s="204">
        <v>1</v>
      </c>
      <c r="E3579" s="204" t="s">
        <v>1958</v>
      </c>
      <c r="F3579" s="205">
        <v>0.69003526441016483</v>
      </c>
    </row>
    <row r="3580" spans="1:6">
      <c r="A3580" s="210">
        <v>332138011</v>
      </c>
      <c r="B3580" s="202" t="s">
        <v>6561</v>
      </c>
      <c r="C3580" s="203" t="s">
        <v>2280</v>
      </c>
      <c r="D3580" s="204">
        <v>1</v>
      </c>
      <c r="E3580" s="204" t="s">
        <v>1958</v>
      </c>
      <c r="F3580" s="205">
        <v>0.34341033701007501</v>
      </c>
    </row>
    <row r="3581" spans="1:6">
      <c r="A3581" s="210">
        <v>332139011</v>
      </c>
      <c r="B3581" s="202" t="s">
        <v>5285</v>
      </c>
      <c r="C3581" s="203" t="s">
        <v>2280</v>
      </c>
      <c r="D3581" s="204">
        <v>1</v>
      </c>
      <c r="E3581" s="204" t="s">
        <v>1958</v>
      </c>
      <c r="F3581" s="205">
        <v>0.52600020482850884</v>
      </c>
    </row>
    <row r="3582" spans="1:6">
      <c r="A3582" s="210">
        <v>332140011</v>
      </c>
      <c r="B3582" s="202" t="s">
        <v>6562</v>
      </c>
      <c r="C3582" s="203" t="s">
        <v>2281</v>
      </c>
      <c r="D3582" s="204">
        <v>1</v>
      </c>
      <c r="E3582" s="204" t="s">
        <v>1958</v>
      </c>
      <c r="F3582" s="205">
        <v>1.0883964755525715</v>
      </c>
    </row>
    <row r="3583" spans="1:6">
      <c r="A3583" s="210">
        <v>332141011</v>
      </c>
      <c r="B3583" s="202" t="s">
        <v>6563</v>
      </c>
      <c r="C3583" s="203" t="s">
        <v>2282</v>
      </c>
      <c r="D3583" s="204">
        <v>1</v>
      </c>
      <c r="E3583" s="204" t="s">
        <v>1958</v>
      </c>
      <c r="F3583" s="205">
        <v>5.3093605120304302E-3</v>
      </c>
    </row>
    <row r="3584" spans="1:6">
      <c r="A3584" s="210">
        <v>332142011</v>
      </c>
      <c r="B3584" s="202" t="s">
        <v>6564</v>
      </c>
      <c r="C3584" s="203" t="s">
        <v>2283</v>
      </c>
      <c r="D3584" s="204">
        <v>1</v>
      </c>
      <c r="E3584" s="204" t="s">
        <v>1958</v>
      </c>
      <c r="F3584" s="205">
        <v>0.42244581401450865</v>
      </c>
    </row>
    <row r="3585" spans="1:6">
      <c r="A3585" s="210">
        <v>332150011</v>
      </c>
      <c r="B3585" s="202" t="s">
        <v>6565</v>
      </c>
      <c r="C3585" s="203" t="s">
        <v>2284</v>
      </c>
      <c r="D3585" s="204">
        <v>1</v>
      </c>
      <c r="E3585" s="204" t="s">
        <v>1958</v>
      </c>
      <c r="F3585" s="205">
        <v>0.73147494146937153</v>
      </c>
    </row>
    <row r="3586" spans="1:6">
      <c r="A3586" s="210">
        <v>333111100</v>
      </c>
      <c r="B3586" s="202" t="s">
        <v>1959</v>
      </c>
      <c r="C3586" s="203" t="s">
        <v>2143</v>
      </c>
      <c r="D3586" s="204">
        <v>1</v>
      </c>
      <c r="E3586" s="204" t="s">
        <v>1958</v>
      </c>
      <c r="F3586" s="205">
        <v>0.59621989580271095</v>
      </c>
    </row>
    <row r="3587" spans="1:6">
      <c r="A3587" s="210">
        <v>333111101</v>
      </c>
      <c r="B3587" s="202" t="s">
        <v>1960</v>
      </c>
      <c r="C3587" s="203" t="s">
        <v>2143</v>
      </c>
      <c r="D3587" s="204">
        <v>1</v>
      </c>
      <c r="E3587" s="204" t="s">
        <v>1958</v>
      </c>
      <c r="F3587" s="205">
        <v>0.915619761681428</v>
      </c>
    </row>
    <row r="3588" spans="1:6">
      <c r="A3588" s="210">
        <v>333111102</v>
      </c>
      <c r="B3588" s="202" t="s">
        <v>1961</v>
      </c>
      <c r="C3588" s="203" t="s">
        <v>2143</v>
      </c>
      <c r="D3588" s="204">
        <v>1</v>
      </c>
      <c r="E3588" s="204" t="s">
        <v>1958</v>
      </c>
      <c r="F3588" s="205">
        <v>0.50389052381056021</v>
      </c>
    </row>
    <row r="3589" spans="1:6">
      <c r="A3589" s="210">
        <v>333111103</v>
      </c>
      <c r="B3589" s="202" t="s">
        <v>1962</v>
      </c>
      <c r="C3589" s="203" t="s">
        <v>2143</v>
      </c>
      <c r="D3589" s="204">
        <v>1</v>
      </c>
      <c r="E3589" s="204" t="s">
        <v>1958</v>
      </c>
      <c r="F3589" s="205">
        <v>0.92534518573392899</v>
      </c>
    </row>
    <row r="3590" spans="1:6">
      <c r="A3590" s="210">
        <v>333112100</v>
      </c>
      <c r="B3590" s="202" t="s">
        <v>1963</v>
      </c>
      <c r="C3590" s="203" t="s">
        <v>2143</v>
      </c>
      <c r="D3590" s="204">
        <v>1</v>
      </c>
      <c r="E3590" s="204" t="s">
        <v>1958</v>
      </c>
      <c r="F3590" s="205">
        <v>1.3948409232986334</v>
      </c>
    </row>
    <row r="3591" spans="1:6">
      <c r="A3591" s="210">
        <v>333112101</v>
      </c>
      <c r="B3591" s="202" t="s">
        <v>1964</v>
      </c>
      <c r="C3591" s="203" t="s">
        <v>2143</v>
      </c>
      <c r="D3591" s="204">
        <v>1</v>
      </c>
      <c r="E3591" s="204" t="s">
        <v>1958</v>
      </c>
      <c r="F3591" s="205">
        <v>0.54311454476774712</v>
      </c>
    </row>
    <row r="3592" spans="1:6">
      <c r="A3592" s="210">
        <v>333112102</v>
      </c>
      <c r="B3592" s="202" t="s">
        <v>1965</v>
      </c>
      <c r="C3592" s="203" t="s">
        <v>2143</v>
      </c>
      <c r="D3592" s="204">
        <v>1</v>
      </c>
      <c r="E3592" s="204" t="s">
        <v>1958</v>
      </c>
      <c r="F3592" s="205">
        <v>2.0094735884866055</v>
      </c>
    </row>
    <row r="3593" spans="1:6">
      <c r="A3593" s="210">
        <v>333112200</v>
      </c>
      <c r="B3593" s="202" t="s">
        <v>1966</v>
      </c>
      <c r="C3593" s="203" t="s">
        <v>2143</v>
      </c>
      <c r="D3593" s="204">
        <v>1</v>
      </c>
      <c r="E3593" s="204" t="s">
        <v>1958</v>
      </c>
      <c r="F3593" s="205">
        <v>0.63568014069190359</v>
      </c>
    </row>
    <row r="3594" spans="1:6">
      <c r="A3594" s="210">
        <v>333112201</v>
      </c>
      <c r="B3594" s="202" t="s">
        <v>1967</v>
      </c>
      <c r="C3594" s="203" t="s">
        <v>2143</v>
      </c>
      <c r="D3594" s="204">
        <v>1</v>
      </c>
      <c r="E3594" s="204" t="s">
        <v>1958</v>
      </c>
      <c r="F3594" s="205">
        <v>0.23457641298452431</v>
      </c>
    </row>
    <row r="3595" spans="1:6">
      <c r="A3595" s="210">
        <v>333112202</v>
      </c>
      <c r="B3595" s="202" t="s">
        <v>5287</v>
      </c>
      <c r="C3595" s="203" t="s">
        <v>2143</v>
      </c>
      <c r="D3595" s="204">
        <v>1</v>
      </c>
      <c r="E3595" s="204" t="s">
        <v>1958</v>
      </c>
      <c r="F3595" s="205">
        <v>0</v>
      </c>
    </row>
    <row r="3596" spans="1:6">
      <c r="A3596" s="210">
        <v>338111000</v>
      </c>
      <c r="B3596" s="202" t="s">
        <v>6566</v>
      </c>
      <c r="C3596" s="203" t="s">
        <v>2143</v>
      </c>
      <c r="D3596" s="204">
        <v>1</v>
      </c>
      <c r="E3596" s="204" t="s">
        <v>279</v>
      </c>
      <c r="F3596" s="205">
        <v>4.0323714315302704E-2</v>
      </c>
    </row>
    <row r="3597" spans="1:6">
      <c r="A3597" s="210">
        <v>338112000</v>
      </c>
      <c r="B3597" s="202" t="s">
        <v>5289</v>
      </c>
      <c r="C3597" s="203" t="s">
        <v>2143</v>
      </c>
      <c r="D3597" s="204">
        <v>1</v>
      </c>
      <c r="E3597" s="204" t="s">
        <v>279</v>
      </c>
      <c r="F3597" s="205">
        <v>6.1571159160053013E-2</v>
      </c>
    </row>
    <row r="3598" spans="1:6">
      <c r="A3598" s="210">
        <v>338113000</v>
      </c>
      <c r="B3598" s="202" t="s">
        <v>6567</v>
      </c>
      <c r="C3598" s="203" t="s">
        <v>2143</v>
      </c>
      <c r="D3598" s="204">
        <v>1</v>
      </c>
      <c r="E3598" s="204" t="s">
        <v>279</v>
      </c>
      <c r="F3598" s="205">
        <v>7.6369423714671605E-2</v>
      </c>
    </row>
    <row r="3599" spans="1:6">
      <c r="A3599" s="210">
        <v>338114000</v>
      </c>
      <c r="B3599" s="202" t="s">
        <v>6568</v>
      </c>
      <c r="C3599" s="203" t="s">
        <v>2143</v>
      </c>
      <c r="D3599" s="204">
        <v>1</v>
      </c>
      <c r="E3599" s="204" t="s">
        <v>279</v>
      </c>
      <c r="F3599" s="205">
        <v>7.8608727438740089E-2</v>
      </c>
    </row>
    <row r="3600" spans="1:6">
      <c r="A3600" s="210">
        <v>338115000</v>
      </c>
      <c r="B3600" s="202" t="s">
        <v>6569</v>
      </c>
      <c r="C3600" s="203" t="s">
        <v>2143</v>
      </c>
      <c r="D3600" s="204">
        <v>1</v>
      </c>
      <c r="E3600" s="204" t="s">
        <v>279</v>
      </c>
      <c r="F3600" s="205">
        <v>7.7313668386100112E-2</v>
      </c>
    </row>
    <row r="3601" spans="1:6">
      <c r="A3601" s="210">
        <v>338116000</v>
      </c>
      <c r="B3601" s="202" t="s">
        <v>5291</v>
      </c>
      <c r="C3601" s="203" t="s">
        <v>2143</v>
      </c>
      <c r="D3601" s="204">
        <v>1</v>
      </c>
      <c r="E3601" s="204" t="s">
        <v>279</v>
      </c>
      <c r="F3601" s="205">
        <v>8.0463362814217232E-2</v>
      </c>
    </row>
    <row r="3602" spans="1:6">
      <c r="A3602" s="210">
        <v>338117000</v>
      </c>
      <c r="B3602" s="202" t="s">
        <v>5293</v>
      </c>
      <c r="C3602" s="203" t="s">
        <v>2143</v>
      </c>
      <c r="D3602" s="204">
        <v>1</v>
      </c>
      <c r="E3602" s="204" t="s">
        <v>279</v>
      </c>
      <c r="F3602" s="205">
        <v>9.8845758590483071E-2</v>
      </c>
    </row>
    <row r="3603" spans="1:6">
      <c r="A3603" s="210">
        <v>338119000</v>
      </c>
      <c r="B3603" s="202" t="s">
        <v>5295</v>
      </c>
      <c r="C3603" s="203" t="s">
        <v>2143</v>
      </c>
      <c r="D3603" s="204">
        <v>1</v>
      </c>
      <c r="E3603" s="204" t="s">
        <v>279</v>
      </c>
      <c r="F3603" s="205">
        <v>0</v>
      </c>
    </row>
    <row r="3604" spans="1:6">
      <c r="A3604" s="210">
        <v>338120000</v>
      </c>
      <c r="B3604" s="202" t="s">
        <v>6570</v>
      </c>
      <c r="C3604" s="203" t="s">
        <v>2143</v>
      </c>
      <c r="D3604" s="204">
        <v>1</v>
      </c>
      <c r="E3604" s="204" t="s">
        <v>279</v>
      </c>
      <c r="F3604" s="205">
        <v>2.5571077766233506E-3</v>
      </c>
    </row>
    <row r="3605" spans="1:6">
      <c r="A3605" s="210">
        <v>338122000</v>
      </c>
      <c r="B3605" s="202" t="s">
        <v>6571</v>
      </c>
      <c r="C3605" s="203" t="s">
        <v>2143</v>
      </c>
      <c r="D3605" s="204">
        <v>1</v>
      </c>
      <c r="E3605" s="204" t="s">
        <v>279</v>
      </c>
      <c r="F3605" s="205">
        <v>0</v>
      </c>
    </row>
    <row r="3606" spans="1:6">
      <c r="A3606" s="210">
        <v>338123000</v>
      </c>
      <c r="B3606" s="202" t="s">
        <v>6572</v>
      </c>
      <c r="C3606" s="203" t="s">
        <v>2143</v>
      </c>
      <c r="D3606" s="204">
        <v>1</v>
      </c>
      <c r="E3606" s="204" t="s">
        <v>279</v>
      </c>
      <c r="F3606" s="205">
        <v>0</v>
      </c>
    </row>
    <row r="3607" spans="1:6">
      <c r="A3607" s="210">
        <v>338124000</v>
      </c>
      <c r="B3607" s="202" t="s">
        <v>6573</v>
      </c>
      <c r="C3607" s="203" t="s">
        <v>2143</v>
      </c>
      <c r="D3607" s="204">
        <v>1</v>
      </c>
      <c r="E3607" s="204" t="s">
        <v>279</v>
      </c>
      <c r="F3607" s="205">
        <v>0</v>
      </c>
    </row>
    <row r="3608" spans="1:6">
      <c r="A3608" s="210">
        <v>338125000</v>
      </c>
      <c r="B3608" s="202" t="s">
        <v>6574</v>
      </c>
      <c r="C3608" s="203" t="s">
        <v>2143</v>
      </c>
      <c r="D3608" s="204">
        <v>1</v>
      </c>
      <c r="E3608" s="204" t="s">
        <v>1958</v>
      </c>
      <c r="F3608" s="205">
        <v>0.60709688431749542</v>
      </c>
    </row>
    <row r="3609" spans="1:6">
      <c r="A3609" s="210">
        <v>338212000</v>
      </c>
      <c r="B3609" s="202" t="s">
        <v>6575</v>
      </c>
      <c r="C3609" s="203" t="s">
        <v>2155</v>
      </c>
      <c r="D3609" s="204">
        <v>1</v>
      </c>
      <c r="E3609" s="204" t="s">
        <v>279</v>
      </c>
      <c r="F3609" s="205">
        <v>0.10666776028442311</v>
      </c>
    </row>
    <row r="3610" spans="1:6">
      <c r="A3610" s="210">
        <v>338213000</v>
      </c>
      <c r="B3610" s="202" t="s">
        <v>6576</v>
      </c>
      <c r="C3610" s="203" t="s">
        <v>2155</v>
      </c>
      <c r="D3610" s="204">
        <v>1</v>
      </c>
      <c r="E3610" s="204" t="s">
        <v>279</v>
      </c>
      <c r="F3610" s="205">
        <v>0.10324459450989837</v>
      </c>
    </row>
    <row r="3611" spans="1:6">
      <c r="A3611" s="210">
        <v>338214000</v>
      </c>
      <c r="B3611" s="202" t="s">
        <v>6577</v>
      </c>
      <c r="C3611" s="203" t="s">
        <v>2155</v>
      </c>
      <c r="D3611" s="204">
        <v>1</v>
      </c>
      <c r="E3611" s="204" t="s">
        <v>279</v>
      </c>
      <c r="F3611" s="205">
        <v>0.10774295842768226</v>
      </c>
    </row>
    <row r="3612" spans="1:6">
      <c r="A3612" s="210">
        <v>338215000</v>
      </c>
      <c r="B3612" s="202" t="s">
        <v>6578</v>
      </c>
      <c r="C3612" s="203" t="s">
        <v>2155</v>
      </c>
      <c r="D3612" s="204">
        <v>1</v>
      </c>
      <c r="E3612" s="204" t="s">
        <v>279</v>
      </c>
      <c r="F3612" s="205">
        <v>0.11923780183756494</v>
      </c>
    </row>
    <row r="3613" spans="1:6">
      <c r="A3613" s="210">
        <v>338216000</v>
      </c>
      <c r="B3613" s="202" t="s">
        <v>6579</v>
      </c>
      <c r="C3613" s="203" t="s">
        <v>2155</v>
      </c>
      <c r="D3613" s="204">
        <v>1</v>
      </c>
      <c r="E3613" s="204" t="s">
        <v>279</v>
      </c>
      <c r="F3613" s="205">
        <v>8.0748876283535428E-2</v>
      </c>
    </row>
    <row r="3614" spans="1:6">
      <c r="A3614" s="210">
        <v>338217000</v>
      </c>
      <c r="B3614" s="202" t="s">
        <v>6580</v>
      </c>
      <c r="C3614" s="203" t="s">
        <v>2155</v>
      </c>
      <c r="D3614" s="204">
        <v>1</v>
      </c>
      <c r="E3614" s="204" t="s">
        <v>279</v>
      </c>
      <c r="F3614" s="205">
        <v>5.6283177967839576E-2</v>
      </c>
    </row>
    <row r="3615" spans="1:6">
      <c r="A3615" s="210">
        <v>338218000</v>
      </c>
      <c r="B3615" s="202" t="s">
        <v>6581</v>
      </c>
      <c r="C3615" s="203" t="s">
        <v>2155</v>
      </c>
      <c r="D3615" s="204">
        <v>1</v>
      </c>
      <c r="E3615" s="204" t="s">
        <v>279</v>
      </c>
      <c r="F3615" s="205">
        <v>8.6762546233675922E-2</v>
      </c>
    </row>
    <row r="3616" spans="1:6">
      <c r="A3616" s="210">
        <v>338219000</v>
      </c>
      <c r="B3616" s="202" t="s">
        <v>6582</v>
      </c>
      <c r="C3616" s="203" t="s">
        <v>2155</v>
      </c>
      <c r="D3616" s="204">
        <v>1</v>
      </c>
      <c r="E3616" s="204" t="s">
        <v>279</v>
      </c>
      <c r="F3616" s="205">
        <v>8.4264636261516881E-2</v>
      </c>
    </row>
    <row r="3617" spans="1:6">
      <c r="A3617" s="210">
        <v>338220000</v>
      </c>
      <c r="B3617" s="202" t="s">
        <v>6583</v>
      </c>
      <c r="C3617" s="203" t="s">
        <v>2155</v>
      </c>
      <c r="D3617" s="204">
        <v>1</v>
      </c>
      <c r="E3617" s="204" t="s">
        <v>279</v>
      </c>
      <c r="F3617" s="205">
        <v>8.1670851631601898E-2</v>
      </c>
    </row>
    <row r="3618" spans="1:6">
      <c r="A3618" s="210">
        <v>338221000</v>
      </c>
      <c r="B3618" s="202" t="s">
        <v>6584</v>
      </c>
      <c r="C3618" s="203" t="s">
        <v>2155</v>
      </c>
      <c r="D3618" s="204">
        <v>1</v>
      </c>
      <c r="E3618" s="204" t="s">
        <v>279</v>
      </c>
      <c r="F3618" s="205">
        <v>8.4696880385135717E-2</v>
      </c>
    </row>
    <row r="3619" spans="1:6">
      <c r="A3619" s="210">
        <v>338222000</v>
      </c>
      <c r="B3619" s="202" t="s">
        <v>6585</v>
      </c>
      <c r="C3619" s="203" t="s">
        <v>2155</v>
      </c>
      <c r="D3619" s="204">
        <v>1</v>
      </c>
      <c r="E3619" s="204" t="s">
        <v>279</v>
      </c>
      <c r="F3619" s="205">
        <v>8.8636264382831342E-2</v>
      </c>
    </row>
    <row r="3620" spans="1:6">
      <c r="A3620" s="210">
        <v>338223000</v>
      </c>
      <c r="B3620" s="202" t="s">
        <v>6586</v>
      </c>
      <c r="C3620" s="203" t="s">
        <v>2155</v>
      </c>
      <c r="D3620" s="204">
        <v>1</v>
      </c>
      <c r="E3620" s="204" t="s">
        <v>279</v>
      </c>
      <c r="F3620" s="205">
        <v>8.0955465358536843E-2</v>
      </c>
    </row>
    <row r="3621" spans="1:6">
      <c r="A3621" s="210">
        <v>338226000</v>
      </c>
      <c r="B3621" s="202" t="s">
        <v>6587</v>
      </c>
      <c r="C3621" s="203" t="s">
        <v>2155</v>
      </c>
      <c r="D3621" s="204">
        <v>1</v>
      </c>
      <c r="E3621" s="204" t="s">
        <v>279</v>
      </c>
      <c r="F3621" s="205">
        <v>0.1385086741203746</v>
      </c>
    </row>
    <row r="3622" spans="1:6">
      <c r="A3622" s="210">
        <v>338227000</v>
      </c>
      <c r="B3622" s="202" t="s">
        <v>6588</v>
      </c>
      <c r="C3622" s="203" t="s">
        <v>2155</v>
      </c>
      <c r="D3622" s="204">
        <v>1</v>
      </c>
      <c r="E3622" s="204" t="s">
        <v>279</v>
      </c>
      <c r="F3622" s="205">
        <v>5.8485982461767921E-2</v>
      </c>
    </row>
    <row r="3623" spans="1:6">
      <c r="A3623" s="210">
        <v>341100000</v>
      </c>
      <c r="B3623" s="202" t="s">
        <v>6589</v>
      </c>
      <c r="C3623" s="203" t="s">
        <v>2143</v>
      </c>
      <c r="D3623" s="204">
        <v>1</v>
      </c>
      <c r="E3623" s="204" t="s">
        <v>278</v>
      </c>
      <c r="F3623" s="205">
        <v>0.54475019373835942</v>
      </c>
    </row>
    <row r="3624" spans="1:6">
      <c r="A3624" s="210">
        <v>341111000</v>
      </c>
      <c r="B3624" s="202" t="s">
        <v>118</v>
      </c>
      <c r="C3624" s="203" t="s">
        <v>2143</v>
      </c>
      <c r="D3624" s="204">
        <v>1</v>
      </c>
      <c r="E3624" s="204" t="s">
        <v>278</v>
      </c>
      <c r="F3624" s="205">
        <v>0.54475019373835942</v>
      </c>
    </row>
    <row r="3625" spans="1:6">
      <c r="A3625" s="210">
        <v>341111001</v>
      </c>
      <c r="B3625" s="202" t="s">
        <v>6590</v>
      </c>
      <c r="C3625" s="203" t="s">
        <v>2143</v>
      </c>
      <c r="D3625" s="204">
        <v>1</v>
      </c>
      <c r="E3625" s="204" t="s">
        <v>278</v>
      </c>
      <c r="F3625" s="205">
        <v>0.51542598004850382</v>
      </c>
    </row>
    <row r="3626" spans="1:6">
      <c r="A3626" s="210">
        <v>341111801</v>
      </c>
      <c r="B3626" s="202" t="s">
        <v>5298</v>
      </c>
      <c r="C3626" s="203" t="s">
        <v>2143</v>
      </c>
      <c r="D3626" s="204">
        <v>1</v>
      </c>
      <c r="E3626" s="204" t="s">
        <v>279</v>
      </c>
      <c r="F3626" s="205">
        <v>6.1846373431362067E-2</v>
      </c>
    </row>
    <row r="3627" spans="1:6">
      <c r="A3627" s="210">
        <v>351100000</v>
      </c>
      <c r="B3627" s="202" t="s">
        <v>6591</v>
      </c>
      <c r="C3627" s="203" t="s">
        <v>2143</v>
      </c>
      <c r="D3627" s="204">
        <v>1</v>
      </c>
      <c r="E3627" s="204" t="s">
        <v>279</v>
      </c>
      <c r="F3627" s="205">
        <v>7.5553515298823135E-2</v>
      </c>
    </row>
    <row r="3628" spans="1:6">
      <c r="A3628" s="210">
        <v>351111000</v>
      </c>
      <c r="B3628" s="202" t="s">
        <v>1968</v>
      </c>
      <c r="C3628" s="203" t="s">
        <v>2143</v>
      </c>
      <c r="D3628" s="204">
        <v>1</v>
      </c>
      <c r="E3628" s="204" t="s">
        <v>279</v>
      </c>
      <c r="F3628" s="205">
        <v>7.5553515298823135E-2</v>
      </c>
    </row>
    <row r="3629" spans="1:6">
      <c r="A3629" s="210">
        <v>351111001</v>
      </c>
      <c r="B3629" s="202" t="s">
        <v>6592</v>
      </c>
      <c r="C3629" s="203" t="s">
        <v>2143</v>
      </c>
      <c r="D3629" s="204">
        <v>1</v>
      </c>
      <c r="E3629" s="204" t="s">
        <v>279</v>
      </c>
      <c r="F3629" s="205">
        <v>0.10437260772585227</v>
      </c>
    </row>
    <row r="3630" spans="1:6">
      <c r="A3630" s="210">
        <v>351111902</v>
      </c>
      <c r="B3630" s="202" t="s">
        <v>6593</v>
      </c>
      <c r="C3630" s="203" t="s">
        <v>5553</v>
      </c>
      <c r="D3630" s="204">
        <v>1</v>
      </c>
      <c r="E3630" s="204" t="s">
        <v>400</v>
      </c>
      <c r="F3630" s="205">
        <v>0</v>
      </c>
    </row>
    <row r="3631" spans="1:6">
      <c r="A3631" s="210">
        <v>351200000</v>
      </c>
      <c r="B3631" s="202" t="s">
        <v>5301</v>
      </c>
      <c r="C3631" s="203" t="s">
        <v>2143</v>
      </c>
      <c r="D3631" s="204">
        <v>1</v>
      </c>
      <c r="E3631" s="204" t="s">
        <v>279</v>
      </c>
      <c r="F3631" s="205">
        <v>0.17238257306560817</v>
      </c>
    </row>
    <row r="3632" spans="1:6">
      <c r="A3632" s="210">
        <v>351211000</v>
      </c>
      <c r="B3632" s="202" t="s">
        <v>5303</v>
      </c>
      <c r="C3632" s="203" t="s">
        <v>2143</v>
      </c>
      <c r="D3632" s="204">
        <v>1</v>
      </c>
      <c r="E3632" s="204" t="s">
        <v>279</v>
      </c>
      <c r="F3632" s="205">
        <v>0.17238257306560817</v>
      </c>
    </row>
    <row r="3633" spans="1:6">
      <c r="A3633" s="210">
        <v>351211100</v>
      </c>
      <c r="B3633" s="202" t="s">
        <v>1969</v>
      </c>
      <c r="C3633" s="203" t="s">
        <v>2143</v>
      </c>
      <c r="D3633" s="204">
        <v>1</v>
      </c>
      <c r="E3633" s="204" t="s">
        <v>235</v>
      </c>
      <c r="F3633" s="205">
        <v>0.26897368401825517</v>
      </c>
    </row>
    <row r="3634" spans="1:6">
      <c r="A3634" s="210">
        <v>351211101</v>
      </c>
      <c r="B3634" s="202" t="s">
        <v>5306</v>
      </c>
      <c r="C3634" s="203" t="s">
        <v>2143</v>
      </c>
      <c r="D3634" s="204">
        <v>1</v>
      </c>
      <c r="E3634" s="204" t="s">
        <v>235</v>
      </c>
      <c r="F3634" s="205">
        <v>0.5024852920774372</v>
      </c>
    </row>
    <row r="3635" spans="1:6">
      <c r="A3635" s="210">
        <v>361100000</v>
      </c>
      <c r="B3635" s="202" t="s">
        <v>5308</v>
      </c>
      <c r="C3635" s="203" t="s">
        <v>2143</v>
      </c>
      <c r="D3635" s="204">
        <v>1</v>
      </c>
      <c r="E3635" s="204" t="s">
        <v>278</v>
      </c>
      <c r="F3635" s="205">
        <v>0.36754823035748857</v>
      </c>
    </row>
    <row r="3636" spans="1:6">
      <c r="A3636" s="210">
        <v>361111000</v>
      </c>
      <c r="B3636" s="202" t="s">
        <v>1970</v>
      </c>
      <c r="C3636" s="203" t="s">
        <v>2143</v>
      </c>
      <c r="D3636" s="204">
        <v>1</v>
      </c>
      <c r="E3636" s="204" t="s">
        <v>278</v>
      </c>
      <c r="F3636" s="205">
        <v>0.36754823035748857</v>
      </c>
    </row>
    <row r="3637" spans="1:6">
      <c r="A3637" s="210">
        <v>361111200</v>
      </c>
      <c r="B3637" s="202" t="s">
        <v>5311</v>
      </c>
      <c r="C3637" s="203" t="s">
        <v>2143</v>
      </c>
      <c r="D3637" s="204">
        <v>1</v>
      </c>
      <c r="E3637" s="204" t="s">
        <v>278</v>
      </c>
      <c r="F3637" s="205">
        <v>0</v>
      </c>
    </row>
    <row r="3638" spans="1:6">
      <c r="A3638" s="210">
        <v>361111400</v>
      </c>
      <c r="B3638" s="202" t="s">
        <v>5313</v>
      </c>
      <c r="C3638" s="203" t="s">
        <v>2143</v>
      </c>
      <c r="D3638" s="204">
        <v>1</v>
      </c>
      <c r="E3638" s="204" t="s">
        <v>278</v>
      </c>
      <c r="F3638" s="205">
        <v>0</v>
      </c>
    </row>
    <row r="3639" spans="1:6">
      <c r="A3639" s="210">
        <v>361111601</v>
      </c>
      <c r="B3639" s="202" t="s">
        <v>6594</v>
      </c>
      <c r="C3639" s="203" t="s">
        <v>5553</v>
      </c>
      <c r="D3639" s="204">
        <v>1</v>
      </c>
      <c r="E3639" s="204" t="s">
        <v>235</v>
      </c>
      <c r="F3639" s="205">
        <v>0</v>
      </c>
    </row>
    <row r="3640" spans="1:6">
      <c r="A3640" s="210">
        <v>362100000</v>
      </c>
      <c r="B3640" s="202" t="s">
        <v>5315</v>
      </c>
      <c r="C3640" s="203" t="s">
        <v>2143</v>
      </c>
      <c r="D3640" s="204">
        <v>1</v>
      </c>
      <c r="E3640" s="204" t="s">
        <v>278</v>
      </c>
      <c r="F3640" s="205">
        <v>0.14873753178233792</v>
      </c>
    </row>
    <row r="3641" spans="1:6">
      <c r="A3641" s="210">
        <v>362111000</v>
      </c>
      <c r="B3641" s="202" t="s">
        <v>1971</v>
      </c>
      <c r="C3641" s="203" t="s">
        <v>2143</v>
      </c>
      <c r="D3641" s="204">
        <v>1</v>
      </c>
      <c r="E3641" s="204" t="s">
        <v>278</v>
      </c>
      <c r="F3641" s="205">
        <v>0.14873753178233792</v>
      </c>
    </row>
    <row r="3642" spans="1:6">
      <c r="A3642" s="210">
        <v>362111200</v>
      </c>
      <c r="B3642" s="202" t="s">
        <v>5318</v>
      </c>
      <c r="C3642" s="203" t="s">
        <v>2143</v>
      </c>
      <c r="D3642" s="204">
        <v>1</v>
      </c>
      <c r="E3642" s="204" t="s">
        <v>278</v>
      </c>
      <c r="F3642" s="205">
        <v>0</v>
      </c>
    </row>
    <row r="3643" spans="1:6">
      <c r="A3643" s="210">
        <v>362111400</v>
      </c>
      <c r="B3643" s="202" t="s">
        <v>5320</v>
      </c>
      <c r="C3643" s="203" t="s">
        <v>2143</v>
      </c>
      <c r="D3643" s="204">
        <v>1</v>
      </c>
      <c r="E3643" s="204" t="s">
        <v>278</v>
      </c>
      <c r="F3643" s="205">
        <v>0</v>
      </c>
    </row>
    <row r="3644" spans="1:6">
      <c r="A3644" s="210">
        <v>365100000</v>
      </c>
      <c r="B3644" s="202" t="s">
        <v>6595</v>
      </c>
      <c r="C3644" s="203" t="s">
        <v>2143</v>
      </c>
      <c r="D3644" s="204">
        <v>1</v>
      </c>
      <c r="E3644" s="204" t="s">
        <v>278</v>
      </c>
      <c r="F3644" s="205">
        <v>0</v>
      </c>
    </row>
    <row r="3645" spans="1:6">
      <c r="A3645" s="210">
        <v>365111000</v>
      </c>
      <c r="B3645" s="202" t="s">
        <v>5322</v>
      </c>
      <c r="C3645" s="203" t="s">
        <v>2143</v>
      </c>
      <c r="D3645" s="204">
        <v>1</v>
      </c>
      <c r="E3645" s="204" t="s">
        <v>278</v>
      </c>
      <c r="F3645" s="205">
        <v>0</v>
      </c>
    </row>
    <row r="3646" spans="1:6">
      <c r="A3646" s="210">
        <v>365111200</v>
      </c>
      <c r="B3646" s="202" t="s">
        <v>5324</v>
      </c>
      <c r="C3646" s="203" t="s">
        <v>2143</v>
      </c>
      <c r="D3646" s="204">
        <v>1</v>
      </c>
      <c r="E3646" s="204" t="s">
        <v>278</v>
      </c>
      <c r="F3646" s="205">
        <v>0</v>
      </c>
    </row>
    <row r="3647" spans="1:6">
      <c r="A3647" s="210">
        <v>365111400</v>
      </c>
      <c r="B3647" s="202" t="s">
        <v>5326</v>
      </c>
      <c r="C3647" s="203" t="s">
        <v>2143</v>
      </c>
      <c r="D3647" s="204">
        <v>1</v>
      </c>
      <c r="E3647" s="204" t="s">
        <v>278</v>
      </c>
      <c r="F3647" s="205">
        <v>0</v>
      </c>
    </row>
    <row r="3648" spans="1:6">
      <c r="A3648" s="210">
        <v>366100000</v>
      </c>
      <c r="B3648" s="202" t="s">
        <v>6596</v>
      </c>
      <c r="C3648" s="203" t="s">
        <v>2143</v>
      </c>
      <c r="D3648" s="204">
        <v>1</v>
      </c>
      <c r="E3648" s="204" t="s">
        <v>278</v>
      </c>
      <c r="F3648" s="205">
        <v>0</v>
      </c>
    </row>
    <row r="3649" spans="1:6">
      <c r="A3649" s="210">
        <v>366111000</v>
      </c>
      <c r="B3649" s="202" t="s">
        <v>5328</v>
      </c>
      <c r="C3649" s="203" t="s">
        <v>2143</v>
      </c>
      <c r="D3649" s="204">
        <v>1</v>
      </c>
      <c r="E3649" s="204" t="s">
        <v>278</v>
      </c>
      <c r="F3649" s="205">
        <v>0</v>
      </c>
    </row>
    <row r="3650" spans="1:6">
      <c r="A3650" s="210">
        <v>366111200</v>
      </c>
      <c r="B3650" s="202" t="s">
        <v>5330</v>
      </c>
      <c r="C3650" s="203" t="s">
        <v>2143</v>
      </c>
      <c r="D3650" s="204">
        <v>1</v>
      </c>
      <c r="E3650" s="204" t="s">
        <v>278</v>
      </c>
      <c r="F3650" s="205">
        <v>0</v>
      </c>
    </row>
    <row r="3651" spans="1:6">
      <c r="A3651" s="210">
        <v>366111400</v>
      </c>
      <c r="B3651" s="202" t="s">
        <v>5332</v>
      </c>
      <c r="C3651" s="203" t="s">
        <v>2143</v>
      </c>
      <c r="D3651" s="204">
        <v>1</v>
      </c>
      <c r="E3651" s="204" t="s">
        <v>278</v>
      </c>
      <c r="F3651" s="205">
        <v>0</v>
      </c>
    </row>
    <row r="3652" spans="1:6">
      <c r="A3652" s="210">
        <v>421100000</v>
      </c>
      <c r="B3652" s="202" t="s">
        <v>6597</v>
      </c>
      <c r="C3652" s="203" t="s">
        <v>2143</v>
      </c>
      <c r="D3652" s="204">
        <v>1</v>
      </c>
      <c r="E3652" s="204" t="s">
        <v>2285</v>
      </c>
      <c r="F3652" s="205">
        <v>2.9328241333239177E-2</v>
      </c>
    </row>
    <row r="3653" spans="1:6">
      <c r="A3653" s="210">
        <v>421111000</v>
      </c>
      <c r="B3653" s="202" t="s">
        <v>6598</v>
      </c>
      <c r="C3653" s="203" t="s">
        <v>2143</v>
      </c>
      <c r="D3653" s="204">
        <v>1</v>
      </c>
      <c r="E3653" s="204" t="s">
        <v>2285</v>
      </c>
      <c r="F3653" s="205">
        <v>2.9328241333239177E-2</v>
      </c>
    </row>
    <row r="3654" spans="1:6">
      <c r="A3654" s="210">
        <v>421200000</v>
      </c>
      <c r="B3654" s="202" t="s">
        <v>6599</v>
      </c>
      <c r="C3654" s="203" t="s">
        <v>2143</v>
      </c>
      <c r="D3654" s="204">
        <v>1</v>
      </c>
      <c r="E3654" s="204" t="s">
        <v>1693</v>
      </c>
      <c r="F3654" s="205">
        <v>3.2479641772421068E-2</v>
      </c>
    </row>
    <row r="3655" spans="1:6">
      <c r="A3655" s="210">
        <v>421211000</v>
      </c>
      <c r="B3655" s="202" t="s">
        <v>6600</v>
      </c>
      <c r="C3655" s="203" t="s">
        <v>2143</v>
      </c>
      <c r="D3655" s="204">
        <v>1</v>
      </c>
      <c r="E3655" s="204" t="s">
        <v>1693</v>
      </c>
      <c r="F3655" s="205">
        <v>3.2479641772421068E-2</v>
      </c>
    </row>
    <row r="3656" spans="1:6">
      <c r="A3656" s="210">
        <v>431100000</v>
      </c>
      <c r="B3656" s="202" t="s">
        <v>6601</v>
      </c>
      <c r="C3656" s="203" t="s">
        <v>2143</v>
      </c>
      <c r="D3656" s="204">
        <v>1</v>
      </c>
      <c r="E3656" s="204" t="s">
        <v>2285</v>
      </c>
      <c r="F3656" s="205">
        <v>6.2325116062863728E-2</v>
      </c>
    </row>
    <row r="3657" spans="1:6">
      <c r="A3657" s="210">
        <v>431111000</v>
      </c>
      <c r="B3657" s="202" t="s">
        <v>6602</v>
      </c>
      <c r="C3657" s="203" t="s">
        <v>2143</v>
      </c>
      <c r="D3657" s="204">
        <v>1</v>
      </c>
      <c r="E3657" s="204" t="s">
        <v>2285</v>
      </c>
      <c r="F3657" s="205">
        <v>0.10122793905092338</v>
      </c>
    </row>
    <row r="3658" spans="1:6">
      <c r="A3658" s="210">
        <v>431112000</v>
      </c>
      <c r="B3658" s="202" t="s">
        <v>6603</v>
      </c>
      <c r="C3658" s="203" t="s">
        <v>2143</v>
      </c>
      <c r="D3658" s="204">
        <v>1</v>
      </c>
      <c r="E3658" s="204" t="s">
        <v>2285</v>
      </c>
      <c r="F3658" s="205">
        <v>3.6442022898282675E-2</v>
      </c>
    </row>
    <row r="3659" spans="1:6">
      <c r="A3659" s="210">
        <v>431113000</v>
      </c>
      <c r="B3659" s="202" t="s">
        <v>6604</v>
      </c>
      <c r="C3659" s="203" t="s">
        <v>2143</v>
      </c>
      <c r="D3659" s="204">
        <v>1</v>
      </c>
      <c r="E3659" s="204" t="s">
        <v>2285</v>
      </c>
      <c r="F3659" s="205">
        <v>6.3800133022318239E-2</v>
      </c>
    </row>
    <row r="3660" spans="1:6">
      <c r="A3660" s="210">
        <v>432100000</v>
      </c>
      <c r="B3660" s="202" t="s">
        <v>6605</v>
      </c>
      <c r="C3660" s="203" t="s">
        <v>2143</v>
      </c>
      <c r="D3660" s="204">
        <v>1</v>
      </c>
      <c r="E3660" s="204" t="s">
        <v>2285</v>
      </c>
      <c r="F3660" s="205">
        <v>0.86823273200510975</v>
      </c>
    </row>
    <row r="3661" spans="1:6">
      <c r="A3661" s="210">
        <v>432111000</v>
      </c>
      <c r="B3661" s="202" t="s">
        <v>6606</v>
      </c>
      <c r="C3661" s="203" t="s">
        <v>2143</v>
      </c>
      <c r="D3661" s="204">
        <v>1</v>
      </c>
      <c r="E3661" s="204" t="s">
        <v>2285</v>
      </c>
      <c r="F3661" s="205">
        <v>0.86823273200510975</v>
      </c>
    </row>
    <row r="3662" spans="1:6">
      <c r="A3662" s="210">
        <v>433100000</v>
      </c>
      <c r="B3662" s="202" t="s">
        <v>6607</v>
      </c>
      <c r="C3662" s="203" t="s">
        <v>2143</v>
      </c>
      <c r="D3662" s="204">
        <v>1</v>
      </c>
      <c r="E3662" s="204" t="s">
        <v>2285</v>
      </c>
      <c r="F3662" s="205">
        <v>0.23728176295559841</v>
      </c>
    </row>
    <row r="3663" spans="1:6">
      <c r="A3663" s="210">
        <v>433111000</v>
      </c>
      <c r="B3663" s="202" t="s">
        <v>6608</v>
      </c>
      <c r="C3663" s="203" t="s">
        <v>2143</v>
      </c>
      <c r="D3663" s="204">
        <v>1</v>
      </c>
      <c r="E3663" s="204" t="s">
        <v>2285</v>
      </c>
      <c r="F3663" s="205">
        <v>0.24306588264413412</v>
      </c>
    </row>
    <row r="3664" spans="1:6">
      <c r="A3664" s="210">
        <v>433112000</v>
      </c>
      <c r="B3664" s="202" t="s">
        <v>6609</v>
      </c>
      <c r="C3664" s="203" t="s">
        <v>2143</v>
      </c>
      <c r="D3664" s="204">
        <v>1</v>
      </c>
      <c r="E3664" s="204" t="s">
        <v>2285</v>
      </c>
      <c r="F3664" s="205">
        <v>0.21921514578801951</v>
      </c>
    </row>
    <row r="3665" spans="1:6">
      <c r="A3665" s="210">
        <v>441100000</v>
      </c>
      <c r="B3665" s="202" t="s">
        <v>6610</v>
      </c>
      <c r="C3665" s="203" t="s">
        <v>2143</v>
      </c>
      <c r="D3665" s="204">
        <v>1</v>
      </c>
      <c r="E3665" s="204" t="s">
        <v>1693</v>
      </c>
      <c r="F3665" s="205">
        <v>0.60320751948756857</v>
      </c>
    </row>
    <row r="3666" spans="1:6">
      <c r="A3666" s="210">
        <v>441100204</v>
      </c>
      <c r="B3666" s="202" t="s">
        <v>6611</v>
      </c>
      <c r="C3666" s="203" t="s">
        <v>2143</v>
      </c>
      <c r="D3666" s="204">
        <v>1</v>
      </c>
      <c r="E3666" s="204" t="s">
        <v>1693</v>
      </c>
      <c r="F3666" s="205">
        <v>1.0448200734102131</v>
      </c>
    </row>
    <row r="3667" spans="1:6">
      <c r="A3667" s="210">
        <v>441100205</v>
      </c>
      <c r="B3667" s="202" t="s">
        <v>6612</v>
      </c>
      <c r="C3667" s="203" t="s">
        <v>2143</v>
      </c>
      <c r="D3667" s="204">
        <v>1</v>
      </c>
      <c r="E3667" s="204" t="s">
        <v>1693</v>
      </c>
      <c r="F3667" s="205">
        <v>0.33824783596369301</v>
      </c>
    </row>
    <row r="3668" spans="1:6">
      <c r="A3668" s="210">
        <v>441100206</v>
      </c>
      <c r="B3668" s="202" t="s">
        <v>6613</v>
      </c>
      <c r="C3668" s="203" t="s">
        <v>2143</v>
      </c>
      <c r="D3668" s="204">
        <v>1</v>
      </c>
      <c r="E3668" s="204" t="s">
        <v>1693</v>
      </c>
      <c r="F3668" s="205">
        <v>0.13028562916517344</v>
      </c>
    </row>
    <row r="3669" spans="1:6">
      <c r="A3669" s="210">
        <v>441111000</v>
      </c>
      <c r="B3669" s="202" t="s">
        <v>6614</v>
      </c>
      <c r="C3669" s="203" t="s">
        <v>2143</v>
      </c>
      <c r="D3669" s="204">
        <v>1</v>
      </c>
      <c r="E3669" s="204" t="s">
        <v>1693</v>
      </c>
      <c r="F3669" s="205">
        <v>0.15130761532104706</v>
      </c>
    </row>
    <row r="3670" spans="1:6">
      <c r="A3670" s="210">
        <v>441111101</v>
      </c>
      <c r="B3670" s="202" t="s">
        <v>6615</v>
      </c>
      <c r="C3670" s="203" t="s">
        <v>2143</v>
      </c>
      <c r="D3670" s="204">
        <v>1</v>
      </c>
      <c r="E3670" s="204" t="s">
        <v>1693</v>
      </c>
      <c r="F3670" s="205">
        <v>0.37848700580523265</v>
      </c>
    </row>
    <row r="3671" spans="1:6">
      <c r="A3671" s="210">
        <v>441111102</v>
      </c>
      <c r="B3671" s="202" t="s">
        <v>6616</v>
      </c>
      <c r="C3671" s="203" t="s">
        <v>2143</v>
      </c>
      <c r="D3671" s="204">
        <v>1</v>
      </c>
      <c r="E3671" s="204" t="s">
        <v>1693</v>
      </c>
      <c r="F3671" s="205">
        <v>0.4782407701161227</v>
      </c>
    </row>
    <row r="3672" spans="1:6">
      <c r="A3672" s="210">
        <v>441111103</v>
      </c>
      <c r="B3672" s="202" t="s">
        <v>6617</v>
      </c>
      <c r="C3672" s="203" t="s">
        <v>2143</v>
      </c>
      <c r="D3672" s="204">
        <v>1</v>
      </c>
      <c r="E3672" s="204" t="s">
        <v>1693</v>
      </c>
      <c r="F3672" s="205">
        <v>0.66504551414820101</v>
      </c>
    </row>
    <row r="3673" spans="1:6">
      <c r="A3673" s="210">
        <v>441111104</v>
      </c>
      <c r="B3673" s="202" t="s">
        <v>6618</v>
      </c>
      <c r="C3673" s="203" t="s">
        <v>2143</v>
      </c>
      <c r="D3673" s="204">
        <v>1</v>
      </c>
      <c r="E3673" s="204" t="s">
        <v>1693</v>
      </c>
      <c r="F3673" s="205">
        <v>0.76636519726082231</v>
      </c>
    </row>
    <row r="3674" spans="1:6">
      <c r="A3674" s="210">
        <v>441111105</v>
      </c>
      <c r="B3674" s="202" t="s">
        <v>6619</v>
      </c>
      <c r="C3674" s="203" t="s">
        <v>2143</v>
      </c>
      <c r="D3674" s="204">
        <v>1</v>
      </c>
      <c r="E3674" s="204" t="s">
        <v>1693</v>
      </c>
      <c r="F3674" s="205">
        <v>1.168697539931671</v>
      </c>
    </row>
    <row r="3675" spans="1:6">
      <c r="A3675" s="210">
        <v>441111106</v>
      </c>
      <c r="B3675" s="202" t="s">
        <v>6620</v>
      </c>
      <c r="C3675" s="203" t="s">
        <v>2143</v>
      </c>
      <c r="D3675" s="204">
        <v>1</v>
      </c>
      <c r="E3675" s="204" t="s">
        <v>1693</v>
      </c>
      <c r="F3675" s="205">
        <v>2.4630088291398824</v>
      </c>
    </row>
    <row r="3676" spans="1:6">
      <c r="A3676" s="210">
        <v>441111107</v>
      </c>
      <c r="B3676" s="202" t="s">
        <v>6621</v>
      </c>
      <c r="C3676" s="203" t="s">
        <v>2143</v>
      </c>
      <c r="D3676" s="204">
        <v>1</v>
      </c>
      <c r="E3676" s="204" t="s">
        <v>2286</v>
      </c>
      <c r="F3676" s="205">
        <v>2.4630085907213135</v>
      </c>
    </row>
    <row r="3677" spans="1:6">
      <c r="A3677" s="210">
        <v>441111201</v>
      </c>
      <c r="B3677" s="202" t="s">
        <v>6622</v>
      </c>
      <c r="C3677" s="203" t="s">
        <v>2143</v>
      </c>
      <c r="D3677" s="204">
        <v>1</v>
      </c>
      <c r="E3677" s="204" t="s">
        <v>1693</v>
      </c>
      <c r="F3677" s="205">
        <v>0.31339571558604429</v>
      </c>
    </row>
    <row r="3678" spans="1:6">
      <c r="A3678" s="210">
        <v>441111202</v>
      </c>
      <c r="B3678" s="202" t="s">
        <v>6623</v>
      </c>
      <c r="C3678" s="203" t="s">
        <v>2143</v>
      </c>
      <c r="D3678" s="204">
        <v>1</v>
      </c>
      <c r="E3678" s="204" t="s">
        <v>1693</v>
      </c>
      <c r="F3678" s="205">
        <v>0.39598161330616083</v>
      </c>
    </row>
    <row r="3679" spans="1:6">
      <c r="A3679" s="210">
        <v>441111203</v>
      </c>
      <c r="B3679" s="202" t="s">
        <v>6624</v>
      </c>
      <c r="C3679" s="203" t="s">
        <v>2143</v>
      </c>
      <c r="D3679" s="204">
        <v>1</v>
      </c>
      <c r="E3679" s="204" t="s">
        <v>1693</v>
      </c>
      <c r="F3679" s="205">
        <v>0.55062921492455474</v>
      </c>
    </row>
    <row r="3680" spans="1:6">
      <c r="A3680" s="210">
        <v>441111204</v>
      </c>
      <c r="B3680" s="202" t="s">
        <v>6625</v>
      </c>
      <c r="C3680" s="203" t="s">
        <v>2143</v>
      </c>
      <c r="D3680" s="204">
        <v>1</v>
      </c>
      <c r="E3680" s="204" t="s">
        <v>1693</v>
      </c>
      <c r="F3680" s="205">
        <v>0.48802840800328512</v>
      </c>
    </row>
    <row r="3681" spans="1:6">
      <c r="A3681" s="210">
        <v>441111205</v>
      </c>
      <c r="B3681" s="202" t="s">
        <v>6626</v>
      </c>
      <c r="C3681" s="203" t="s">
        <v>2143</v>
      </c>
      <c r="D3681" s="204">
        <v>1</v>
      </c>
      <c r="E3681" s="204" t="s">
        <v>1693</v>
      </c>
      <c r="F3681" s="205">
        <v>0.96754405473123306</v>
      </c>
    </row>
    <row r="3682" spans="1:6">
      <c r="A3682" s="210">
        <v>441111206</v>
      </c>
      <c r="B3682" s="202" t="s">
        <v>6627</v>
      </c>
      <c r="C3682" s="203" t="s">
        <v>2143</v>
      </c>
      <c r="D3682" s="204">
        <v>1</v>
      </c>
      <c r="E3682" s="204" t="s">
        <v>1693</v>
      </c>
      <c r="F3682" s="205">
        <v>2.0388013763558277</v>
      </c>
    </row>
    <row r="3683" spans="1:6">
      <c r="A3683" s="210">
        <v>441111207</v>
      </c>
      <c r="B3683" s="202" t="s">
        <v>6628</v>
      </c>
      <c r="C3683" s="203" t="s">
        <v>2143</v>
      </c>
      <c r="D3683" s="204">
        <v>1</v>
      </c>
      <c r="E3683" s="204" t="s">
        <v>2286</v>
      </c>
      <c r="F3683" s="205">
        <v>2.0388015006219078</v>
      </c>
    </row>
    <row r="3684" spans="1:6">
      <c r="A3684" s="210">
        <v>441111301</v>
      </c>
      <c r="B3684" s="202" t="s">
        <v>6629</v>
      </c>
      <c r="C3684" s="203" t="s">
        <v>2143</v>
      </c>
      <c r="D3684" s="204">
        <v>1</v>
      </c>
      <c r="E3684" s="204" t="s">
        <v>1693</v>
      </c>
      <c r="F3684" s="205">
        <v>0.20029127119420487</v>
      </c>
    </row>
    <row r="3685" spans="1:6">
      <c r="A3685" s="210">
        <v>441111302</v>
      </c>
      <c r="B3685" s="202" t="s">
        <v>6630</v>
      </c>
      <c r="C3685" s="203" t="s">
        <v>2143</v>
      </c>
      <c r="D3685" s="204">
        <v>1</v>
      </c>
      <c r="E3685" s="204" t="s">
        <v>1693</v>
      </c>
      <c r="F3685" s="205">
        <v>0.2531502433309411</v>
      </c>
    </row>
    <row r="3686" spans="1:6">
      <c r="A3686" s="210">
        <v>441111303</v>
      </c>
      <c r="B3686" s="202" t="s">
        <v>6631</v>
      </c>
      <c r="C3686" s="203" t="s">
        <v>2143</v>
      </c>
      <c r="D3686" s="204">
        <v>1</v>
      </c>
      <c r="E3686" s="204" t="s">
        <v>1693</v>
      </c>
      <c r="F3686" s="205">
        <v>0.35218013094474543</v>
      </c>
    </row>
    <row r="3687" spans="1:6">
      <c r="A3687" s="210">
        <v>441111304</v>
      </c>
      <c r="B3687" s="202" t="s">
        <v>6632</v>
      </c>
      <c r="C3687" s="203" t="s">
        <v>2143</v>
      </c>
      <c r="D3687" s="204">
        <v>1</v>
      </c>
      <c r="E3687" s="204" t="s">
        <v>1693</v>
      </c>
      <c r="F3687" s="205">
        <v>0.29559042235118915</v>
      </c>
    </row>
    <row r="3688" spans="1:6">
      <c r="A3688" s="210">
        <v>441111305</v>
      </c>
      <c r="B3688" s="202" t="s">
        <v>6633</v>
      </c>
      <c r="C3688" s="203" t="s">
        <v>2143</v>
      </c>
      <c r="D3688" s="204">
        <v>1</v>
      </c>
      <c r="E3688" s="204" t="s">
        <v>1693</v>
      </c>
      <c r="F3688" s="205">
        <v>0.61938284172218838</v>
      </c>
    </row>
    <row r="3689" spans="1:6">
      <c r="A3689" s="210">
        <v>441111306</v>
      </c>
      <c r="B3689" s="202" t="s">
        <v>6634</v>
      </c>
      <c r="C3689" s="203" t="s">
        <v>2143</v>
      </c>
      <c r="D3689" s="204">
        <v>1</v>
      </c>
      <c r="E3689" s="204" t="s">
        <v>1693</v>
      </c>
      <c r="F3689" s="205">
        <v>1.3069229244899732</v>
      </c>
    </row>
    <row r="3690" spans="1:6">
      <c r="A3690" s="210">
        <v>441111307</v>
      </c>
      <c r="B3690" s="202" t="s">
        <v>6635</v>
      </c>
      <c r="C3690" s="203" t="s">
        <v>2143</v>
      </c>
      <c r="D3690" s="204">
        <v>1</v>
      </c>
      <c r="E3690" s="204" t="s">
        <v>2286</v>
      </c>
      <c r="F3690" s="205">
        <v>1.3069230402068031</v>
      </c>
    </row>
    <row r="3691" spans="1:6">
      <c r="A3691" s="210">
        <v>441111401</v>
      </c>
      <c r="B3691" s="202" t="s">
        <v>6636</v>
      </c>
      <c r="C3691" s="203" t="s">
        <v>2143</v>
      </c>
      <c r="D3691" s="204">
        <v>1</v>
      </c>
      <c r="E3691" s="204" t="s">
        <v>1693</v>
      </c>
      <c r="F3691" s="205">
        <v>0.10967440071320021</v>
      </c>
    </row>
    <row r="3692" spans="1:6">
      <c r="A3692" s="210">
        <v>441111402</v>
      </c>
      <c r="B3692" s="202" t="s">
        <v>6637</v>
      </c>
      <c r="C3692" s="203" t="s">
        <v>2143</v>
      </c>
      <c r="D3692" s="204">
        <v>1</v>
      </c>
      <c r="E3692" s="204" t="s">
        <v>1693</v>
      </c>
      <c r="F3692" s="205">
        <v>0.13859583363737996</v>
      </c>
    </row>
    <row r="3693" spans="1:6">
      <c r="A3693" s="210">
        <v>441111403</v>
      </c>
      <c r="B3693" s="202" t="s">
        <v>6638</v>
      </c>
      <c r="C3693" s="203" t="s">
        <v>2143</v>
      </c>
      <c r="D3693" s="204">
        <v>1</v>
      </c>
      <c r="E3693" s="204" t="s">
        <v>1693</v>
      </c>
      <c r="F3693" s="205">
        <v>0.19276513521793065</v>
      </c>
    </row>
    <row r="3694" spans="1:6">
      <c r="A3694" s="210">
        <v>441111404</v>
      </c>
      <c r="B3694" s="202" t="s">
        <v>6639</v>
      </c>
      <c r="C3694" s="203" t="s">
        <v>2143</v>
      </c>
      <c r="D3694" s="204">
        <v>1</v>
      </c>
      <c r="E3694" s="204" t="s">
        <v>1693</v>
      </c>
      <c r="F3694" s="205">
        <v>0.16181258842661767</v>
      </c>
    </row>
    <row r="3695" spans="1:6">
      <c r="A3695" s="210">
        <v>441111405</v>
      </c>
      <c r="B3695" s="202" t="s">
        <v>6640</v>
      </c>
      <c r="C3695" s="203" t="s">
        <v>2143</v>
      </c>
      <c r="D3695" s="204">
        <v>1</v>
      </c>
      <c r="E3695" s="204" t="s">
        <v>1693</v>
      </c>
      <c r="F3695" s="205">
        <v>0.33885900658083301</v>
      </c>
    </row>
    <row r="3696" spans="1:6">
      <c r="A3696" s="210">
        <v>441111406</v>
      </c>
      <c r="B3696" s="202" t="s">
        <v>6641</v>
      </c>
      <c r="C3696" s="203" t="s">
        <v>2143</v>
      </c>
      <c r="D3696" s="204">
        <v>1</v>
      </c>
      <c r="E3696" s="204" t="s">
        <v>1693</v>
      </c>
      <c r="F3696" s="205">
        <v>0.71449201800293738</v>
      </c>
    </row>
    <row r="3697" spans="1:6">
      <c r="A3697" s="210">
        <v>441111407</v>
      </c>
      <c r="B3697" s="202" t="s">
        <v>6642</v>
      </c>
      <c r="C3697" s="203" t="s">
        <v>2143</v>
      </c>
      <c r="D3697" s="204">
        <v>1</v>
      </c>
      <c r="E3697" s="204" t="s">
        <v>2286</v>
      </c>
      <c r="F3697" s="205">
        <v>0.71449201703884857</v>
      </c>
    </row>
    <row r="3698" spans="1:6">
      <c r="A3698" s="210">
        <v>441111501</v>
      </c>
      <c r="B3698" s="202" t="s">
        <v>6643</v>
      </c>
      <c r="C3698" s="203" t="s">
        <v>2143</v>
      </c>
      <c r="D3698" s="204">
        <v>1</v>
      </c>
      <c r="E3698" s="204" t="s">
        <v>1693</v>
      </c>
      <c r="F3698" s="205">
        <v>8.4039443147684134E-2</v>
      </c>
    </row>
    <row r="3699" spans="1:6">
      <c r="A3699" s="210">
        <v>441111502</v>
      </c>
      <c r="B3699" s="202" t="s">
        <v>6644</v>
      </c>
      <c r="C3699" s="203" t="s">
        <v>2143</v>
      </c>
      <c r="D3699" s="204">
        <v>1</v>
      </c>
      <c r="E3699" s="204" t="s">
        <v>1693</v>
      </c>
      <c r="F3699" s="205">
        <v>0.10619464357886413</v>
      </c>
    </row>
    <row r="3700" spans="1:6">
      <c r="A3700" s="210">
        <v>441111503</v>
      </c>
      <c r="B3700" s="202" t="s">
        <v>6645</v>
      </c>
      <c r="C3700" s="203" t="s">
        <v>2143</v>
      </c>
      <c r="D3700" s="204">
        <v>1</v>
      </c>
      <c r="E3700" s="204" t="s">
        <v>1693</v>
      </c>
      <c r="F3700" s="205">
        <v>0.14768730950601386</v>
      </c>
    </row>
    <row r="3701" spans="1:6">
      <c r="A3701" s="210">
        <v>441111504</v>
      </c>
      <c r="B3701" s="202" t="s">
        <v>6646</v>
      </c>
      <c r="C3701" s="203" t="s">
        <v>2143</v>
      </c>
      <c r="D3701" s="204">
        <v>1</v>
      </c>
      <c r="E3701" s="204" t="s">
        <v>1693</v>
      </c>
      <c r="F3701" s="205">
        <v>0.12397883297527598</v>
      </c>
    </row>
    <row r="3702" spans="1:6">
      <c r="A3702" s="210">
        <v>441111505</v>
      </c>
      <c r="B3702" s="202" t="s">
        <v>6647</v>
      </c>
      <c r="C3702" s="203" t="s">
        <v>2143</v>
      </c>
      <c r="D3702" s="204">
        <v>1</v>
      </c>
      <c r="E3702" s="204" t="s">
        <v>1693</v>
      </c>
      <c r="F3702" s="205">
        <v>0.25957428955728934</v>
      </c>
    </row>
    <row r="3703" spans="1:6">
      <c r="A3703" s="210">
        <v>441111506</v>
      </c>
      <c r="B3703" s="202" t="s">
        <v>6648</v>
      </c>
      <c r="C3703" s="203" t="s">
        <v>2143</v>
      </c>
      <c r="D3703" s="204">
        <v>1</v>
      </c>
      <c r="E3703" s="204" t="s">
        <v>1693</v>
      </c>
      <c r="F3703" s="205">
        <v>0.54717950580214092</v>
      </c>
    </row>
    <row r="3704" spans="1:6">
      <c r="A3704" s="210">
        <v>441111507</v>
      </c>
      <c r="B3704" s="202" t="s">
        <v>6649</v>
      </c>
      <c r="C3704" s="203" t="s">
        <v>2143</v>
      </c>
      <c r="D3704" s="204">
        <v>1</v>
      </c>
      <c r="E3704" s="204" t="s">
        <v>2286</v>
      </c>
      <c r="F3704" s="205">
        <v>0.54717950532010873</v>
      </c>
    </row>
    <row r="3705" spans="1:6">
      <c r="A3705" s="210">
        <v>441111601</v>
      </c>
      <c r="B3705" s="202" t="s">
        <v>6650</v>
      </c>
      <c r="C3705" s="203" t="s">
        <v>2143</v>
      </c>
      <c r="D3705" s="204">
        <v>1</v>
      </c>
      <c r="E3705" s="204" t="s">
        <v>1693</v>
      </c>
      <c r="F3705" s="205">
        <v>6.9580025719918351E-2</v>
      </c>
    </row>
    <row r="3706" spans="1:6">
      <c r="A3706" s="210">
        <v>441111602</v>
      </c>
      <c r="B3706" s="202" t="s">
        <v>6651</v>
      </c>
      <c r="C3706" s="203" t="s">
        <v>2143</v>
      </c>
      <c r="D3706" s="204">
        <v>1</v>
      </c>
      <c r="E3706" s="204" t="s">
        <v>1693</v>
      </c>
      <c r="F3706" s="205">
        <v>8.7920091591076638E-2</v>
      </c>
    </row>
    <row r="3707" spans="1:6">
      <c r="A3707" s="210">
        <v>441111603</v>
      </c>
      <c r="B3707" s="202" t="s">
        <v>6652</v>
      </c>
      <c r="C3707" s="203" t="s">
        <v>2143</v>
      </c>
      <c r="D3707" s="204">
        <v>1</v>
      </c>
      <c r="E3707" s="204" t="s">
        <v>1693</v>
      </c>
      <c r="F3707" s="205">
        <v>0.12226570535981277</v>
      </c>
    </row>
    <row r="3708" spans="1:6">
      <c r="A3708" s="210">
        <v>441111604</v>
      </c>
      <c r="B3708" s="202" t="s">
        <v>6653</v>
      </c>
      <c r="C3708" s="203" t="s">
        <v>2143</v>
      </c>
      <c r="D3708" s="204">
        <v>1</v>
      </c>
      <c r="E3708" s="204" t="s">
        <v>1693</v>
      </c>
      <c r="F3708" s="205">
        <v>0.10264123586465689</v>
      </c>
    </row>
    <row r="3709" spans="1:6">
      <c r="A3709" s="210">
        <v>441111605</v>
      </c>
      <c r="B3709" s="202" t="s">
        <v>6654</v>
      </c>
      <c r="C3709" s="203" t="s">
        <v>2143</v>
      </c>
      <c r="D3709" s="204">
        <v>1</v>
      </c>
      <c r="E3709" s="204" t="s">
        <v>1693</v>
      </c>
      <c r="F3709" s="205">
        <v>0.21487109939141005</v>
      </c>
    </row>
    <row r="3710" spans="1:6">
      <c r="A3710" s="210">
        <v>441111606</v>
      </c>
      <c r="B3710" s="202" t="s">
        <v>6655</v>
      </c>
      <c r="C3710" s="203" t="s">
        <v>2143</v>
      </c>
      <c r="D3710" s="204">
        <v>1</v>
      </c>
      <c r="E3710" s="204" t="s">
        <v>1693</v>
      </c>
      <c r="F3710" s="205">
        <v>0.45287297319663411</v>
      </c>
    </row>
    <row r="3711" spans="1:6">
      <c r="A3711" s="210">
        <v>441111607</v>
      </c>
      <c r="B3711" s="202" t="s">
        <v>6656</v>
      </c>
      <c r="C3711" s="203" t="s">
        <v>2143</v>
      </c>
      <c r="D3711" s="204">
        <v>1</v>
      </c>
      <c r="E3711" s="204" t="s">
        <v>2286</v>
      </c>
      <c r="F3711" s="205">
        <v>0.45287303406547652</v>
      </c>
    </row>
    <row r="3712" spans="1:6">
      <c r="A3712" s="210">
        <v>441112000</v>
      </c>
      <c r="B3712" s="202" t="s">
        <v>6657</v>
      </c>
      <c r="C3712" s="203" t="s">
        <v>2143</v>
      </c>
      <c r="D3712" s="204">
        <v>1</v>
      </c>
      <c r="E3712" s="204" t="s">
        <v>1693</v>
      </c>
      <c r="F3712" s="205">
        <v>0.77478458848906817</v>
      </c>
    </row>
    <row r="3713" spans="1:6">
      <c r="A3713" s="210">
        <v>441112101</v>
      </c>
      <c r="B3713" s="202" t="s">
        <v>6658</v>
      </c>
      <c r="C3713" s="203" t="s">
        <v>2143</v>
      </c>
      <c r="D3713" s="204">
        <v>1</v>
      </c>
      <c r="E3713" s="204" t="s">
        <v>1693</v>
      </c>
      <c r="F3713" s="205">
        <v>0.59970206666631776</v>
      </c>
    </row>
    <row r="3714" spans="1:6">
      <c r="A3714" s="210">
        <v>441112102</v>
      </c>
      <c r="B3714" s="202" t="s">
        <v>6659</v>
      </c>
      <c r="C3714" s="203" t="s">
        <v>2143</v>
      </c>
      <c r="D3714" s="204">
        <v>1</v>
      </c>
      <c r="E3714" s="204" t="s">
        <v>1693</v>
      </c>
      <c r="F3714" s="205">
        <v>0.78308132962074073</v>
      </c>
    </row>
    <row r="3715" spans="1:6">
      <c r="A3715" s="210">
        <v>441112103</v>
      </c>
      <c r="B3715" s="202" t="s">
        <v>6660</v>
      </c>
      <c r="C3715" s="203" t="s">
        <v>2143</v>
      </c>
      <c r="D3715" s="204">
        <v>1</v>
      </c>
      <c r="E3715" s="204" t="s">
        <v>1693</v>
      </c>
      <c r="F3715" s="205">
        <v>1.1405653245763741</v>
      </c>
    </row>
    <row r="3716" spans="1:6">
      <c r="A3716" s="210">
        <v>441112104</v>
      </c>
      <c r="B3716" s="202" t="s">
        <v>6661</v>
      </c>
      <c r="C3716" s="203" t="s">
        <v>2143</v>
      </c>
      <c r="D3716" s="204">
        <v>1</v>
      </c>
      <c r="E3716" s="204" t="s">
        <v>1693</v>
      </c>
      <c r="F3716" s="205">
        <v>1.5468097574272432</v>
      </c>
    </row>
    <row r="3717" spans="1:6">
      <c r="A3717" s="210">
        <v>441112105</v>
      </c>
      <c r="B3717" s="202" t="s">
        <v>6662</v>
      </c>
      <c r="C3717" s="203" t="s">
        <v>2143</v>
      </c>
      <c r="D3717" s="204">
        <v>1</v>
      </c>
      <c r="E3717" s="204" t="s">
        <v>1693</v>
      </c>
      <c r="F3717" s="205">
        <v>2.1692603134301058</v>
      </c>
    </row>
    <row r="3718" spans="1:6">
      <c r="A3718" s="210">
        <v>441112106</v>
      </c>
      <c r="B3718" s="202" t="s">
        <v>6663</v>
      </c>
      <c r="C3718" s="203" t="s">
        <v>2143</v>
      </c>
      <c r="D3718" s="204">
        <v>1</v>
      </c>
      <c r="E3718" s="204" t="s">
        <v>1693</v>
      </c>
      <c r="F3718" s="205">
        <v>5.0745034088318901</v>
      </c>
    </row>
    <row r="3719" spans="1:6">
      <c r="A3719" s="210">
        <v>441112107</v>
      </c>
      <c r="B3719" s="202" t="s">
        <v>6664</v>
      </c>
      <c r="C3719" s="203" t="s">
        <v>2143</v>
      </c>
      <c r="D3719" s="204">
        <v>1</v>
      </c>
      <c r="E3719" s="204" t="s">
        <v>2286</v>
      </c>
      <c r="F3719" s="205">
        <v>5.0745034069037205</v>
      </c>
    </row>
    <row r="3720" spans="1:6">
      <c r="A3720" s="210">
        <v>441113000</v>
      </c>
      <c r="B3720" s="202" t="s">
        <v>6665</v>
      </c>
      <c r="C3720" s="203" t="s">
        <v>2143</v>
      </c>
      <c r="D3720" s="204">
        <v>1</v>
      </c>
      <c r="E3720" s="204" t="s">
        <v>1693</v>
      </c>
      <c r="F3720" s="205">
        <v>2.8444777621137831</v>
      </c>
    </row>
    <row r="3721" spans="1:6">
      <c r="A3721" s="210">
        <v>441113101</v>
      </c>
      <c r="B3721" s="202" t="s">
        <v>6666</v>
      </c>
      <c r="C3721" s="203" t="s">
        <v>2143</v>
      </c>
      <c r="D3721" s="204">
        <v>1</v>
      </c>
      <c r="E3721" s="204" t="s">
        <v>1693</v>
      </c>
      <c r="F3721" s="205">
        <v>0.12181558184950494</v>
      </c>
    </row>
    <row r="3722" spans="1:6">
      <c r="A3722" s="210">
        <v>441113102</v>
      </c>
      <c r="B3722" s="202" t="s">
        <v>6667</v>
      </c>
      <c r="C3722" s="203" t="s">
        <v>2143</v>
      </c>
      <c r="D3722" s="204">
        <v>1</v>
      </c>
      <c r="E3722" s="204" t="s">
        <v>1693</v>
      </c>
      <c r="F3722" s="205">
        <v>0.15392769883327365</v>
      </c>
    </row>
    <row r="3723" spans="1:6">
      <c r="A3723" s="210">
        <v>441113103</v>
      </c>
      <c r="B3723" s="202" t="s">
        <v>6668</v>
      </c>
      <c r="C3723" s="203" t="s">
        <v>2143</v>
      </c>
      <c r="D3723" s="204">
        <v>1</v>
      </c>
      <c r="E3723" s="204" t="s">
        <v>1693</v>
      </c>
      <c r="F3723" s="205">
        <v>0.21406648005715864</v>
      </c>
    </row>
    <row r="3724" spans="1:6">
      <c r="A3724" s="210">
        <v>441113104</v>
      </c>
      <c r="B3724" s="202" t="s">
        <v>6669</v>
      </c>
      <c r="C3724" s="203" t="s">
        <v>2143</v>
      </c>
      <c r="D3724" s="204">
        <v>1</v>
      </c>
      <c r="E3724" s="204" t="s">
        <v>1693</v>
      </c>
      <c r="F3724" s="205">
        <v>0.17970394996806968</v>
      </c>
    </row>
    <row r="3725" spans="1:6">
      <c r="A3725" s="210">
        <v>441113105</v>
      </c>
      <c r="B3725" s="202" t="s">
        <v>6670</v>
      </c>
      <c r="C3725" s="203" t="s">
        <v>2143</v>
      </c>
      <c r="D3725" s="204">
        <v>1</v>
      </c>
      <c r="E3725" s="204" t="s">
        <v>1693</v>
      </c>
      <c r="F3725" s="205">
        <v>0.37622776538478647</v>
      </c>
    </row>
    <row r="3726" spans="1:6">
      <c r="A3726" s="210">
        <v>441113106</v>
      </c>
      <c r="B3726" s="202" t="s">
        <v>6671</v>
      </c>
      <c r="C3726" s="203" t="s">
        <v>2143</v>
      </c>
      <c r="D3726" s="204">
        <v>1</v>
      </c>
      <c r="E3726" s="204" t="s">
        <v>1693</v>
      </c>
      <c r="F3726" s="205">
        <v>0.79303778082908161</v>
      </c>
    </row>
    <row r="3727" spans="1:6">
      <c r="A3727" s="210">
        <v>441113107</v>
      </c>
      <c r="B3727" s="202" t="s">
        <v>6672</v>
      </c>
      <c r="C3727" s="203" t="s">
        <v>2143</v>
      </c>
      <c r="D3727" s="204">
        <v>1</v>
      </c>
      <c r="E3727" s="204" t="s">
        <v>2286</v>
      </c>
      <c r="F3727" s="205">
        <v>0.79303783898765423</v>
      </c>
    </row>
    <row r="3728" spans="1:6">
      <c r="A3728" s="210">
        <v>441113201</v>
      </c>
      <c r="B3728" s="202" t="s">
        <v>6673</v>
      </c>
      <c r="C3728" s="203" t="s">
        <v>2143</v>
      </c>
      <c r="D3728" s="204">
        <v>1</v>
      </c>
      <c r="E3728" s="204" t="s">
        <v>1693</v>
      </c>
      <c r="F3728" s="205">
        <v>9.1258164901546396E-2</v>
      </c>
    </row>
    <row r="3729" spans="1:6">
      <c r="A3729" s="210">
        <v>441113202</v>
      </c>
      <c r="B3729" s="202" t="s">
        <v>6674</v>
      </c>
      <c r="C3729" s="203" t="s">
        <v>2143</v>
      </c>
      <c r="D3729" s="204">
        <v>1</v>
      </c>
      <c r="E3729" s="204" t="s">
        <v>1693</v>
      </c>
      <c r="F3729" s="205">
        <v>0.11530884831982753</v>
      </c>
    </row>
    <row r="3730" spans="1:6">
      <c r="A3730" s="210">
        <v>441113203</v>
      </c>
      <c r="B3730" s="202" t="s">
        <v>6675</v>
      </c>
      <c r="C3730" s="203" t="s">
        <v>2143</v>
      </c>
      <c r="D3730" s="204">
        <v>1</v>
      </c>
      <c r="E3730" s="204" t="s">
        <v>1693</v>
      </c>
      <c r="F3730" s="205">
        <v>0.16034675593162212</v>
      </c>
    </row>
    <row r="3731" spans="1:6">
      <c r="A3731" s="210">
        <v>441113204</v>
      </c>
      <c r="B3731" s="202" t="s">
        <v>6676</v>
      </c>
      <c r="C3731" s="203" t="s">
        <v>2143</v>
      </c>
      <c r="D3731" s="204">
        <v>1</v>
      </c>
      <c r="E3731" s="204" t="s">
        <v>1693</v>
      </c>
      <c r="F3731" s="205">
        <v>0.13461318338706063</v>
      </c>
    </row>
    <row r="3732" spans="1:6">
      <c r="A3732" s="210">
        <v>441113205</v>
      </c>
      <c r="B3732" s="202" t="s">
        <v>6677</v>
      </c>
      <c r="C3732" s="203" t="s">
        <v>2143</v>
      </c>
      <c r="D3732" s="204">
        <v>1</v>
      </c>
      <c r="E3732" s="204" t="s">
        <v>1693</v>
      </c>
      <c r="F3732" s="205">
        <v>0.28177136718237866</v>
      </c>
    </row>
    <row r="3733" spans="1:6">
      <c r="A3733" s="210">
        <v>441113206</v>
      </c>
      <c r="B3733" s="202" t="s">
        <v>6678</v>
      </c>
      <c r="C3733" s="203" t="s">
        <v>2143</v>
      </c>
      <c r="D3733" s="204">
        <v>1</v>
      </c>
      <c r="E3733" s="204" t="s">
        <v>1693</v>
      </c>
      <c r="F3733" s="205">
        <v>0.59379916196744775</v>
      </c>
    </row>
    <row r="3734" spans="1:6">
      <c r="A3734" s="210">
        <v>441113207</v>
      </c>
      <c r="B3734" s="202" t="s">
        <v>6679</v>
      </c>
      <c r="C3734" s="203" t="s">
        <v>2143</v>
      </c>
      <c r="D3734" s="204">
        <v>1</v>
      </c>
      <c r="E3734" s="204" t="s">
        <v>2286</v>
      </c>
      <c r="F3734" s="205">
        <v>0.5937992198258627</v>
      </c>
    </row>
    <row r="3735" spans="1:6">
      <c r="A3735" s="210">
        <v>441113301</v>
      </c>
      <c r="B3735" s="202" t="s">
        <v>6680</v>
      </c>
      <c r="C3735" s="203" t="s">
        <v>2143</v>
      </c>
      <c r="D3735" s="204">
        <v>1</v>
      </c>
      <c r="E3735" s="204" t="s">
        <v>1693</v>
      </c>
      <c r="F3735" s="205">
        <v>8.3917776732004123E-2</v>
      </c>
    </row>
    <row r="3736" spans="1:6">
      <c r="A3736" s="210">
        <v>441113302</v>
      </c>
      <c r="B3736" s="202" t="s">
        <v>6681</v>
      </c>
      <c r="C3736" s="203" t="s">
        <v>2143</v>
      </c>
      <c r="D3736" s="204">
        <v>1</v>
      </c>
      <c r="E3736" s="204" t="s">
        <v>1693</v>
      </c>
      <c r="F3736" s="205">
        <v>0.10603242119940573</v>
      </c>
    </row>
    <row r="3737" spans="1:6">
      <c r="A3737" s="210">
        <v>441113303</v>
      </c>
      <c r="B3737" s="202" t="s">
        <v>6682</v>
      </c>
      <c r="C3737" s="203" t="s">
        <v>2143</v>
      </c>
      <c r="D3737" s="204">
        <v>1</v>
      </c>
      <c r="E3737" s="204" t="s">
        <v>1693</v>
      </c>
      <c r="F3737" s="205">
        <v>0.1474439760721136</v>
      </c>
    </row>
    <row r="3738" spans="1:6">
      <c r="A3738" s="210">
        <v>441113304</v>
      </c>
      <c r="B3738" s="202" t="s">
        <v>6683</v>
      </c>
      <c r="C3738" s="203" t="s">
        <v>2143</v>
      </c>
      <c r="D3738" s="204">
        <v>1</v>
      </c>
      <c r="E3738" s="204" t="s">
        <v>1693</v>
      </c>
      <c r="F3738" s="205">
        <v>0.12378259636822306</v>
      </c>
    </row>
    <row r="3739" spans="1:6">
      <c r="A3739" s="210">
        <v>441113305</v>
      </c>
      <c r="B3739" s="202" t="s">
        <v>6684</v>
      </c>
      <c r="C3739" s="203" t="s">
        <v>2143</v>
      </c>
      <c r="D3739" s="204">
        <v>1</v>
      </c>
      <c r="E3739" s="204" t="s">
        <v>1693</v>
      </c>
      <c r="F3739" s="205">
        <v>0.25908762305101296</v>
      </c>
    </row>
    <row r="3740" spans="1:6">
      <c r="A3740" s="210">
        <v>441113306</v>
      </c>
      <c r="B3740" s="202" t="s">
        <v>6685</v>
      </c>
      <c r="C3740" s="203" t="s">
        <v>2143</v>
      </c>
      <c r="D3740" s="204">
        <v>1</v>
      </c>
      <c r="E3740" s="204" t="s">
        <v>1693</v>
      </c>
      <c r="F3740" s="205">
        <v>0.54596284021516039</v>
      </c>
    </row>
    <row r="3741" spans="1:6">
      <c r="A3741" s="210">
        <v>441113307</v>
      </c>
      <c r="B3741" s="202" t="s">
        <v>6686</v>
      </c>
      <c r="C3741" s="203" t="s">
        <v>2143</v>
      </c>
      <c r="D3741" s="204">
        <v>1</v>
      </c>
      <c r="E3741" s="204" t="s">
        <v>2286</v>
      </c>
      <c r="F3741" s="205">
        <v>0.54596284196139022</v>
      </c>
    </row>
    <row r="3742" spans="1:6">
      <c r="A3742" s="210">
        <v>441114000</v>
      </c>
      <c r="B3742" s="202" t="s">
        <v>6687</v>
      </c>
      <c r="C3742" s="203" t="s">
        <v>2143</v>
      </c>
      <c r="D3742" s="204">
        <v>1</v>
      </c>
      <c r="E3742" s="204" t="s">
        <v>1693</v>
      </c>
      <c r="F3742" s="205">
        <v>1.8477702266136828</v>
      </c>
    </row>
    <row r="3743" spans="1:6">
      <c r="A3743" s="210">
        <v>441114101</v>
      </c>
      <c r="B3743" s="202" t="s">
        <v>6688</v>
      </c>
      <c r="C3743" s="203" t="s">
        <v>2143</v>
      </c>
      <c r="D3743" s="204">
        <v>1</v>
      </c>
      <c r="E3743" s="204" t="s">
        <v>1693</v>
      </c>
      <c r="F3743" s="205">
        <v>0.94105525323929939</v>
      </c>
    </row>
    <row r="3744" spans="1:6">
      <c r="A3744" s="210">
        <v>441114102</v>
      </c>
      <c r="B3744" s="202" t="s">
        <v>6689</v>
      </c>
      <c r="C3744" s="203" t="s">
        <v>2143</v>
      </c>
      <c r="D3744" s="204">
        <v>1</v>
      </c>
      <c r="E3744" s="204" t="s">
        <v>1693</v>
      </c>
      <c r="F3744" s="205">
        <v>1.2288513975893622</v>
      </c>
    </row>
    <row r="3745" spans="1:6">
      <c r="A3745" s="210">
        <v>441114103</v>
      </c>
      <c r="B3745" s="202" t="s">
        <v>6690</v>
      </c>
      <c r="C3745" s="203" t="s">
        <v>2143</v>
      </c>
      <c r="D3745" s="204">
        <v>1</v>
      </c>
      <c r="E3745" s="204" t="s">
        <v>1693</v>
      </c>
      <c r="F3745" s="205">
        <v>1.7899105626112679</v>
      </c>
    </row>
    <row r="3746" spans="1:6">
      <c r="A3746" s="210">
        <v>441114104</v>
      </c>
      <c r="B3746" s="202" t="s">
        <v>6691</v>
      </c>
      <c r="C3746" s="203" t="s">
        <v>2143</v>
      </c>
      <c r="D3746" s="204">
        <v>1</v>
      </c>
      <c r="E3746" s="204" t="s">
        <v>1693</v>
      </c>
      <c r="F3746" s="205">
        <v>2.4275246838942044</v>
      </c>
    </row>
    <row r="3747" spans="1:6">
      <c r="A3747" s="210">
        <v>441114105</v>
      </c>
      <c r="B3747" s="202" t="s">
        <v>6692</v>
      </c>
      <c r="C3747" s="203" t="s">
        <v>2143</v>
      </c>
      <c r="D3747" s="204">
        <v>1</v>
      </c>
      <c r="E3747" s="204" t="s">
        <v>1693</v>
      </c>
      <c r="F3747" s="205">
        <v>3.4045211502599448</v>
      </c>
    </row>
    <row r="3748" spans="1:6">
      <c r="A3748" s="210">
        <v>441114106</v>
      </c>
      <c r="B3748" s="202" t="s">
        <v>6693</v>
      </c>
      <c r="C3748" s="203" t="s">
        <v>2143</v>
      </c>
      <c r="D3748" s="204">
        <v>1</v>
      </c>
      <c r="E3748" s="204" t="s">
        <v>1693</v>
      </c>
      <c r="F3748" s="205">
        <v>7.9649735971564164</v>
      </c>
    </row>
    <row r="3749" spans="1:6">
      <c r="A3749" s="210">
        <v>441114107</v>
      </c>
      <c r="B3749" s="202" t="s">
        <v>6694</v>
      </c>
      <c r="C3749" s="203" t="s">
        <v>2143</v>
      </c>
      <c r="D3749" s="204">
        <v>1</v>
      </c>
      <c r="E3749" s="204" t="s">
        <v>2286</v>
      </c>
      <c r="F3749" s="205">
        <v>7.9649735933002406</v>
      </c>
    </row>
    <row r="3750" spans="1:6">
      <c r="A3750" s="210">
        <v>442100000</v>
      </c>
      <c r="B3750" s="202" t="s">
        <v>6695</v>
      </c>
      <c r="C3750" s="203" t="s">
        <v>2143</v>
      </c>
      <c r="D3750" s="204">
        <v>1</v>
      </c>
      <c r="E3750" s="204" t="s">
        <v>1693</v>
      </c>
      <c r="F3750" s="205">
        <v>1.1963351207897026</v>
      </c>
    </row>
    <row r="3751" spans="1:6">
      <c r="A3751" s="210">
        <v>442111000</v>
      </c>
      <c r="B3751" s="202" t="s">
        <v>6696</v>
      </c>
      <c r="C3751" s="203" t="s">
        <v>2143</v>
      </c>
      <c r="D3751" s="204">
        <v>1</v>
      </c>
      <c r="E3751" s="204" t="s">
        <v>1693</v>
      </c>
      <c r="F3751" s="205">
        <v>0.40835451231928005</v>
      </c>
    </row>
    <row r="3752" spans="1:6">
      <c r="A3752" s="210">
        <v>442112000</v>
      </c>
      <c r="B3752" s="202" t="s">
        <v>6697</v>
      </c>
      <c r="C3752" s="203" t="s">
        <v>2143</v>
      </c>
      <c r="D3752" s="204">
        <v>1</v>
      </c>
      <c r="E3752" s="204" t="s">
        <v>1693</v>
      </c>
      <c r="F3752" s="205">
        <v>3.8438780236457131</v>
      </c>
    </row>
    <row r="3753" spans="1:6">
      <c r="A3753" s="210">
        <v>442113000</v>
      </c>
      <c r="B3753" s="202" t="s">
        <v>6698</v>
      </c>
      <c r="C3753" s="203" t="s">
        <v>2143</v>
      </c>
      <c r="D3753" s="204">
        <v>1</v>
      </c>
      <c r="E3753" s="204" t="s">
        <v>1693</v>
      </c>
      <c r="F3753" s="205">
        <v>0.57259920122114583</v>
      </c>
    </row>
    <row r="3754" spans="1:6">
      <c r="A3754" s="210">
        <v>442114000</v>
      </c>
      <c r="B3754" s="202" t="s">
        <v>6699</v>
      </c>
      <c r="C3754" s="203" t="s">
        <v>2143</v>
      </c>
      <c r="D3754" s="204">
        <v>1</v>
      </c>
      <c r="E3754" s="204" t="s">
        <v>1693</v>
      </c>
      <c r="F3754" s="205">
        <v>10.95456137848505</v>
      </c>
    </row>
    <row r="3755" spans="1:6">
      <c r="A3755" s="210">
        <v>449900101</v>
      </c>
      <c r="B3755" s="202" t="s">
        <v>6700</v>
      </c>
      <c r="C3755" s="203" t="s">
        <v>2155</v>
      </c>
      <c r="D3755" s="204">
        <v>1</v>
      </c>
      <c r="E3755" s="204" t="s">
        <v>1693</v>
      </c>
      <c r="F3755" s="205">
        <v>1.8212905023294344E-2</v>
      </c>
    </row>
    <row r="3756" spans="1:6">
      <c r="A3756" s="210">
        <v>449900200</v>
      </c>
      <c r="B3756" s="202" t="s">
        <v>6701</v>
      </c>
      <c r="C3756" s="203" t="s">
        <v>2155</v>
      </c>
      <c r="D3756" s="204">
        <v>1</v>
      </c>
      <c r="E3756" s="204" t="s">
        <v>2287</v>
      </c>
      <c r="F3756" s="205">
        <v>4.2067095009798439E-5</v>
      </c>
    </row>
    <row r="3757" spans="1:6">
      <c r="A3757" s="210">
        <v>451200100</v>
      </c>
      <c r="B3757" s="202" t="s">
        <v>6702</v>
      </c>
      <c r="C3757" s="203" t="s">
        <v>2143</v>
      </c>
      <c r="D3757" s="204">
        <v>1</v>
      </c>
      <c r="E3757" s="204" t="s">
        <v>1693</v>
      </c>
      <c r="F3757" s="205">
        <v>2.0734633202260655E-2</v>
      </c>
    </row>
    <row r="3758" spans="1:6">
      <c r="A3758" s="210">
        <v>451200101</v>
      </c>
      <c r="B3758" s="202" t="s">
        <v>6703</v>
      </c>
      <c r="C3758" s="203" t="s">
        <v>2143</v>
      </c>
      <c r="D3758" s="204">
        <v>1</v>
      </c>
      <c r="E3758" s="204" t="s">
        <v>1693</v>
      </c>
      <c r="F3758" s="205">
        <v>9.1793019006298909E-3</v>
      </c>
    </row>
    <row r="3759" spans="1:6">
      <c r="A3759" s="210">
        <v>451200102</v>
      </c>
      <c r="B3759" s="202" t="s">
        <v>6704</v>
      </c>
      <c r="C3759" s="203" t="s">
        <v>2143</v>
      </c>
      <c r="D3759" s="204">
        <v>1</v>
      </c>
      <c r="E3759" s="204" t="s">
        <v>1693</v>
      </c>
      <c r="F3759" s="205">
        <v>5.2531286645883142E-3</v>
      </c>
    </row>
    <row r="3760" spans="1:6">
      <c r="A3760" s="210">
        <v>451200103</v>
      </c>
      <c r="B3760" s="202" t="s">
        <v>6705</v>
      </c>
      <c r="C3760" s="203" t="s">
        <v>2143</v>
      </c>
      <c r="D3760" s="204">
        <v>1</v>
      </c>
      <c r="E3760" s="204" t="s">
        <v>1693</v>
      </c>
      <c r="F3760" s="205">
        <v>9.72822910394938E-3</v>
      </c>
    </row>
    <row r="3761" spans="1:6">
      <c r="A3761" s="210">
        <v>451200104</v>
      </c>
      <c r="B3761" s="202" t="s">
        <v>6706</v>
      </c>
      <c r="C3761" s="203" t="s">
        <v>2143</v>
      </c>
      <c r="D3761" s="204">
        <v>1</v>
      </c>
      <c r="E3761" s="204" t="s">
        <v>1693</v>
      </c>
      <c r="F3761" s="205">
        <v>5.5589706417750167E-3</v>
      </c>
    </row>
    <row r="3762" spans="1:6">
      <c r="A3762" s="210">
        <v>451200105</v>
      </c>
      <c r="B3762" s="202" t="s">
        <v>6707</v>
      </c>
      <c r="C3762" s="203" t="s">
        <v>2143</v>
      </c>
      <c r="D3762" s="204">
        <v>1</v>
      </c>
      <c r="E3762" s="204" t="s">
        <v>1693</v>
      </c>
      <c r="F3762" s="205">
        <v>7.44982137077887E-3</v>
      </c>
    </row>
    <row r="3763" spans="1:6">
      <c r="A3763" s="210">
        <v>451200106</v>
      </c>
      <c r="B3763" s="202" t="s">
        <v>6708</v>
      </c>
      <c r="C3763" s="203" t="s">
        <v>2143</v>
      </c>
      <c r="D3763" s="204">
        <v>1</v>
      </c>
      <c r="E3763" s="204" t="s">
        <v>1693</v>
      </c>
      <c r="F3763" s="205">
        <v>4.3081905686628893E-3</v>
      </c>
    </row>
    <row r="3764" spans="1:6">
      <c r="A3764" s="210">
        <v>451200107</v>
      </c>
      <c r="B3764" s="202" t="s">
        <v>6709</v>
      </c>
      <c r="C3764" s="203" t="s">
        <v>2143</v>
      </c>
      <c r="D3764" s="204">
        <v>1</v>
      </c>
      <c r="E3764" s="204" t="s">
        <v>1693</v>
      </c>
      <c r="F3764" s="205">
        <v>2.6981191679368612E-2</v>
      </c>
    </row>
    <row r="3765" spans="1:6">
      <c r="A3765" s="210">
        <v>451200108</v>
      </c>
      <c r="B3765" s="202" t="s">
        <v>6710</v>
      </c>
      <c r="C3765" s="203" t="s">
        <v>2143</v>
      </c>
      <c r="D3765" s="204">
        <v>1</v>
      </c>
      <c r="E3765" s="204" t="s">
        <v>1693</v>
      </c>
      <c r="F3765" s="205">
        <v>1.0065603823377759E-2</v>
      </c>
    </row>
    <row r="3766" spans="1:6">
      <c r="A3766" s="210">
        <v>451200109</v>
      </c>
      <c r="B3766" s="202" t="s">
        <v>6711</v>
      </c>
      <c r="C3766" s="203" t="s">
        <v>2143</v>
      </c>
      <c r="D3766" s="204">
        <v>1</v>
      </c>
      <c r="E3766" s="204" t="s">
        <v>1693</v>
      </c>
      <c r="F3766" s="205">
        <v>1.4934939669587539E-2</v>
      </c>
    </row>
    <row r="3767" spans="1:6">
      <c r="A3767" s="210">
        <v>451200110</v>
      </c>
      <c r="B3767" s="202" t="s">
        <v>6712</v>
      </c>
      <c r="C3767" s="203" t="s">
        <v>2143</v>
      </c>
      <c r="D3767" s="204">
        <v>1</v>
      </c>
      <c r="E3767" s="204" t="s">
        <v>1693</v>
      </c>
      <c r="F3767" s="205">
        <v>8.5962449698190439E-3</v>
      </c>
    </row>
    <row r="3768" spans="1:6">
      <c r="A3768" s="210">
        <v>451200111</v>
      </c>
      <c r="B3768" s="202" t="s">
        <v>6713</v>
      </c>
      <c r="C3768" s="203" t="s">
        <v>2143</v>
      </c>
      <c r="D3768" s="204">
        <v>1</v>
      </c>
      <c r="E3768" s="204" t="s">
        <v>1693</v>
      </c>
      <c r="F3768" s="205">
        <v>1.442276457884805E-2</v>
      </c>
    </row>
    <row r="3769" spans="1:6">
      <c r="A3769" s="210">
        <v>451200112</v>
      </c>
      <c r="B3769" s="202" t="s">
        <v>6714</v>
      </c>
      <c r="C3769" s="203" t="s">
        <v>2143</v>
      </c>
      <c r="D3769" s="204">
        <v>1</v>
      </c>
      <c r="E3769" s="204" t="s">
        <v>1693</v>
      </c>
      <c r="F3769" s="205">
        <v>4.5414269065357071E-3</v>
      </c>
    </row>
    <row r="3770" spans="1:6">
      <c r="A3770" s="210">
        <v>451200113</v>
      </c>
      <c r="B3770" s="202" t="s">
        <v>6715</v>
      </c>
      <c r="C3770" s="203" t="s">
        <v>2143</v>
      </c>
      <c r="D3770" s="204">
        <v>1</v>
      </c>
      <c r="E3770" s="204" t="s">
        <v>1693</v>
      </c>
      <c r="F3770" s="205">
        <v>2.704008155310041E-2</v>
      </c>
    </row>
    <row r="3771" spans="1:6">
      <c r="A3771" s="210">
        <v>451200114</v>
      </c>
      <c r="B3771" s="202" t="s">
        <v>6716</v>
      </c>
      <c r="C3771" s="203" t="s">
        <v>2143</v>
      </c>
      <c r="D3771" s="204">
        <v>1</v>
      </c>
      <c r="E3771" s="204" t="s">
        <v>1693</v>
      </c>
      <c r="F3771" s="205">
        <v>1.0124493813787014E-2</v>
      </c>
    </row>
    <row r="3772" spans="1:6">
      <c r="A3772" s="210">
        <v>452100000</v>
      </c>
      <c r="B3772" s="202" t="s">
        <v>6717</v>
      </c>
      <c r="C3772" s="203" t="s">
        <v>2143</v>
      </c>
      <c r="D3772" s="204">
        <v>1</v>
      </c>
      <c r="E3772" s="204" t="s">
        <v>2285</v>
      </c>
      <c r="F3772" s="205">
        <v>1.4338843422332643</v>
      </c>
    </row>
    <row r="3773" spans="1:6">
      <c r="A3773" s="210">
        <v>452111000</v>
      </c>
      <c r="B3773" s="202" t="s">
        <v>6718</v>
      </c>
      <c r="C3773" s="203" t="s">
        <v>2143</v>
      </c>
      <c r="D3773" s="204">
        <v>1</v>
      </c>
      <c r="E3773" s="204" t="s">
        <v>2285</v>
      </c>
      <c r="F3773" s="205">
        <v>1.4338843422332643</v>
      </c>
    </row>
    <row r="3774" spans="1:6">
      <c r="A3774" s="210">
        <v>452200000</v>
      </c>
      <c r="B3774" s="202" t="s">
        <v>6719</v>
      </c>
      <c r="C3774" s="203" t="s">
        <v>2143</v>
      </c>
      <c r="D3774" s="204">
        <v>1</v>
      </c>
      <c r="E3774" s="204" t="s">
        <v>1693</v>
      </c>
      <c r="F3774" s="205">
        <v>4.574609792828712E-2</v>
      </c>
    </row>
    <row r="3775" spans="1:6">
      <c r="A3775" s="210">
        <v>452200100</v>
      </c>
      <c r="B3775" s="202" t="s">
        <v>6720</v>
      </c>
      <c r="C3775" s="203" t="s">
        <v>2143</v>
      </c>
      <c r="D3775" s="204">
        <v>1</v>
      </c>
      <c r="E3775" s="204" t="s">
        <v>1693</v>
      </c>
      <c r="F3775" s="205">
        <v>4.0935195103097184E-2</v>
      </c>
    </row>
    <row r="3776" spans="1:6">
      <c r="A3776" s="210">
        <v>452211000</v>
      </c>
      <c r="B3776" s="202" t="s">
        <v>6721</v>
      </c>
      <c r="C3776" s="203" t="s">
        <v>2143</v>
      </c>
      <c r="D3776" s="204">
        <v>1</v>
      </c>
      <c r="E3776" s="204" t="s">
        <v>1693</v>
      </c>
      <c r="F3776" s="205">
        <v>5.0358754165142211E-2</v>
      </c>
    </row>
    <row r="3777" spans="1:6">
      <c r="A3777" s="210">
        <v>452212000</v>
      </c>
      <c r="B3777" s="202" t="s">
        <v>6722</v>
      </c>
      <c r="C3777" s="203" t="s">
        <v>2143</v>
      </c>
      <c r="D3777" s="204">
        <v>1</v>
      </c>
      <c r="E3777" s="204" t="s">
        <v>1693</v>
      </c>
      <c r="F3777" s="205">
        <v>3.9358646615780826E-2</v>
      </c>
    </row>
    <row r="3778" spans="1:6">
      <c r="A3778" s="210">
        <v>452213000</v>
      </c>
      <c r="B3778" s="202" t="s">
        <v>6723</v>
      </c>
      <c r="C3778" s="203" t="s">
        <v>2143</v>
      </c>
      <c r="D3778" s="204">
        <v>1</v>
      </c>
      <c r="E3778" s="204" t="s">
        <v>1693</v>
      </c>
      <c r="F3778" s="205">
        <v>3.8796212411872061E-2</v>
      </c>
    </row>
    <row r="3779" spans="1:6">
      <c r="A3779" s="210">
        <v>461100000</v>
      </c>
      <c r="B3779" s="202" t="s">
        <v>6724</v>
      </c>
      <c r="C3779" s="203" t="s">
        <v>2143</v>
      </c>
      <c r="D3779" s="204">
        <v>1</v>
      </c>
      <c r="E3779" s="204" t="s">
        <v>2285</v>
      </c>
      <c r="F3779" s="205">
        <v>9.2933754339614205E-2</v>
      </c>
    </row>
    <row r="3780" spans="1:6">
      <c r="A3780" s="210">
        <v>461111000</v>
      </c>
      <c r="B3780" s="202" t="s">
        <v>6725</v>
      </c>
      <c r="C3780" s="203" t="s">
        <v>2143</v>
      </c>
      <c r="D3780" s="204">
        <v>1</v>
      </c>
      <c r="E3780" s="204" t="s">
        <v>2285</v>
      </c>
      <c r="F3780" s="205">
        <v>9.6751528533291067E-2</v>
      </c>
    </row>
    <row r="3781" spans="1:6">
      <c r="A3781" s="210">
        <v>461112000</v>
      </c>
      <c r="B3781" s="202" t="s">
        <v>6726</v>
      </c>
      <c r="C3781" s="203" t="s">
        <v>2143</v>
      </c>
      <c r="D3781" s="204">
        <v>1</v>
      </c>
      <c r="E3781" s="204" t="s">
        <v>2285</v>
      </c>
      <c r="F3781" s="205">
        <v>8.8367565709848744E-2</v>
      </c>
    </row>
    <row r="3782" spans="1:6">
      <c r="A3782" s="210">
        <v>462100000</v>
      </c>
      <c r="B3782" s="202" t="s">
        <v>6727</v>
      </c>
      <c r="C3782" s="203" t="s">
        <v>2143</v>
      </c>
      <c r="D3782" s="204">
        <v>1</v>
      </c>
      <c r="E3782" s="204" t="s">
        <v>1693</v>
      </c>
      <c r="F3782" s="205">
        <v>0.99480972701353498</v>
      </c>
    </row>
    <row r="3783" spans="1:6">
      <c r="A3783" s="210">
        <v>462111000</v>
      </c>
      <c r="B3783" s="202" t="s">
        <v>6728</v>
      </c>
      <c r="C3783" s="203" t="s">
        <v>2143</v>
      </c>
      <c r="D3783" s="204">
        <v>1</v>
      </c>
      <c r="E3783" s="204" t="s">
        <v>1693</v>
      </c>
      <c r="F3783" s="205">
        <v>1.2900199313406955</v>
      </c>
    </row>
    <row r="3784" spans="1:6">
      <c r="A3784" s="210">
        <v>462112000</v>
      </c>
      <c r="B3784" s="202" t="s">
        <v>6729</v>
      </c>
      <c r="C3784" s="203" t="s">
        <v>2143</v>
      </c>
      <c r="D3784" s="204">
        <v>1</v>
      </c>
      <c r="E3784" s="204" t="s">
        <v>1693</v>
      </c>
      <c r="F3784" s="205">
        <v>0.95022346333375252</v>
      </c>
    </row>
    <row r="3785" spans="1:6">
      <c r="A3785" s="210">
        <v>491100000</v>
      </c>
      <c r="B3785" s="202" t="s">
        <v>6730</v>
      </c>
      <c r="C3785" s="203" t="s">
        <v>2143</v>
      </c>
      <c r="D3785" s="204">
        <v>1</v>
      </c>
      <c r="E3785" s="204" t="s">
        <v>2013</v>
      </c>
      <c r="F3785" s="205">
        <v>4.1266470518950199E-5</v>
      </c>
    </row>
    <row r="3786" spans="1:6">
      <c r="A3786" s="210">
        <v>491111000</v>
      </c>
      <c r="B3786" s="202" t="s">
        <v>6731</v>
      </c>
      <c r="C3786" s="203" t="s">
        <v>2143</v>
      </c>
      <c r="D3786" s="204">
        <v>1</v>
      </c>
      <c r="E3786" s="204" t="s">
        <v>2013</v>
      </c>
      <c r="F3786" s="205">
        <v>4.1266470518950199E-5</v>
      </c>
    </row>
    <row r="3787" spans="1:6">
      <c r="A3787" s="210">
        <v>491111900</v>
      </c>
      <c r="B3787" s="202" t="s">
        <v>6732</v>
      </c>
      <c r="C3787" s="203" t="s">
        <v>5553</v>
      </c>
      <c r="D3787" s="204">
        <v>1</v>
      </c>
      <c r="E3787" s="204" t="s">
        <v>2013</v>
      </c>
      <c r="F3787" s="205">
        <v>0</v>
      </c>
    </row>
    <row r="3788" spans="1:6">
      <c r="A3788" s="210">
        <v>492100000</v>
      </c>
      <c r="B3788" s="202" t="s">
        <v>6733</v>
      </c>
      <c r="C3788" s="203" t="s">
        <v>2143</v>
      </c>
      <c r="D3788" s="204">
        <v>1</v>
      </c>
      <c r="E3788" s="204" t="s">
        <v>2013</v>
      </c>
      <c r="F3788" s="205">
        <v>6.8440232810959722E-5</v>
      </c>
    </row>
    <row r="3789" spans="1:6">
      <c r="A3789" s="210">
        <v>492111000</v>
      </c>
      <c r="B3789" s="202" t="s">
        <v>6734</v>
      </c>
      <c r="C3789" s="203" t="s">
        <v>2143</v>
      </c>
      <c r="D3789" s="204">
        <v>1</v>
      </c>
      <c r="E3789" s="204" t="s">
        <v>2013</v>
      </c>
      <c r="F3789" s="205">
        <v>5.490163758275775E-5</v>
      </c>
    </row>
    <row r="3790" spans="1:6">
      <c r="A3790" s="210">
        <v>492111900</v>
      </c>
      <c r="B3790" s="202" t="s">
        <v>6735</v>
      </c>
      <c r="C3790" s="203" t="s">
        <v>5553</v>
      </c>
      <c r="D3790" s="204">
        <v>1</v>
      </c>
      <c r="E3790" s="204" t="s">
        <v>2013</v>
      </c>
      <c r="F3790" s="205">
        <v>0</v>
      </c>
    </row>
    <row r="3791" spans="1:6">
      <c r="A3791" s="210">
        <v>492112000</v>
      </c>
      <c r="B3791" s="202" t="s">
        <v>6736</v>
      </c>
      <c r="C3791" s="203" t="s">
        <v>2143</v>
      </c>
      <c r="D3791" s="204">
        <v>1</v>
      </c>
      <c r="E3791" s="204" t="s">
        <v>2013</v>
      </c>
      <c r="F3791" s="205">
        <v>7.3031557650159366E-5</v>
      </c>
    </row>
    <row r="3792" spans="1:6">
      <c r="A3792" s="210">
        <v>492112900</v>
      </c>
      <c r="B3792" s="202" t="s">
        <v>6737</v>
      </c>
      <c r="C3792" s="203" t="s">
        <v>5553</v>
      </c>
      <c r="D3792" s="204">
        <v>1</v>
      </c>
      <c r="E3792" s="204" t="s">
        <v>2013</v>
      </c>
      <c r="F3792" s="205">
        <v>0</v>
      </c>
    </row>
    <row r="3793" spans="1:6">
      <c r="A3793" s="210">
        <v>493100000</v>
      </c>
      <c r="B3793" s="202" t="s">
        <v>6738</v>
      </c>
      <c r="C3793" s="203" t="s">
        <v>2143</v>
      </c>
      <c r="D3793" s="204">
        <v>1</v>
      </c>
      <c r="E3793" s="204" t="s">
        <v>2013</v>
      </c>
      <c r="F3793" s="205">
        <v>6.8926257468568137E-5</v>
      </c>
    </row>
    <row r="3794" spans="1:6">
      <c r="A3794" s="210">
        <v>493111000</v>
      </c>
      <c r="B3794" s="202" t="s">
        <v>6739</v>
      </c>
      <c r="C3794" s="203" t="s">
        <v>2143</v>
      </c>
      <c r="D3794" s="204">
        <v>1</v>
      </c>
      <c r="E3794" s="204" t="s">
        <v>2013</v>
      </c>
      <c r="F3794" s="205">
        <v>7.0933735213417321E-5</v>
      </c>
    </row>
    <row r="3795" spans="1:6">
      <c r="A3795" s="210">
        <v>493111900</v>
      </c>
      <c r="B3795" s="202" t="s">
        <v>6740</v>
      </c>
      <c r="C3795" s="203" t="s">
        <v>5553</v>
      </c>
      <c r="D3795" s="204">
        <v>1</v>
      </c>
      <c r="E3795" s="204" t="s">
        <v>2013</v>
      </c>
      <c r="F3795" s="205">
        <v>0</v>
      </c>
    </row>
    <row r="3796" spans="1:6">
      <c r="A3796" s="210">
        <v>493112000</v>
      </c>
      <c r="B3796" s="202" t="s">
        <v>6741</v>
      </c>
      <c r="C3796" s="203" t="s">
        <v>2143</v>
      </c>
      <c r="D3796" s="204">
        <v>1</v>
      </c>
      <c r="E3796" s="204" t="s">
        <v>2013</v>
      </c>
      <c r="F3796" s="205">
        <v>6.7202231913992863E-5</v>
      </c>
    </row>
    <row r="3797" spans="1:6">
      <c r="A3797" s="210">
        <v>493112900</v>
      </c>
      <c r="B3797" s="202" t="s">
        <v>6742</v>
      </c>
      <c r="C3797" s="203" t="s">
        <v>5553</v>
      </c>
      <c r="D3797" s="204">
        <v>1</v>
      </c>
      <c r="E3797" s="204" t="s">
        <v>2013</v>
      </c>
      <c r="F3797" s="205">
        <v>0</v>
      </c>
    </row>
    <row r="3798" spans="1:6">
      <c r="A3798" s="210">
        <v>494100000</v>
      </c>
      <c r="B3798" s="202" t="s">
        <v>6743</v>
      </c>
      <c r="C3798" s="203" t="s">
        <v>2143</v>
      </c>
      <c r="D3798" s="204">
        <v>1</v>
      </c>
      <c r="E3798" s="204" t="s">
        <v>2013</v>
      </c>
      <c r="F3798" s="205">
        <v>5.1638469344165904E-5</v>
      </c>
    </row>
    <row r="3799" spans="1:6">
      <c r="A3799" s="210">
        <v>494111000</v>
      </c>
      <c r="B3799" s="202" t="s">
        <v>6744</v>
      </c>
      <c r="C3799" s="203" t="s">
        <v>2143</v>
      </c>
      <c r="D3799" s="204">
        <v>1</v>
      </c>
      <c r="E3799" s="204" t="s">
        <v>2013</v>
      </c>
      <c r="F3799" s="205">
        <v>6.1516455845006326E-5</v>
      </c>
    </row>
    <row r="3800" spans="1:6">
      <c r="A3800" s="210">
        <v>494111900</v>
      </c>
      <c r="B3800" s="202" t="s">
        <v>6745</v>
      </c>
      <c r="C3800" s="203" t="s">
        <v>5553</v>
      </c>
      <c r="D3800" s="204">
        <v>1</v>
      </c>
      <c r="E3800" s="204" t="s">
        <v>2013</v>
      </c>
      <c r="F3800" s="205">
        <v>0</v>
      </c>
    </row>
    <row r="3801" spans="1:6">
      <c r="A3801" s="210">
        <v>494112000</v>
      </c>
      <c r="B3801" s="202" t="s">
        <v>6746</v>
      </c>
      <c r="C3801" s="203" t="s">
        <v>2143</v>
      </c>
      <c r="D3801" s="204">
        <v>1</v>
      </c>
      <c r="E3801" s="204" t="s">
        <v>2013</v>
      </c>
      <c r="F3801" s="205">
        <v>4.7268322775839967E-5</v>
      </c>
    </row>
    <row r="3802" spans="1:6">
      <c r="A3802" s="210">
        <v>494112900</v>
      </c>
      <c r="B3802" s="202" t="s">
        <v>6747</v>
      </c>
      <c r="C3802" s="203" t="s">
        <v>5553</v>
      </c>
      <c r="D3802" s="204">
        <v>1</v>
      </c>
      <c r="E3802" s="204" t="s">
        <v>2013</v>
      </c>
      <c r="F3802" s="205">
        <v>0</v>
      </c>
    </row>
    <row r="3803" spans="1:6">
      <c r="A3803" s="210">
        <v>494113000</v>
      </c>
      <c r="B3803" s="202" t="s">
        <v>6748</v>
      </c>
      <c r="C3803" s="203" t="s">
        <v>2143</v>
      </c>
      <c r="D3803" s="204">
        <v>1</v>
      </c>
      <c r="E3803" s="204" t="s">
        <v>2013</v>
      </c>
      <c r="F3803" s="205">
        <v>4.7610818327593879E-5</v>
      </c>
    </row>
    <row r="3804" spans="1:6">
      <c r="A3804" s="210">
        <v>494113900</v>
      </c>
      <c r="B3804" s="202" t="s">
        <v>6749</v>
      </c>
      <c r="C3804" s="203" t="s">
        <v>5553</v>
      </c>
      <c r="D3804" s="204">
        <v>1</v>
      </c>
      <c r="E3804" s="204" t="s">
        <v>2013</v>
      </c>
      <c r="F3804" s="205">
        <v>0</v>
      </c>
    </row>
    <row r="3805" spans="1:6">
      <c r="A3805" s="210">
        <v>494114000</v>
      </c>
      <c r="B3805" s="202" t="s">
        <v>6750</v>
      </c>
      <c r="C3805" s="203" t="s">
        <v>2143</v>
      </c>
      <c r="D3805" s="204">
        <v>1</v>
      </c>
      <c r="E3805" s="204" t="s">
        <v>2013</v>
      </c>
      <c r="F3805" s="205">
        <v>8.4826674146522871E-5</v>
      </c>
    </row>
    <row r="3806" spans="1:6">
      <c r="A3806" s="210">
        <v>494114900</v>
      </c>
      <c r="B3806" s="202" t="s">
        <v>6751</v>
      </c>
      <c r="C3806" s="203" t="s">
        <v>5553</v>
      </c>
      <c r="D3806" s="204">
        <v>1</v>
      </c>
      <c r="E3806" s="204" t="s">
        <v>2013</v>
      </c>
      <c r="F3806" s="205">
        <v>0</v>
      </c>
    </row>
    <row r="3807" spans="1:6">
      <c r="A3807" s="210">
        <v>495100000</v>
      </c>
      <c r="B3807" s="202" t="s">
        <v>6752</v>
      </c>
      <c r="C3807" s="203" t="s">
        <v>2143</v>
      </c>
      <c r="D3807" s="204">
        <v>1</v>
      </c>
      <c r="E3807" s="204" t="s">
        <v>2013</v>
      </c>
      <c r="F3807" s="205">
        <v>5.2990972307662077E-5</v>
      </c>
    </row>
    <row r="3808" spans="1:6">
      <c r="A3808" s="210">
        <v>495111000</v>
      </c>
      <c r="B3808" s="202" t="s">
        <v>6753</v>
      </c>
      <c r="C3808" s="203" t="s">
        <v>2143</v>
      </c>
      <c r="D3808" s="204">
        <v>1</v>
      </c>
      <c r="E3808" s="204" t="s">
        <v>2013</v>
      </c>
      <c r="F3808" s="205">
        <v>5.2990972307662077E-5</v>
      </c>
    </row>
    <row r="3809" spans="1:6">
      <c r="A3809" s="210">
        <v>495111900</v>
      </c>
      <c r="B3809" s="202" t="s">
        <v>6754</v>
      </c>
      <c r="C3809" s="203" t="s">
        <v>5553</v>
      </c>
      <c r="D3809" s="204">
        <v>1</v>
      </c>
      <c r="E3809" s="204" t="s">
        <v>2013</v>
      </c>
      <c r="F3809" s="205">
        <v>0</v>
      </c>
    </row>
    <row r="3810" spans="1:6">
      <c r="A3810" s="210">
        <v>499100000</v>
      </c>
      <c r="B3810" s="202" t="s">
        <v>6755</v>
      </c>
      <c r="C3810" s="203" t="s">
        <v>2143</v>
      </c>
      <c r="D3810" s="204">
        <v>1</v>
      </c>
      <c r="E3810" s="204" t="s">
        <v>2013</v>
      </c>
      <c r="F3810" s="205">
        <v>8.0306014108195935E-5</v>
      </c>
    </row>
    <row r="3811" spans="1:6">
      <c r="A3811" s="210">
        <v>499111000</v>
      </c>
      <c r="B3811" s="202" t="s">
        <v>6756</v>
      </c>
      <c r="C3811" s="203" t="s">
        <v>2143</v>
      </c>
      <c r="D3811" s="204">
        <v>1</v>
      </c>
      <c r="E3811" s="204" t="s">
        <v>2013</v>
      </c>
      <c r="F3811" s="205">
        <v>7.5569873980392338E-5</v>
      </c>
    </row>
    <row r="3812" spans="1:6">
      <c r="A3812" s="210">
        <v>499111900</v>
      </c>
      <c r="B3812" s="202" t="s">
        <v>6757</v>
      </c>
      <c r="C3812" s="203" t="s">
        <v>5553</v>
      </c>
      <c r="D3812" s="204">
        <v>1</v>
      </c>
      <c r="E3812" s="204" t="s">
        <v>2013</v>
      </c>
      <c r="F3812" s="205">
        <v>0</v>
      </c>
    </row>
    <row r="3813" spans="1:6">
      <c r="A3813" s="210">
        <v>499112000</v>
      </c>
      <c r="B3813" s="202" t="s">
        <v>6758</v>
      </c>
      <c r="C3813" s="203" t="s">
        <v>2143</v>
      </c>
      <c r="D3813" s="204">
        <v>1</v>
      </c>
      <c r="E3813" s="204" t="s">
        <v>2013</v>
      </c>
      <c r="F3813" s="205">
        <v>5.6516486104685549E-5</v>
      </c>
    </row>
    <row r="3814" spans="1:6">
      <c r="A3814" s="210">
        <v>499112900</v>
      </c>
      <c r="B3814" s="202" t="s">
        <v>6759</v>
      </c>
      <c r="C3814" s="203" t="s">
        <v>5553</v>
      </c>
      <c r="D3814" s="204">
        <v>1</v>
      </c>
      <c r="E3814" s="204" t="s">
        <v>2013</v>
      </c>
      <c r="F3814" s="205">
        <v>0</v>
      </c>
    </row>
    <row r="3815" spans="1:6">
      <c r="A3815" s="210">
        <v>499119000</v>
      </c>
      <c r="B3815" s="202" t="s">
        <v>6760</v>
      </c>
      <c r="C3815" s="203" t="s">
        <v>2143</v>
      </c>
      <c r="D3815" s="204">
        <v>1</v>
      </c>
      <c r="E3815" s="204" t="s">
        <v>2013</v>
      </c>
      <c r="F3815" s="205">
        <v>9.584837067756489E-5</v>
      </c>
    </row>
    <row r="3816" spans="1:6">
      <c r="A3816" s="210">
        <v>499119900</v>
      </c>
      <c r="B3816" s="202" t="s">
        <v>6761</v>
      </c>
      <c r="C3816" s="203" t="s">
        <v>5553</v>
      </c>
      <c r="D3816" s="204">
        <v>1</v>
      </c>
      <c r="E3816" s="204" t="s">
        <v>2013</v>
      </c>
      <c r="F3816" s="205">
        <v>0</v>
      </c>
    </row>
    <row r="3817" spans="1:6">
      <c r="A3817" s="210">
        <v>501100000</v>
      </c>
      <c r="B3817" s="202" t="s">
        <v>6762</v>
      </c>
      <c r="C3817" s="203" t="s">
        <v>2143</v>
      </c>
      <c r="D3817" s="204">
        <v>1</v>
      </c>
      <c r="E3817" s="204" t="s">
        <v>2013</v>
      </c>
      <c r="F3817" s="205">
        <v>4.7952537164373728E-4</v>
      </c>
    </row>
    <row r="3818" spans="1:6">
      <c r="A3818" s="210">
        <v>501111000</v>
      </c>
      <c r="B3818" s="202" t="s">
        <v>6763</v>
      </c>
      <c r="C3818" s="203" t="s">
        <v>2143</v>
      </c>
      <c r="D3818" s="204">
        <v>1</v>
      </c>
      <c r="E3818" s="204" t="s">
        <v>2013</v>
      </c>
      <c r="F3818" s="205">
        <v>4.7952537164373728E-4</v>
      </c>
    </row>
    <row r="3819" spans="1:6">
      <c r="A3819" s="210">
        <v>501111200</v>
      </c>
      <c r="B3819" s="202" t="s">
        <v>6764</v>
      </c>
      <c r="C3819" s="203" t="s">
        <v>2143</v>
      </c>
      <c r="D3819" s="204">
        <v>1</v>
      </c>
      <c r="E3819" s="204" t="s">
        <v>2013</v>
      </c>
      <c r="F3819" s="205">
        <v>4.8586779811457602E-4</v>
      </c>
    </row>
    <row r="3820" spans="1:6">
      <c r="A3820" s="210">
        <v>501111201</v>
      </c>
      <c r="B3820" s="202" t="s">
        <v>6765</v>
      </c>
      <c r="C3820" s="203" t="s">
        <v>2143</v>
      </c>
      <c r="D3820" s="204">
        <v>1</v>
      </c>
      <c r="E3820" s="204" t="s">
        <v>2013</v>
      </c>
      <c r="F3820" s="205">
        <v>3.0161657211889105E-4</v>
      </c>
    </row>
    <row r="3821" spans="1:6">
      <c r="A3821" s="210">
        <v>501111202</v>
      </c>
      <c r="B3821" s="202" t="s">
        <v>6766</v>
      </c>
      <c r="C3821" s="203" t="s">
        <v>2143</v>
      </c>
      <c r="D3821" s="204">
        <v>1</v>
      </c>
      <c r="E3821" s="204" t="s">
        <v>2013</v>
      </c>
      <c r="F3821" s="205">
        <v>6.766024571560411E-4</v>
      </c>
    </row>
    <row r="3822" spans="1:6">
      <c r="A3822" s="210">
        <v>501111203</v>
      </c>
      <c r="B3822" s="202" t="s">
        <v>6767</v>
      </c>
      <c r="C3822" s="203" t="s">
        <v>2143</v>
      </c>
      <c r="D3822" s="204">
        <v>1</v>
      </c>
      <c r="E3822" s="204" t="s">
        <v>2013</v>
      </c>
      <c r="F3822" s="205">
        <v>3.3303583957948203E-5</v>
      </c>
    </row>
    <row r="3823" spans="1:6">
      <c r="A3823" s="210">
        <v>501111900</v>
      </c>
      <c r="B3823" s="202" t="s">
        <v>6768</v>
      </c>
      <c r="C3823" s="203" t="s">
        <v>5553</v>
      </c>
      <c r="D3823" s="204">
        <v>1</v>
      </c>
      <c r="E3823" s="204" t="s">
        <v>2013</v>
      </c>
      <c r="F3823" s="205">
        <v>0</v>
      </c>
    </row>
    <row r="3824" spans="1:6">
      <c r="A3824" s="210">
        <v>501111901</v>
      </c>
      <c r="B3824" s="202" t="s">
        <v>6769</v>
      </c>
      <c r="C3824" s="203" t="s">
        <v>5553</v>
      </c>
      <c r="D3824" s="204">
        <v>1</v>
      </c>
      <c r="E3824" s="204" t="s">
        <v>2013</v>
      </c>
      <c r="F3824" s="205">
        <v>0</v>
      </c>
    </row>
    <row r="3825" spans="1:6">
      <c r="A3825" s="210">
        <v>501111902</v>
      </c>
      <c r="B3825" s="202" t="s">
        <v>6770</v>
      </c>
      <c r="C3825" s="203" t="s">
        <v>5553</v>
      </c>
      <c r="D3825" s="204">
        <v>1</v>
      </c>
      <c r="E3825" s="204" t="s">
        <v>2013</v>
      </c>
      <c r="F3825" s="205">
        <v>0</v>
      </c>
    </row>
    <row r="3826" spans="1:6">
      <c r="A3826" s="210">
        <v>502100000</v>
      </c>
      <c r="B3826" s="202" t="s">
        <v>6771</v>
      </c>
      <c r="C3826" s="203" t="s">
        <v>2143</v>
      </c>
      <c r="D3826" s="204">
        <v>1</v>
      </c>
      <c r="E3826" s="204" t="s">
        <v>2013</v>
      </c>
      <c r="F3826" s="205">
        <v>2.7677700410968766E-4</v>
      </c>
    </row>
    <row r="3827" spans="1:6">
      <c r="A3827" s="210">
        <v>502111000</v>
      </c>
      <c r="B3827" s="202" t="s">
        <v>6772</v>
      </c>
      <c r="C3827" s="203" t="s">
        <v>2143</v>
      </c>
      <c r="D3827" s="204">
        <v>1</v>
      </c>
      <c r="E3827" s="204" t="s">
        <v>2013</v>
      </c>
      <c r="F3827" s="205">
        <v>2.7677700410968766E-4</v>
      </c>
    </row>
    <row r="3828" spans="1:6">
      <c r="A3828" s="210">
        <v>502111900</v>
      </c>
      <c r="B3828" s="202" t="s">
        <v>6773</v>
      </c>
      <c r="C3828" s="203" t="s">
        <v>5553</v>
      </c>
      <c r="D3828" s="204">
        <v>1</v>
      </c>
      <c r="E3828" s="204" t="s">
        <v>2013</v>
      </c>
      <c r="F3828" s="205">
        <v>0</v>
      </c>
    </row>
    <row r="3829" spans="1:6">
      <c r="A3829" s="210">
        <v>503100000</v>
      </c>
      <c r="B3829" s="202" t="s">
        <v>6774</v>
      </c>
      <c r="C3829" s="203" t="s">
        <v>2143</v>
      </c>
      <c r="D3829" s="204">
        <v>1</v>
      </c>
      <c r="E3829" s="204" t="s">
        <v>2013</v>
      </c>
      <c r="F3829" s="205">
        <v>4.2101268696454733E-4</v>
      </c>
    </row>
    <row r="3830" spans="1:6">
      <c r="A3830" s="210">
        <v>503111000</v>
      </c>
      <c r="B3830" s="202" t="s">
        <v>6775</v>
      </c>
      <c r="C3830" s="203" t="s">
        <v>2143</v>
      </c>
      <c r="D3830" s="204">
        <v>1</v>
      </c>
      <c r="E3830" s="204" t="s">
        <v>2013</v>
      </c>
      <c r="F3830" s="205">
        <v>4.2101268696454733E-4</v>
      </c>
    </row>
    <row r="3831" spans="1:6">
      <c r="A3831" s="210">
        <v>503111900</v>
      </c>
      <c r="B3831" s="202" t="s">
        <v>6776</v>
      </c>
      <c r="C3831" s="203" t="s">
        <v>5553</v>
      </c>
      <c r="D3831" s="204">
        <v>1</v>
      </c>
      <c r="E3831" s="204" t="s">
        <v>2013</v>
      </c>
      <c r="F3831" s="205">
        <v>0</v>
      </c>
    </row>
    <row r="3832" spans="1:6">
      <c r="A3832" s="210">
        <v>504100000</v>
      </c>
      <c r="B3832" s="202" t="s">
        <v>6777</v>
      </c>
      <c r="C3832" s="203" t="s">
        <v>2143</v>
      </c>
      <c r="D3832" s="204">
        <v>1</v>
      </c>
      <c r="E3832" s="204" t="s">
        <v>2013</v>
      </c>
      <c r="F3832" s="205">
        <v>1.6113736883270499E-4</v>
      </c>
    </row>
    <row r="3833" spans="1:6">
      <c r="A3833" s="210">
        <v>504111000</v>
      </c>
      <c r="B3833" s="202" t="s">
        <v>6778</v>
      </c>
      <c r="C3833" s="203" t="s">
        <v>2143</v>
      </c>
      <c r="D3833" s="204">
        <v>1</v>
      </c>
      <c r="E3833" s="204" t="s">
        <v>2013</v>
      </c>
      <c r="F3833" s="205">
        <v>1.6113736883270499E-4</v>
      </c>
    </row>
    <row r="3834" spans="1:6">
      <c r="A3834" s="210">
        <v>504111900</v>
      </c>
      <c r="B3834" s="202" t="s">
        <v>6779</v>
      </c>
      <c r="C3834" s="203" t="s">
        <v>5553</v>
      </c>
      <c r="D3834" s="204">
        <v>1</v>
      </c>
      <c r="E3834" s="204" t="s">
        <v>2013</v>
      </c>
      <c r="F3834" s="205">
        <v>0</v>
      </c>
    </row>
    <row r="3835" spans="1:6">
      <c r="A3835" s="210">
        <v>505100000</v>
      </c>
      <c r="B3835" s="202" t="s">
        <v>6780</v>
      </c>
      <c r="C3835" s="203" t="s">
        <v>2143</v>
      </c>
      <c r="D3835" s="204">
        <v>1</v>
      </c>
      <c r="E3835" s="204" t="s">
        <v>2013</v>
      </c>
      <c r="F3835" s="205">
        <v>1.7904487588420241E-4</v>
      </c>
    </row>
    <row r="3836" spans="1:6">
      <c r="A3836" s="210">
        <v>505111000</v>
      </c>
      <c r="B3836" s="202" t="s">
        <v>6781</v>
      </c>
      <c r="C3836" s="203" t="s">
        <v>2143</v>
      </c>
      <c r="D3836" s="204">
        <v>1</v>
      </c>
      <c r="E3836" s="204" t="s">
        <v>2013</v>
      </c>
      <c r="F3836" s="205">
        <v>1.7904487588420241E-4</v>
      </c>
    </row>
    <row r="3837" spans="1:6">
      <c r="A3837" s="210">
        <v>505111900</v>
      </c>
      <c r="B3837" s="202" t="s">
        <v>6782</v>
      </c>
      <c r="C3837" s="203" t="s">
        <v>5553</v>
      </c>
      <c r="D3837" s="204">
        <v>1</v>
      </c>
      <c r="E3837" s="204" t="s">
        <v>2013</v>
      </c>
      <c r="F3837" s="205">
        <v>0</v>
      </c>
    </row>
    <row r="3838" spans="1:6">
      <c r="A3838" s="210">
        <v>509100000</v>
      </c>
      <c r="B3838" s="202" t="s">
        <v>6783</v>
      </c>
      <c r="C3838" s="203" t="s">
        <v>2143</v>
      </c>
      <c r="D3838" s="204">
        <v>1</v>
      </c>
      <c r="E3838" s="204" t="s">
        <v>2013</v>
      </c>
      <c r="F3838" s="205">
        <v>2.8427728341616216E-4</v>
      </c>
    </row>
    <row r="3839" spans="1:6">
      <c r="A3839" s="210">
        <v>509111000</v>
      </c>
      <c r="B3839" s="202" t="s">
        <v>6784</v>
      </c>
      <c r="C3839" s="203" t="s">
        <v>2143</v>
      </c>
      <c r="D3839" s="204">
        <v>1</v>
      </c>
      <c r="E3839" s="204" t="s">
        <v>2013</v>
      </c>
      <c r="F3839" s="205">
        <v>2.8427728341616216E-4</v>
      </c>
    </row>
    <row r="3840" spans="1:6">
      <c r="A3840" s="210">
        <v>509111900</v>
      </c>
      <c r="B3840" s="202" t="s">
        <v>6785</v>
      </c>
      <c r="C3840" s="203" t="s">
        <v>5553</v>
      </c>
      <c r="D3840" s="204">
        <v>1</v>
      </c>
      <c r="E3840" s="204" t="s">
        <v>2013</v>
      </c>
      <c r="F3840" s="205">
        <v>0</v>
      </c>
    </row>
    <row r="3841" spans="1:6">
      <c r="A3841" s="210">
        <v>511100201</v>
      </c>
      <c r="B3841" s="202" t="s">
        <v>5377</v>
      </c>
      <c r="C3841" s="203" t="s">
        <v>2143</v>
      </c>
      <c r="D3841" s="204">
        <v>1</v>
      </c>
      <c r="E3841" s="204" t="s">
        <v>235</v>
      </c>
      <c r="F3841" s="205">
        <v>8.1444917319320898E-3</v>
      </c>
    </row>
    <row r="3842" spans="1:6">
      <c r="A3842" s="210">
        <v>511100203</v>
      </c>
      <c r="B3842" s="202" t="s">
        <v>5379</v>
      </c>
      <c r="C3842" s="203" t="s">
        <v>2143</v>
      </c>
      <c r="D3842" s="204">
        <v>1</v>
      </c>
      <c r="E3842" s="204" t="s">
        <v>235</v>
      </c>
      <c r="F3842" s="205">
        <v>1.6487571403118306E-2</v>
      </c>
    </row>
    <row r="3843" spans="1:6">
      <c r="A3843" s="210">
        <v>511100205</v>
      </c>
      <c r="B3843" s="202" t="s">
        <v>5381</v>
      </c>
      <c r="C3843" s="203" t="s">
        <v>2143</v>
      </c>
      <c r="D3843" s="204">
        <v>1</v>
      </c>
      <c r="E3843" s="204" t="s">
        <v>235</v>
      </c>
      <c r="F3843" s="205">
        <v>0.13272651276011418</v>
      </c>
    </row>
    <row r="3844" spans="1:6">
      <c r="A3844" s="210">
        <v>511100211</v>
      </c>
      <c r="B3844" s="202" t="s">
        <v>5383</v>
      </c>
      <c r="C3844" s="203" t="s">
        <v>2143</v>
      </c>
      <c r="D3844" s="204">
        <v>1</v>
      </c>
      <c r="E3844" s="204" t="s">
        <v>235</v>
      </c>
      <c r="F3844" s="205">
        <v>1.9510344068124203E-3</v>
      </c>
    </row>
    <row r="3845" spans="1:6">
      <c r="A3845" s="210">
        <v>511100212</v>
      </c>
      <c r="B3845" s="202" t="s">
        <v>5385</v>
      </c>
      <c r="C3845" s="203" t="s">
        <v>2143</v>
      </c>
      <c r="D3845" s="204">
        <v>1</v>
      </c>
      <c r="E3845" s="204" t="s">
        <v>235</v>
      </c>
      <c r="F3845" s="205">
        <v>5.0378924044361957E-2</v>
      </c>
    </row>
    <row r="3846" spans="1:6">
      <c r="A3846" s="210">
        <v>511100213</v>
      </c>
      <c r="B3846" s="202" t="s">
        <v>5387</v>
      </c>
      <c r="C3846" s="203" t="s">
        <v>2143</v>
      </c>
      <c r="D3846" s="204">
        <v>1</v>
      </c>
      <c r="E3846" s="204" t="s">
        <v>235</v>
      </c>
      <c r="F3846" s="205">
        <v>0.23208298329042892</v>
      </c>
    </row>
    <row r="3847" spans="1:6">
      <c r="A3847" s="210">
        <v>511100214</v>
      </c>
      <c r="B3847" s="202" t="s">
        <v>5389</v>
      </c>
      <c r="C3847" s="203" t="s">
        <v>2143</v>
      </c>
      <c r="D3847" s="204">
        <v>1</v>
      </c>
      <c r="E3847" s="204" t="s">
        <v>235</v>
      </c>
      <c r="F3847" s="205">
        <v>9.1272796957328636E-2</v>
      </c>
    </row>
    <row r="3848" spans="1:6">
      <c r="A3848" s="210">
        <v>511100900</v>
      </c>
      <c r="B3848" s="202" t="s">
        <v>6786</v>
      </c>
      <c r="C3848" s="203" t="s">
        <v>5553</v>
      </c>
      <c r="D3848" s="204">
        <v>1</v>
      </c>
      <c r="E3848" s="204" t="s">
        <v>235</v>
      </c>
      <c r="F3848" s="205">
        <v>0</v>
      </c>
    </row>
    <row r="3849" spans="1:6">
      <c r="A3849" s="210">
        <v>511100901</v>
      </c>
      <c r="B3849" s="202" t="s">
        <v>6787</v>
      </c>
      <c r="C3849" s="203" t="s">
        <v>5553</v>
      </c>
      <c r="D3849" s="204">
        <v>1</v>
      </c>
      <c r="E3849" s="204" t="s">
        <v>235</v>
      </c>
      <c r="F3849" s="205">
        <v>0</v>
      </c>
    </row>
    <row r="3850" spans="1:6">
      <c r="A3850" s="210">
        <v>511100902</v>
      </c>
      <c r="B3850" s="202" t="s">
        <v>6788</v>
      </c>
      <c r="C3850" s="203" t="s">
        <v>5553</v>
      </c>
      <c r="D3850" s="204">
        <v>1</v>
      </c>
      <c r="E3850" s="204" t="s">
        <v>235</v>
      </c>
      <c r="F3850" s="205">
        <v>0</v>
      </c>
    </row>
    <row r="3851" spans="1:6">
      <c r="A3851" s="210">
        <v>511100903</v>
      </c>
      <c r="B3851" s="202" t="s">
        <v>6789</v>
      </c>
      <c r="C3851" s="203" t="s">
        <v>5553</v>
      </c>
      <c r="D3851" s="204">
        <v>1</v>
      </c>
      <c r="E3851" s="204" t="s">
        <v>235</v>
      </c>
      <c r="F3851" s="205">
        <v>0</v>
      </c>
    </row>
    <row r="3852" spans="1:6">
      <c r="A3852" s="210">
        <v>511100904</v>
      </c>
      <c r="B3852" s="202" t="s">
        <v>6790</v>
      </c>
      <c r="C3852" s="203" t="s">
        <v>5553</v>
      </c>
      <c r="D3852" s="204">
        <v>1</v>
      </c>
      <c r="E3852" s="204" t="s">
        <v>235</v>
      </c>
      <c r="F3852" s="205">
        <v>0</v>
      </c>
    </row>
    <row r="3853" spans="1:6">
      <c r="A3853" s="210">
        <v>512100201</v>
      </c>
      <c r="B3853" s="202" t="s">
        <v>5391</v>
      </c>
      <c r="C3853" s="203" t="s">
        <v>2143</v>
      </c>
      <c r="D3853" s="204">
        <v>1</v>
      </c>
      <c r="E3853" s="204" t="s">
        <v>235</v>
      </c>
      <c r="F3853" s="205">
        <v>3.3711232892310795E-2</v>
      </c>
    </row>
    <row r="3854" spans="1:6">
      <c r="A3854" s="210">
        <v>512100202</v>
      </c>
      <c r="B3854" s="202" t="s">
        <v>5393</v>
      </c>
      <c r="C3854" s="203" t="s">
        <v>2143</v>
      </c>
      <c r="D3854" s="204">
        <v>1</v>
      </c>
      <c r="E3854" s="204" t="s">
        <v>235</v>
      </c>
      <c r="F3854" s="205">
        <v>1.1403035881902843</v>
      </c>
    </row>
    <row r="3855" spans="1:6">
      <c r="A3855" s="210">
        <v>512100203</v>
      </c>
      <c r="B3855" s="202" t="s">
        <v>5395</v>
      </c>
      <c r="C3855" s="203" t="s">
        <v>2143</v>
      </c>
      <c r="D3855" s="204">
        <v>1</v>
      </c>
      <c r="E3855" s="204" t="s">
        <v>235</v>
      </c>
      <c r="F3855" s="205">
        <v>0.59885688499556</v>
      </c>
    </row>
    <row r="3856" spans="1:6">
      <c r="A3856" s="210">
        <v>512100204</v>
      </c>
      <c r="B3856" s="202" t="s">
        <v>5397</v>
      </c>
      <c r="C3856" s="203" t="s">
        <v>2143</v>
      </c>
      <c r="D3856" s="204">
        <v>1</v>
      </c>
      <c r="E3856" s="204" t="s">
        <v>235</v>
      </c>
      <c r="F3856" s="205">
        <v>6.8692756010317688E-3</v>
      </c>
    </row>
    <row r="3857" spans="1:6">
      <c r="A3857" s="210">
        <v>512100205</v>
      </c>
      <c r="B3857" s="202" t="s">
        <v>5399</v>
      </c>
      <c r="C3857" s="203" t="s">
        <v>2143</v>
      </c>
      <c r="D3857" s="204">
        <v>1</v>
      </c>
      <c r="E3857" s="204" t="s">
        <v>235</v>
      </c>
      <c r="F3857" s="205">
        <v>9.6355565814850025E-2</v>
      </c>
    </row>
    <row r="3858" spans="1:6">
      <c r="A3858" s="210">
        <v>512100206</v>
      </c>
      <c r="B3858" s="202" t="s">
        <v>5401</v>
      </c>
      <c r="C3858" s="203" t="s">
        <v>2143</v>
      </c>
      <c r="D3858" s="204">
        <v>1</v>
      </c>
      <c r="E3858" s="204" t="s">
        <v>235</v>
      </c>
      <c r="F3858" s="205">
        <v>1.1166950878473513E-2</v>
      </c>
    </row>
    <row r="3859" spans="1:6">
      <c r="A3859" s="210">
        <v>512100207</v>
      </c>
      <c r="B3859" s="202" t="s">
        <v>5403</v>
      </c>
      <c r="C3859" s="203" t="s">
        <v>2143</v>
      </c>
      <c r="D3859" s="204">
        <v>1</v>
      </c>
      <c r="E3859" s="204" t="s">
        <v>235</v>
      </c>
      <c r="F3859" s="205">
        <v>6.0099591857852595E-2</v>
      </c>
    </row>
    <row r="3860" spans="1:6">
      <c r="A3860" s="210">
        <v>512100900</v>
      </c>
      <c r="B3860" s="202" t="s">
        <v>6791</v>
      </c>
      <c r="C3860" s="203" t="s">
        <v>5553</v>
      </c>
      <c r="D3860" s="204">
        <v>1</v>
      </c>
      <c r="E3860" s="204" t="s">
        <v>235</v>
      </c>
      <c r="F3860" s="205">
        <v>0</v>
      </c>
    </row>
    <row r="3861" spans="1:6">
      <c r="A3861" s="210">
        <v>512100903</v>
      </c>
      <c r="B3861" s="202" t="s">
        <v>6792</v>
      </c>
      <c r="C3861" s="203" t="s">
        <v>5553</v>
      </c>
      <c r="D3861" s="204">
        <v>1</v>
      </c>
      <c r="E3861" s="204" t="s">
        <v>235</v>
      </c>
      <c r="F3861" s="205">
        <v>0</v>
      </c>
    </row>
    <row r="3862" spans="1:6">
      <c r="A3862" s="210">
        <v>513100202</v>
      </c>
      <c r="B3862" s="202" t="s">
        <v>5405</v>
      </c>
      <c r="C3862" s="203" t="s">
        <v>2143</v>
      </c>
      <c r="D3862" s="204">
        <v>1</v>
      </c>
      <c r="E3862" s="204" t="s">
        <v>235</v>
      </c>
      <c r="F3862" s="205">
        <v>3.0809936454746969E-2</v>
      </c>
    </row>
    <row r="3863" spans="1:6">
      <c r="A3863" s="210">
        <v>513100900</v>
      </c>
      <c r="B3863" s="202" t="s">
        <v>6793</v>
      </c>
      <c r="C3863" s="203" t="s">
        <v>5553</v>
      </c>
      <c r="D3863" s="204">
        <v>1</v>
      </c>
      <c r="E3863" s="204" t="s">
        <v>235</v>
      </c>
      <c r="F3863" s="205">
        <v>0</v>
      </c>
    </row>
    <row r="3864" spans="1:6">
      <c r="A3864" s="210">
        <v>513100901</v>
      </c>
      <c r="B3864" s="202" t="s">
        <v>6794</v>
      </c>
      <c r="C3864" s="203" t="s">
        <v>5553</v>
      </c>
      <c r="D3864" s="204">
        <v>1</v>
      </c>
      <c r="E3864" s="204" t="s">
        <v>235</v>
      </c>
      <c r="F3864" s="205">
        <v>0</v>
      </c>
    </row>
    <row r="3865" spans="1:6">
      <c r="A3865" s="210">
        <v>519100202</v>
      </c>
      <c r="B3865" s="202" t="s">
        <v>5407</v>
      </c>
      <c r="C3865" s="203" t="s">
        <v>2143</v>
      </c>
      <c r="D3865" s="204">
        <v>1</v>
      </c>
      <c r="E3865" s="204" t="s">
        <v>235</v>
      </c>
      <c r="F3865" s="205">
        <v>0.1368272158466674</v>
      </c>
    </row>
    <row r="3866" spans="1:6">
      <c r="A3866" s="210">
        <v>519100203</v>
      </c>
      <c r="B3866" s="202" t="s">
        <v>5409</v>
      </c>
      <c r="C3866" s="203" t="s">
        <v>2143</v>
      </c>
      <c r="D3866" s="204">
        <v>1</v>
      </c>
      <c r="E3866" s="204" t="s">
        <v>235</v>
      </c>
      <c r="F3866" s="205">
        <v>0.26491737655374814</v>
      </c>
    </row>
    <row r="3867" spans="1:6">
      <c r="A3867" s="210">
        <v>519100204</v>
      </c>
      <c r="B3867" s="202" t="s">
        <v>5411</v>
      </c>
      <c r="C3867" s="203" t="s">
        <v>2143</v>
      </c>
      <c r="D3867" s="204">
        <v>1</v>
      </c>
      <c r="E3867" s="204" t="s">
        <v>235</v>
      </c>
      <c r="F3867" s="205">
        <v>0.38748800315845217</v>
      </c>
    </row>
    <row r="3868" spans="1:6">
      <c r="A3868" s="210">
        <v>519100605</v>
      </c>
      <c r="B3868" s="202" t="s">
        <v>6795</v>
      </c>
      <c r="C3868" s="203" t="s">
        <v>5553</v>
      </c>
      <c r="D3868" s="204">
        <v>1</v>
      </c>
      <c r="E3868" s="204" t="s">
        <v>235</v>
      </c>
      <c r="F3868" s="205">
        <v>0</v>
      </c>
    </row>
    <row r="3869" spans="1:6">
      <c r="A3869" s="210">
        <v>519100801</v>
      </c>
      <c r="B3869" s="202" t="s">
        <v>5413</v>
      </c>
      <c r="C3869" s="203" t="s">
        <v>2143</v>
      </c>
      <c r="D3869" s="204">
        <v>1</v>
      </c>
      <c r="E3869" s="204" t="s">
        <v>279</v>
      </c>
      <c r="F3869" s="205">
        <v>5.2144879053173554E-2</v>
      </c>
    </row>
    <row r="3870" spans="1:6">
      <c r="A3870" s="210">
        <v>519100802</v>
      </c>
      <c r="B3870" s="202" t="s">
        <v>5415</v>
      </c>
      <c r="C3870" s="203" t="s">
        <v>2143</v>
      </c>
      <c r="D3870" s="204">
        <v>1</v>
      </c>
      <c r="E3870" s="204" t="s">
        <v>279</v>
      </c>
      <c r="F3870" s="205">
        <v>8.7030723690986633E-2</v>
      </c>
    </row>
    <row r="3871" spans="1:6">
      <c r="A3871" s="210">
        <v>519100803</v>
      </c>
      <c r="B3871" s="202" t="s">
        <v>5417</v>
      </c>
      <c r="C3871" s="203" t="s">
        <v>2143</v>
      </c>
      <c r="D3871" s="204">
        <v>1</v>
      </c>
      <c r="E3871" s="204" t="s">
        <v>279</v>
      </c>
      <c r="F3871" s="205">
        <v>4.2222220450639725E-2</v>
      </c>
    </row>
    <row r="3872" spans="1:6">
      <c r="A3872" s="210">
        <v>519100902</v>
      </c>
      <c r="B3872" s="202" t="s">
        <v>6796</v>
      </c>
      <c r="C3872" s="203" t="s">
        <v>5553</v>
      </c>
      <c r="D3872" s="204">
        <v>1</v>
      </c>
      <c r="E3872" s="204" t="s">
        <v>235</v>
      </c>
      <c r="F3872" s="205">
        <v>0</v>
      </c>
    </row>
    <row r="3873" spans="1:6">
      <c r="A3873" s="210">
        <v>519100905</v>
      </c>
      <c r="B3873" s="202" t="s">
        <v>6797</v>
      </c>
      <c r="C3873" s="203" t="s">
        <v>5553</v>
      </c>
      <c r="D3873" s="204">
        <v>1</v>
      </c>
      <c r="E3873" s="204" t="s">
        <v>235</v>
      </c>
      <c r="F3873" s="205">
        <v>0</v>
      </c>
    </row>
    <row r="3874" spans="1:6">
      <c r="A3874" s="210">
        <v>851000902</v>
      </c>
      <c r="B3874" s="202" t="s">
        <v>6798</v>
      </c>
      <c r="C3874" s="203" t="s">
        <v>5553</v>
      </c>
      <c r="D3874" s="204">
        <v>1</v>
      </c>
      <c r="E3874" s="204" t="s">
        <v>235</v>
      </c>
      <c r="F3874" s="205">
        <v>0</v>
      </c>
    </row>
    <row r="3875" spans="1:6">
      <c r="A3875" s="210">
        <v>851100000</v>
      </c>
      <c r="B3875" s="202" t="s">
        <v>6799</v>
      </c>
      <c r="C3875" s="203" t="s">
        <v>2143</v>
      </c>
      <c r="D3875" s="204">
        <v>1</v>
      </c>
      <c r="E3875" s="204" t="s">
        <v>400</v>
      </c>
      <c r="F3875" s="205">
        <v>4.7372509587353881E-3</v>
      </c>
    </row>
    <row r="3876" spans="1:6">
      <c r="A3876" s="210">
        <v>851111000</v>
      </c>
      <c r="B3876" s="202" t="s">
        <v>6800</v>
      </c>
      <c r="C3876" s="203" t="s">
        <v>2143</v>
      </c>
      <c r="D3876" s="204">
        <v>1</v>
      </c>
      <c r="E3876" s="204" t="s">
        <v>400</v>
      </c>
      <c r="F3876" s="205">
        <v>4.7372509587353881E-3</v>
      </c>
    </row>
    <row r="3877" spans="1:6">
      <c r="A3877" s="210">
        <v>851200000</v>
      </c>
      <c r="B3877" s="202" t="s">
        <v>6801</v>
      </c>
      <c r="C3877" s="203" t="s">
        <v>2143</v>
      </c>
      <c r="D3877" s="204">
        <v>1</v>
      </c>
      <c r="E3877" s="204" t="s">
        <v>400</v>
      </c>
      <c r="F3877" s="205">
        <v>5.1096461022086245E-2</v>
      </c>
    </row>
    <row r="3878" spans="1:6">
      <c r="A3878" s="210">
        <v>851211000</v>
      </c>
      <c r="B3878" s="202" t="s">
        <v>6802</v>
      </c>
      <c r="C3878" s="203" t="s">
        <v>2143</v>
      </c>
      <c r="D3878" s="204">
        <v>1</v>
      </c>
      <c r="E3878" s="204" t="s">
        <v>400</v>
      </c>
      <c r="F3878" s="205">
        <v>5.1096461022086245E-2</v>
      </c>
    </row>
    <row r="3879" spans="1:6">
      <c r="A3879" s="210">
        <v>851500000</v>
      </c>
      <c r="B3879" s="202" t="s">
        <v>6803</v>
      </c>
      <c r="C3879" s="203" t="s">
        <v>2143</v>
      </c>
      <c r="D3879" s="204">
        <v>1</v>
      </c>
      <c r="E3879" s="204" t="s">
        <v>235</v>
      </c>
      <c r="F3879" s="205">
        <v>9.3575336195618336E-3</v>
      </c>
    </row>
    <row r="3880" spans="1:6">
      <c r="A3880" s="210">
        <v>851511000</v>
      </c>
      <c r="B3880" s="202" t="s">
        <v>6804</v>
      </c>
      <c r="C3880" s="203" t="s">
        <v>2143</v>
      </c>
      <c r="D3880" s="204">
        <v>1</v>
      </c>
      <c r="E3880" s="204" t="s">
        <v>235</v>
      </c>
      <c r="F3880" s="205">
        <v>9.3575336195618336E-3</v>
      </c>
    </row>
    <row r="3881" spans="1:6">
      <c r="A3881" s="210">
        <v>851600000</v>
      </c>
      <c r="B3881" s="202" t="s">
        <v>6805</v>
      </c>
      <c r="C3881" s="203" t="s">
        <v>2143</v>
      </c>
      <c r="D3881" s="204">
        <v>1</v>
      </c>
      <c r="E3881" s="204" t="s">
        <v>235</v>
      </c>
      <c r="F3881" s="205">
        <v>1.26593200811588</v>
      </c>
    </row>
    <row r="3882" spans="1:6">
      <c r="A3882" s="210">
        <v>851611000</v>
      </c>
      <c r="B3882" s="202" t="s">
        <v>6806</v>
      </c>
      <c r="C3882" s="203" t="s">
        <v>2143</v>
      </c>
      <c r="D3882" s="204">
        <v>1</v>
      </c>
      <c r="E3882" s="204" t="s">
        <v>235</v>
      </c>
      <c r="F3882" s="205">
        <v>1.1018245525982593</v>
      </c>
    </row>
    <row r="3883" spans="1:6">
      <c r="A3883" s="210">
        <v>851611200</v>
      </c>
      <c r="B3883" s="202" t="s">
        <v>6807</v>
      </c>
      <c r="C3883" s="203" t="s">
        <v>2143</v>
      </c>
      <c r="D3883" s="204">
        <v>1</v>
      </c>
      <c r="E3883" s="204" t="s">
        <v>235</v>
      </c>
      <c r="F3883" s="205">
        <v>4.9024568067039691E-2</v>
      </c>
    </row>
    <row r="3884" spans="1:6">
      <c r="A3884" s="210">
        <v>851611201</v>
      </c>
      <c r="B3884" s="202" t="s">
        <v>6808</v>
      </c>
      <c r="C3884" s="203" t="s">
        <v>2143</v>
      </c>
      <c r="D3884" s="204">
        <v>1</v>
      </c>
      <c r="E3884" s="204" t="s">
        <v>235</v>
      </c>
      <c r="F3884" s="205">
        <v>3.7890148211379975E-2</v>
      </c>
    </row>
    <row r="3885" spans="1:6">
      <c r="A3885" s="210">
        <v>851611202</v>
      </c>
      <c r="B3885" s="202" t="s">
        <v>6809</v>
      </c>
      <c r="C3885" s="203" t="s">
        <v>2143</v>
      </c>
      <c r="D3885" s="204">
        <v>1</v>
      </c>
      <c r="E3885" s="204" t="s">
        <v>235</v>
      </c>
      <c r="F3885" s="205">
        <v>2.5690246439339517</v>
      </c>
    </row>
    <row r="3886" spans="1:6">
      <c r="A3886" s="210">
        <v>851611203</v>
      </c>
      <c r="B3886" s="202" t="s">
        <v>6810</v>
      </c>
      <c r="C3886" s="203" t="s">
        <v>2143</v>
      </c>
      <c r="D3886" s="204">
        <v>1</v>
      </c>
      <c r="E3886" s="204" t="s">
        <v>235</v>
      </c>
      <c r="F3886" s="205">
        <v>2.8490245855213998</v>
      </c>
    </row>
    <row r="3887" spans="1:6">
      <c r="A3887" s="210">
        <v>851611204</v>
      </c>
      <c r="B3887" s="202" t="s">
        <v>6811</v>
      </c>
      <c r="C3887" s="203" t="s">
        <v>2143</v>
      </c>
      <c r="D3887" s="204">
        <v>1</v>
      </c>
      <c r="E3887" s="204" t="s">
        <v>235</v>
      </c>
      <c r="F3887" s="205">
        <v>2.7930244720341562</v>
      </c>
    </row>
    <row r="3888" spans="1:6">
      <c r="A3888" s="210">
        <v>851611205</v>
      </c>
      <c r="B3888" s="202" t="s">
        <v>6812</v>
      </c>
      <c r="C3888" s="203" t="s">
        <v>2143</v>
      </c>
      <c r="D3888" s="204">
        <v>1</v>
      </c>
      <c r="E3888" s="204" t="s">
        <v>235</v>
      </c>
      <c r="F3888" s="205">
        <v>2.5410245871903299</v>
      </c>
    </row>
    <row r="3889" spans="1:6">
      <c r="A3889" s="210">
        <v>851612000</v>
      </c>
      <c r="B3889" s="202" t="s">
        <v>5419</v>
      </c>
      <c r="C3889" s="203" t="s">
        <v>2143</v>
      </c>
      <c r="D3889" s="204">
        <v>1</v>
      </c>
      <c r="E3889" s="204" t="s">
        <v>235</v>
      </c>
      <c r="F3889" s="205">
        <v>1.2884496738357234</v>
      </c>
    </row>
    <row r="3890" spans="1:6">
      <c r="A3890" s="210">
        <v>851612200</v>
      </c>
      <c r="B3890" s="202" t="s">
        <v>6813</v>
      </c>
      <c r="C3890" s="203" t="s">
        <v>2143</v>
      </c>
      <c r="D3890" s="204">
        <v>1</v>
      </c>
      <c r="E3890" s="204" t="s">
        <v>235</v>
      </c>
      <c r="F3890" s="205">
        <v>2.8483861135755881E-2</v>
      </c>
    </row>
    <row r="3891" spans="1:6">
      <c r="A3891" s="210">
        <v>851612201</v>
      </c>
      <c r="B3891" s="202" t="s">
        <v>6814</v>
      </c>
      <c r="C3891" s="203" t="s">
        <v>2143</v>
      </c>
      <c r="D3891" s="204">
        <v>1</v>
      </c>
      <c r="E3891" s="204" t="s">
        <v>235</v>
      </c>
      <c r="F3891" s="205">
        <v>2.9731757216196089</v>
      </c>
    </row>
    <row r="3892" spans="1:6">
      <c r="A3892" s="210">
        <v>851612202</v>
      </c>
      <c r="B3892" s="202" t="s">
        <v>6815</v>
      </c>
      <c r="C3892" s="203" t="s">
        <v>2143</v>
      </c>
      <c r="D3892" s="204">
        <v>1</v>
      </c>
      <c r="E3892" s="204" t="s">
        <v>235</v>
      </c>
      <c r="F3892" s="205">
        <v>1.9102691370269786</v>
      </c>
    </row>
    <row r="3893" spans="1:6">
      <c r="A3893" s="210">
        <v>851612203</v>
      </c>
      <c r="B3893" s="202" t="s">
        <v>6816</v>
      </c>
      <c r="C3893" s="203" t="s">
        <v>2143</v>
      </c>
      <c r="D3893" s="204">
        <v>1</v>
      </c>
      <c r="E3893" s="204" t="s">
        <v>235</v>
      </c>
      <c r="F3893" s="205">
        <v>2.3999400844970871</v>
      </c>
    </row>
    <row r="3894" spans="1:6">
      <c r="A3894" s="210">
        <v>851612204</v>
      </c>
      <c r="B3894" s="202" t="s">
        <v>6817</v>
      </c>
      <c r="C3894" s="203" t="s">
        <v>2143</v>
      </c>
      <c r="D3894" s="204">
        <v>1</v>
      </c>
      <c r="E3894" s="204" t="s">
        <v>235</v>
      </c>
      <c r="F3894" s="205">
        <v>2.7188625603266043</v>
      </c>
    </row>
    <row r="3895" spans="1:6">
      <c r="A3895" s="210">
        <v>851612205</v>
      </c>
      <c r="B3895" s="202" t="s">
        <v>6818</v>
      </c>
      <c r="C3895" s="203" t="s">
        <v>2143</v>
      </c>
      <c r="D3895" s="204">
        <v>1</v>
      </c>
      <c r="E3895" s="204" t="s">
        <v>235</v>
      </c>
      <c r="F3895" s="205">
        <v>9.930308098112562E-3</v>
      </c>
    </row>
    <row r="3896" spans="1:6">
      <c r="A3896" s="210">
        <v>851612206</v>
      </c>
      <c r="B3896" s="202" t="s">
        <v>6819</v>
      </c>
      <c r="C3896" s="203" t="s">
        <v>2143</v>
      </c>
      <c r="D3896" s="204">
        <v>1</v>
      </c>
      <c r="E3896" s="204" t="s">
        <v>235</v>
      </c>
      <c r="F3896" s="205">
        <v>0.94036284738623765</v>
      </c>
    </row>
    <row r="3897" spans="1:6">
      <c r="A3897" s="210">
        <v>851612207</v>
      </c>
      <c r="B3897" s="202" t="s">
        <v>6820</v>
      </c>
      <c r="C3897" s="203" t="s">
        <v>2143</v>
      </c>
      <c r="D3897" s="204">
        <v>1</v>
      </c>
      <c r="E3897" s="204" t="s">
        <v>235</v>
      </c>
      <c r="F3897" s="205">
        <v>0.89006475708680544</v>
      </c>
    </row>
    <row r="3898" spans="1:6">
      <c r="A3898" s="210">
        <v>851612208</v>
      </c>
      <c r="B3898" s="202" t="s">
        <v>6821</v>
      </c>
      <c r="C3898" s="203" t="s">
        <v>2143</v>
      </c>
      <c r="D3898" s="204">
        <v>1</v>
      </c>
      <c r="E3898" s="204" t="s">
        <v>235</v>
      </c>
      <c r="F3898" s="205">
        <v>0.86673000727140448</v>
      </c>
    </row>
    <row r="3899" spans="1:6">
      <c r="A3899" s="210">
        <v>851612209</v>
      </c>
      <c r="B3899" s="202" t="s">
        <v>6822</v>
      </c>
      <c r="C3899" s="203" t="s">
        <v>2143</v>
      </c>
      <c r="D3899" s="204">
        <v>1</v>
      </c>
      <c r="E3899" s="204" t="s">
        <v>235</v>
      </c>
      <c r="F3899" s="205">
        <v>0.68753877873691616</v>
      </c>
    </row>
    <row r="3900" spans="1:6">
      <c r="A3900" s="210">
        <v>851612210</v>
      </c>
      <c r="B3900" s="202" t="s">
        <v>6823</v>
      </c>
      <c r="C3900" s="203" t="s">
        <v>2143</v>
      </c>
      <c r="D3900" s="204">
        <v>1</v>
      </c>
      <c r="E3900" s="204" t="s">
        <v>235</v>
      </c>
      <c r="F3900" s="205">
        <v>1.0859392005209594</v>
      </c>
    </row>
    <row r="3901" spans="1:6">
      <c r="A3901" s="210">
        <v>851800000</v>
      </c>
      <c r="B3901" s="202" t="s">
        <v>5421</v>
      </c>
      <c r="C3901" s="203" t="s">
        <v>2143</v>
      </c>
      <c r="D3901" s="204">
        <v>1</v>
      </c>
      <c r="E3901" s="204" t="s">
        <v>278</v>
      </c>
      <c r="F3901" s="205">
        <v>0.5215403491732874</v>
      </c>
    </row>
    <row r="3902" spans="1:6">
      <c r="A3902" s="210">
        <v>851811000</v>
      </c>
      <c r="B3902" s="202" t="s">
        <v>1977</v>
      </c>
      <c r="C3902" s="203" t="s">
        <v>2143</v>
      </c>
      <c r="D3902" s="204">
        <v>1</v>
      </c>
      <c r="E3902" s="204" t="s">
        <v>278</v>
      </c>
      <c r="F3902" s="205">
        <v>0.5215403491732874</v>
      </c>
    </row>
    <row r="3903" spans="1:6">
      <c r="A3903" s="210">
        <v>852000600</v>
      </c>
      <c r="B3903" s="202" t="s">
        <v>6824</v>
      </c>
      <c r="C3903" s="203" t="s">
        <v>5553</v>
      </c>
      <c r="D3903" s="204">
        <v>1</v>
      </c>
      <c r="E3903" s="204" t="s">
        <v>235</v>
      </c>
      <c r="F3903" s="205">
        <v>0</v>
      </c>
    </row>
    <row r="3904" spans="1:6">
      <c r="A3904" s="210">
        <v>852000601</v>
      </c>
      <c r="B3904" s="202" t="s">
        <v>6825</v>
      </c>
      <c r="C3904" s="203" t="s">
        <v>5553</v>
      </c>
      <c r="D3904" s="204">
        <v>1</v>
      </c>
      <c r="E3904" s="204" t="s">
        <v>235</v>
      </c>
      <c r="F3904" s="205">
        <v>0</v>
      </c>
    </row>
    <row r="3905" spans="1:6">
      <c r="A3905" s="210">
        <v>852000602</v>
      </c>
      <c r="B3905" s="202" t="s">
        <v>6826</v>
      </c>
      <c r="C3905" s="203" t="s">
        <v>5553</v>
      </c>
      <c r="D3905" s="204">
        <v>1</v>
      </c>
      <c r="E3905" s="204" t="s">
        <v>235</v>
      </c>
      <c r="F3905" s="205">
        <v>0</v>
      </c>
    </row>
    <row r="3906" spans="1:6">
      <c r="A3906" s="210">
        <v>852000603</v>
      </c>
      <c r="B3906" s="202" t="s">
        <v>6827</v>
      </c>
      <c r="C3906" s="203" t="s">
        <v>5553</v>
      </c>
      <c r="D3906" s="204">
        <v>1</v>
      </c>
      <c r="E3906" s="204" t="s">
        <v>235</v>
      </c>
      <c r="F3906" s="205">
        <v>0</v>
      </c>
    </row>
    <row r="3907" spans="1:6">
      <c r="A3907" s="210">
        <v>852000604</v>
      </c>
      <c r="B3907" s="202" t="s">
        <v>6828</v>
      </c>
      <c r="C3907" s="203" t="s">
        <v>5553</v>
      </c>
      <c r="D3907" s="204">
        <v>1</v>
      </c>
      <c r="E3907" s="204" t="s">
        <v>235</v>
      </c>
      <c r="F3907" s="205">
        <v>0</v>
      </c>
    </row>
    <row r="3908" spans="1:6">
      <c r="A3908" s="210">
        <v>852000605</v>
      </c>
      <c r="B3908" s="202" t="s">
        <v>6829</v>
      </c>
      <c r="C3908" s="203" t="s">
        <v>5553</v>
      </c>
      <c r="D3908" s="204">
        <v>1</v>
      </c>
      <c r="E3908" s="204" t="s">
        <v>235</v>
      </c>
      <c r="F3908" s="205">
        <v>0</v>
      </c>
    </row>
    <row r="3909" spans="1:6">
      <c r="A3909" s="210">
        <v>852000606</v>
      </c>
      <c r="B3909" s="202" t="s">
        <v>6830</v>
      </c>
      <c r="C3909" s="203" t="s">
        <v>5553</v>
      </c>
      <c r="D3909" s="204">
        <v>1</v>
      </c>
      <c r="E3909" s="204" t="s">
        <v>235</v>
      </c>
      <c r="F3909" s="205">
        <v>0</v>
      </c>
    </row>
    <row r="3910" spans="1:6">
      <c r="A3910" s="210">
        <v>852000607</v>
      </c>
      <c r="B3910" s="202" t="s">
        <v>6831</v>
      </c>
      <c r="C3910" s="203" t="s">
        <v>5553</v>
      </c>
      <c r="D3910" s="204">
        <v>1</v>
      </c>
      <c r="E3910" s="204" t="s">
        <v>235</v>
      </c>
      <c r="F3910" s="205">
        <v>0</v>
      </c>
    </row>
    <row r="3911" spans="1:6">
      <c r="A3911" s="210">
        <v>852000609</v>
      </c>
      <c r="B3911" s="202" t="s">
        <v>6832</v>
      </c>
      <c r="C3911" s="203" t="s">
        <v>5553</v>
      </c>
      <c r="D3911" s="204">
        <v>1</v>
      </c>
      <c r="E3911" s="204" t="s">
        <v>235</v>
      </c>
      <c r="F3911" s="205">
        <v>0</v>
      </c>
    </row>
    <row r="3912" spans="1:6">
      <c r="A3912" s="210">
        <v>852000610</v>
      </c>
      <c r="B3912" s="202" t="s">
        <v>6833</v>
      </c>
      <c r="C3912" s="203" t="s">
        <v>5553</v>
      </c>
      <c r="D3912" s="204">
        <v>1</v>
      </c>
      <c r="E3912" s="204" t="s">
        <v>235</v>
      </c>
      <c r="F3912" s="205">
        <v>0</v>
      </c>
    </row>
    <row r="3913" spans="1:6">
      <c r="A3913" s="210">
        <v>852000612</v>
      </c>
      <c r="B3913" s="202" t="s">
        <v>6834</v>
      </c>
      <c r="C3913" s="203" t="s">
        <v>5553</v>
      </c>
      <c r="D3913" s="204">
        <v>1</v>
      </c>
      <c r="E3913" s="204" t="s">
        <v>235</v>
      </c>
      <c r="F3913" s="205">
        <v>0</v>
      </c>
    </row>
    <row r="3914" spans="1:6">
      <c r="A3914" s="210">
        <v>852000614</v>
      </c>
      <c r="B3914" s="202" t="s">
        <v>6835</v>
      </c>
      <c r="C3914" s="203" t="s">
        <v>5553</v>
      </c>
      <c r="D3914" s="204">
        <v>1</v>
      </c>
      <c r="E3914" s="204" t="s">
        <v>235</v>
      </c>
      <c r="F3914" s="205">
        <v>0</v>
      </c>
    </row>
    <row r="3915" spans="1:6">
      <c r="A3915" s="210">
        <v>852000615</v>
      </c>
      <c r="B3915" s="202" t="s">
        <v>6836</v>
      </c>
      <c r="C3915" s="203" t="s">
        <v>5553</v>
      </c>
      <c r="D3915" s="204">
        <v>1</v>
      </c>
      <c r="E3915" s="204" t="s">
        <v>235</v>
      </c>
      <c r="F3915" s="205">
        <v>0</v>
      </c>
    </row>
    <row r="3916" spans="1:6">
      <c r="A3916" s="210">
        <v>852000616</v>
      </c>
      <c r="B3916" s="202" t="s">
        <v>6837</v>
      </c>
      <c r="C3916" s="203" t="s">
        <v>5553</v>
      </c>
      <c r="D3916" s="204">
        <v>1</v>
      </c>
      <c r="E3916" s="204" t="s">
        <v>235</v>
      </c>
      <c r="F3916" s="205">
        <v>0</v>
      </c>
    </row>
    <row r="3917" spans="1:6">
      <c r="A3917" s="210">
        <v>852000618</v>
      </c>
      <c r="B3917" s="202" t="s">
        <v>6838</v>
      </c>
      <c r="C3917" s="203" t="s">
        <v>5553</v>
      </c>
      <c r="D3917" s="204">
        <v>1</v>
      </c>
      <c r="E3917" s="204" t="s">
        <v>235</v>
      </c>
      <c r="F3917" s="205">
        <v>0</v>
      </c>
    </row>
    <row r="3918" spans="1:6">
      <c r="A3918" s="210">
        <v>852000619</v>
      </c>
      <c r="B3918" s="202" t="s">
        <v>6839</v>
      </c>
      <c r="C3918" s="203" t="s">
        <v>5553</v>
      </c>
      <c r="D3918" s="204">
        <v>1</v>
      </c>
      <c r="E3918" s="204" t="s">
        <v>235</v>
      </c>
      <c r="F3918" s="205">
        <v>0</v>
      </c>
    </row>
    <row r="3919" spans="1:6">
      <c r="A3919" s="210">
        <v>852000620</v>
      </c>
      <c r="B3919" s="202" t="s">
        <v>6840</v>
      </c>
      <c r="C3919" s="203" t="s">
        <v>5553</v>
      </c>
      <c r="D3919" s="204">
        <v>1</v>
      </c>
      <c r="E3919" s="204" t="s">
        <v>235</v>
      </c>
      <c r="F3919" s="205">
        <v>0</v>
      </c>
    </row>
    <row r="3920" spans="1:6">
      <c r="A3920" s="210">
        <v>852000631</v>
      </c>
      <c r="B3920" s="202" t="s">
        <v>6841</v>
      </c>
      <c r="C3920" s="203" t="s">
        <v>5553</v>
      </c>
      <c r="D3920" s="204">
        <v>1</v>
      </c>
      <c r="E3920" s="204" t="s">
        <v>278</v>
      </c>
      <c r="F3920" s="205">
        <v>0</v>
      </c>
    </row>
    <row r="3921" spans="1:6">
      <c r="A3921" s="210">
        <v>852000641</v>
      </c>
      <c r="B3921" s="202" t="s">
        <v>6842</v>
      </c>
      <c r="C3921" s="203" t="s">
        <v>5553</v>
      </c>
      <c r="D3921" s="204">
        <v>1</v>
      </c>
      <c r="E3921" s="204" t="s">
        <v>235</v>
      </c>
      <c r="F3921" s="205">
        <v>0</v>
      </c>
    </row>
    <row r="3922" spans="1:6">
      <c r="A3922" s="210">
        <v>852000642</v>
      </c>
      <c r="B3922" s="202" t="s">
        <v>6843</v>
      </c>
      <c r="C3922" s="203" t="s">
        <v>5553</v>
      </c>
      <c r="D3922" s="204">
        <v>1</v>
      </c>
      <c r="E3922" s="204" t="s">
        <v>235</v>
      </c>
      <c r="F3922" s="205">
        <v>0</v>
      </c>
    </row>
    <row r="3923" spans="1:6">
      <c r="A3923" s="210">
        <v>852000643</v>
      </c>
      <c r="B3923" s="202" t="s">
        <v>6844</v>
      </c>
      <c r="C3923" s="203" t="s">
        <v>5553</v>
      </c>
      <c r="D3923" s="204">
        <v>1</v>
      </c>
      <c r="E3923" s="204" t="s">
        <v>235</v>
      </c>
      <c r="F3923" s="205">
        <v>0</v>
      </c>
    </row>
    <row r="3924" spans="1:6">
      <c r="A3924" s="210">
        <v>852000644</v>
      </c>
      <c r="B3924" s="202" t="s">
        <v>6845</v>
      </c>
      <c r="C3924" s="203" t="s">
        <v>5553</v>
      </c>
      <c r="D3924" s="204">
        <v>1</v>
      </c>
      <c r="E3924" s="204" t="s">
        <v>235</v>
      </c>
      <c r="F3924" s="205">
        <v>0</v>
      </c>
    </row>
    <row r="3925" spans="1:6">
      <c r="A3925" s="210">
        <v>852000645</v>
      </c>
      <c r="B3925" s="202" t="s">
        <v>6846</v>
      </c>
      <c r="C3925" s="203" t="s">
        <v>5553</v>
      </c>
      <c r="D3925" s="204">
        <v>1</v>
      </c>
      <c r="E3925" s="204" t="s">
        <v>235</v>
      </c>
      <c r="F3925" s="205">
        <v>0</v>
      </c>
    </row>
    <row r="3926" spans="1:6">
      <c r="A3926" s="210">
        <v>852000646</v>
      </c>
      <c r="B3926" s="202" t="s">
        <v>6847</v>
      </c>
      <c r="C3926" s="203" t="s">
        <v>5553</v>
      </c>
      <c r="D3926" s="204">
        <v>1</v>
      </c>
      <c r="E3926" s="204" t="s">
        <v>235</v>
      </c>
      <c r="F3926" s="205">
        <v>0</v>
      </c>
    </row>
    <row r="3927" spans="1:6">
      <c r="A3927" s="210">
        <v>852000647</v>
      </c>
      <c r="B3927" s="202" t="s">
        <v>6848</v>
      </c>
      <c r="C3927" s="203" t="s">
        <v>5553</v>
      </c>
      <c r="D3927" s="204">
        <v>1</v>
      </c>
      <c r="E3927" s="204" t="s">
        <v>235</v>
      </c>
      <c r="F3927" s="205">
        <v>0</v>
      </c>
    </row>
    <row r="3928" spans="1:6">
      <c r="A3928" s="210">
        <v>852000648</v>
      </c>
      <c r="B3928" s="202" t="s">
        <v>6849</v>
      </c>
      <c r="C3928" s="203" t="s">
        <v>5553</v>
      </c>
      <c r="D3928" s="204">
        <v>1</v>
      </c>
      <c r="E3928" s="204" t="s">
        <v>235</v>
      </c>
      <c r="F3928" s="205">
        <v>0</v>
      </c>
    </row>
    <row r="3929" spans="1:6">
      <c r="A3929" s="210">
        <v>852000649</v>
      </c>
      <c r="B3929" s="202" t="s">
        <v>6850</v>
      </c>
      <c r="C3929" s="203" t="s">
        <v>5553</v>
      </c>
      <c r="D3929" s="204">
        <v>1</v>
      </c>
      <c r="E3929" s="204" t="s">
        <v>235</v>
      </c>
      <c r="F3929" s="205">
        <v>0</v>
      </c>
    </row>
    <row r="3930" spans="1:6">
      <c r="A3930" s="210">
        <v>852000650</v>
      </c>
      <c r="B3930" s="202" t="s">
        <v>6851</v>
      </c>
      <c r="C3930" s="203" t="s">
        <v>5553</v>
      </c>
      <c r="D3930" s="204">
        <v>1</v>
      </c>
      <c r="E3930" s="204" t="s">
        <v>235</v>
      </c>
      <c r="F3930" s="205">
        <v>0</v>
      </c>
    </row>
    <row r="3931" spans="1:6">
      <c r="A3931" s="210">
        <v>852000651</v>
      </c>
      <c r="B3931" s="202" t="s">
        <v>6852</v>
      </c>
      <c r="C3931" s="203" t="s">
        <v>5553</v>
      </c>
      <c r="D3931" s="204">
        <v>1</v>
      </c>
      <c r="E3931" s="204" t="s">
        <v>235</v>
      </c>
      <c r="F3931" s="205">
        <v>0</v>
      </c>
    </row>
    <row r="3932" spans="1:6">
      <c r="A3932" s="210">
        <v>852000652</v>
      </c>
      <c r="B3932" s="202" t="s">
        <v>6853</v>
      </c>
      <c r="C3932" s="203" t="s">
        <v>5553</v>
      </c>
      <c r="D3932" s="204">
        <v>1</v>
      </c>
      <c r="E3932" s="204" t="s">
        <v>235</v>
      </c>
      <c r="F3932" s="205">
        <v>0</v>
      </c>
    </row>
    <row r="3933" spans="1:6">
      <c r="A3933" s="210">
        <v>852000653</v>
      </c>
      <c r="B3933" s="202" t="s">
        <v>6854</v>
      </c>
      <c r="C3933" s="203" t="s">
        <v>5553</v>
      </c>
      <c r="D3933" s="204">
        <v>1</v>
      </c>
      <c r="E3933" s="204" t="s">
        <v>235</v>
      </c>
      <c r="F3933" s="205">
        <v>0</v>
      </c>
    </row>
    <row r="3934" spans="1:6">
      <c r="A3934" s="210">
        <v>852000654</v>
      </c>
      <c r="B3934" s="202" t="s">
        <v>6855</v>
      </c>
      <c r="C3934" s="203" t="s">
        <v>5553</v>
      </c>
      <c r="D3934" s="204">
        <v>1</v>
      </c>
      <c r="E3934" s="204" t="s">
        <v>235</v>
      </c>
      <c r="F3934" s="205">
        <v>0</v>
      </c>
    </row>
    <row r="3935" spans="1:6">
      <c r="A3935" s="210">
        <v>852000655</v>
      </c>
      <c r="B3935" s="202" t="s">
        <v>6856</v>
      </c>
      <c r="C3935" s="203" t="s">
        <v>5553</v>
      </c>
      <c r="D3935" s="204">
        <v>1</v>
      </c>
      <c r="E3935" s="204" t="s">
        <v>235</v>
      </c>
      <c r="F3935" s="205">
        <v>0</v>
      </c>
    </row>
    <row r="3936" spans="1:6">
      <c r="A3936" s="210">
        <v>852000656</v>
      </c>
      <c r="B3936" s="202" t="s">
        <v>6857</v>
      </c>
      <c r="C3936" s="203" t="s">
        <v>5553</v>
      </c>
      <c r="D3936" s="204">
        <v>1</v>
      </c>
      <c r="E3936" s="204" t="s">
        <v>235</v>
      </c>
      <c r="F3936" s="205">
        <v>0</v>
      </c>
    </row>
    <row r="3937" spans="1:6">
      <c r="A3937" s="210">
        <v>852000657</v>
      </c>
      <c r="B3937" s="202" t="s">
        <v>6858</v>
      </c>
      <c r="C3937" s="203" t="s">
        <v>5553</v>
      </c>
      <c r="D3937" s="204">
        <v>1</v>
      </c>
      <c r="E3937" s="204" t="s">
        <v>235</v>
      </c>
      <c r="F3937" s="205">
        <v>0</v>
      </c>
    </row>
    <row r="3938" spans="1:6">
      <c r="A3938" s="210">
        <v>852000658</v>
      </c>
      <c r="B3938" s="202" t="s">
        <v>6859</v>
      </c>
      <c r="C3938" s="203" t="s">
        <v>5553</v>
      </c>
      <c r="D3938" s="204">
        <v>1</v>
      </c>
      <c r="E3938" s="204" t="s">
        <v>235</v>
      </c>
      <c r="F3938" s="205">
        <v>0</v>
      </c>
    </row>
    <row r="3939" spans="1:6">
      <c r="A3939" s="210">
        <v>852000659</v>
      </c>
      <c r="B3939" s="202" t="s">
        <v>6860</v>
      </c>
      <c r="C3939" s="203" t="s">
        <v>5553</v>
      </c>
      <c r="D3939" s="204">
        <v>1</v>
      </c>
      <c r="E3939" s="204" t="s">
        <v>235</v>
      </c>
      <c r="F3939" s="205">
        <v>0</v>
      </c>
    </row>
    <row r="3940" spans="1:6">
      <c r="A3940" s="210">
        <v>852000900</v>
      </c>
      <c r="B3940" s="202" t="s">
        <v>6861</v>
      </c>
      <c r="C3940" s="203" t="s">
        <v>5553</v>
      </c>
      <c r="D3940" s="204">
        <v>1</v>
      </c>
      <c r="E3940" s="204" t="s">
        <v>235</v>
      </c>
      <c r="F3940" s="205">
        <v>0</v>
      </c>
    </row>
    <row r="3941" spans="1:6">
      <c r="A3941" s="210">
        <v>852000903</v>
      </c>
      <c r="B3941" s="202" t="s">
        <v>6862</v>
      </c>
      <c r="C3941" s="203" t="s">
        <v>5553</v>
      </c>
      <c r="D3941" s="204">
        <v>1</v>
      </c>
      <c r="E3941" s="204" t="s">
        <v>235</v>
      </c>
      <c r="F3941" s="205">
        <v>0</v>
      </c>
    </row>
    <row r="3942" spans="1:6">
      <c r="A3942" s="210">
        <v>852000909</v>
      </c>
      <c r="B3942" s="202" t="s">
        <v>6863</v>
      </c>
      <c r="C3942" s="203" t="s">
        <v>5553</v>
      </c>
      <c r="D3942" s="204">
        <v>1</v>
      </c>
      <c r="E3942" s="204" t="s">
        <v>235</v>
      </c>
      <c r="F3942" s="205">
        <v>0</v>
      </c>
    </row>
    <row r="3943" spans="1:6">
      <c r="A3943" s="210">
        <v>852000910</v>
      </c>
      <c r="B3943" s="202" t="s">
        <v>6864</v>
      </c>
      <c r="C3943" s="203" t="s">
        <v>5553</v>
      </c>
      <c r="D3943" s="204">
        <v>1</v>
      </c>
      <c r="E3943" s="204" t="s">
        <v>235</v>
      </c>
      <c r="F3943" s="205">
        <v>0</v>
      </c>
    </row>
    <row r="3944" spans="1:6">
      <c r="A3944" s="210">
        <v>852000914</v>
      </c>
      <c r="B3944" s="202" t="s">
        <v>6865</v>
      </c>
      <c r="C3944" s="203" t="s">
        <v>5553</v>
      </c>
      <c r="D3944" s="204">
        <v>1</v>
      </c>
      <c r="E3944" s="204" t="s">
        <v>235</v>
      </c>
      <c r="F3944" s="205">
        <v>0</v>
      </c>
    </row>
    <row r="3945" spans="1:6">
      <c r="A3945" s="210">
        <v>852000915</v>
      </c>
      <c r="B3945" s="202" t="s">
        <v>6866</v>
      </c>
      <c r="C3945" s="203" t="s">
        <v>5553</v>
      </c>
      <c r="D3945" s="204">
        <v>1</v>
      </c>
      <c r="E3945" s="204" t="s">
        <v>235</v>
      </c>
      <c r="F3945" s="205">
        <v>0</v>
      </c>
    </row>
    <row r="3946" spans="1:6">
      <c r="A3946" s="210">
        <v>852000918</v>
      </c>
      <c r="B3946" s="202" t="s">
        <v>6867</v>
      </c>
      <c r="C3946" s="203" t="s">
        <v>5553</v>
      </c>
      <c r="D3946" s="204">
        <v>1</v>
      </c>
      <c r="E3946" s="204" t="s">
        <v>235</v>
      </c>
      <c r="F3946" s="205">
        <v>0</v>
      </c>
    </row>
    <row r="3947" spans="1:6">
      <c r="A3947" s="210">
        <v>852000919</v>
      </c>
      <c r="B3947" s="202" t="s">
        <v>6868</v>
      </c>
      <c r="C3947" s="203" t="s">
        <v>5553</v>
      </c>
      <c r="D3947" s="204">
        <v>1</v>
      </c>
      <c r="E3947" s="204" t="s">
        <v>235</v>
      </c>
      <c r="F3947" s="205">
        <v>0</v>
      </c>
    </row>
    <row r="3948" spans="1:6">
      <c r="A3948" s="210">
        <v>852000931</v>
      </c>
      <c r="B3948" s="202" t="s">
        <v>6869</v>
      </c>
      <c r="C3948" s="203" t="s">
        <v>5553</v>
      </c>
      <c r="D3948" s="204">
        <v>1</v>
      </c>
      <c r="E3948" s="204" t="s">
        <v>278</v>
      </c>
      <c r="F3948" s="205">
        <v>0</v>
      </c>
    </row>
    <row r="3949" spans="1:6">
      <c r="A3949" s="210">
        <v>852000941</v>
      </c>
      <c r="B3949" s="202" t="s">
        <v>6870</v>
      </c>
      <c r="C3949" s="203" t="s">
        <v>5553</v>
      </c>
      <c r="D3949" s="204">
        <v>1</v>
      </c>
      <c r="E3949" s="204" t="s">
        <v>235</v>
      </c>
      <c r="F3949" s="205">
        <v>0</v>
      </c>
    </row>
    <row r="3950" spans="1:6">
      <c r="A3950" s="210">
        <v>852000942</v>
      </c>
      <c r="B3950" s="202" t="s">
        <v>6871</v>
      </c>
      <c r="C3950" s="203" t="s">
        <v>5553</v>
      </c>
      <c r="D3950" s="204">
        <v>1</v>
      </c>
      <c r="E3950" s="204" t="s">
        <v>235</v>
      </c>
      <c r="F3950" s="205">
        <v>0</v>
      </c>
    </row>
    <row r="3951" spans="1:6">
      <c r="A3951" s="210">
        <v>852000943</v>
      </c>
      <c r="B3951" s="202" t="s">
        <v>6872</v>
      </c>
      <c r="C3951" s="203" t="s">
        <v>5553</v>
      </c>
      <c r="D3951" s="204">
        <v>1</v>
      </c>
      <c r="E3951" s="204" t="s">
        <v>235</v>
      </c>
      <c r="F3951" s="205">
        <v>0</v>
      </c>
    </row>
    <row r="3952" spans="1:6">
      <c r="A3952" s="210">
        <v>852000944</v>
      </c>
      <c r="B3952" s="202" t="s">
        <v>6873</v>
      </c>
      <c r="C3952" s="203" t="s">
        <v>5553</v>
      </c>
      <c r="D3952" s="204">
        <v>1</v>
      </c>
      <c r="E3952" s="204" t="s">
        <v>235</v>
      </c>
      <c r="F3952" s="205">
        <v>0</v>
      </c>
    </row>
    <row r="3953" spans="1:6">
      <c r="A3953" s="210">
        <v>852000945</v>
      </c>
      <c r="B3953" s="202" t="s">
        <v>6874</v>
      </c>
      <c r="C3953" s="203" t="s">
        <v>5553</v>
      </c>
      <c r="D3953" s="204">
        <v>1</v>
      </c>
      <c r="E3953" s="204" t="s">
        <v>235</v>
      </c>
      <c r="F3953" s="205">
        <v>0</v>
      </c>
    </row>
    <row r="3954" spans="1:6">
      <c r="A3954" s="210">
        <v>852000946</v>
      </c>
      <c r="B3954" s="202" t="s">
        <v>6875</v>
      </c>
      <c r="C3954" s="203" t="s">
        <v>5553</v>
      </c>
      <c r="D3954" s="204">
        <v>1</v>
      </c>
      <c r="E3954" s="204" t="s">
        <v>235</v>
      </c>
      <c r="F3954" s="205">
        <v>0</v>
      </c>
    </row>
    <row r="3955" spans="1:6">
      <c r="A3955" s="210">
        <v>852000947</v>
      </c>
      <c r="B3955" s="202" t="s">
        <v>6876</v>
      </c>
      <c r="C3955" s="203" t="s">
        <v>5553</v>
      </c>
      <c r="D3955" s="204">
        <v>1</v>
      </c>
      <c r="E3955" s="204" t="s">
        <v>235</v>
      </c>
      <c r="F3955" s="205">
        <v>0</v>
      </c>
    </row>
    <row r="3956" spans="1:6">
      <c r="A3956" s="210">
        <v>852000948</v>
      </c>
      <c r="B3956" s="202" t="s">
        <v>6877</v>
      </c>
      <c r="C3956" s="203" t="s">
        <v>5553</v>
      </c>
      <c r="D3956" s="204">
        <v>1</v>
      </c>
      <c r="E3956" s="204" t="s">
        <v>235</v>
      </c>
      <c r="F3956" s="205">
        <v>0</v>
      </c>
    </row>
    <row r="3957" spans="1:6">
      <c r="A3957" s="210">
        <v>852000950</v>
      </c>
      <c r="B3957" s="202" t="s">
        <v>6878</v>
      </c>
      <c r="C3957" s="203" t="s">
        <v>5553</v>
      </c>
      <c r="D3957" s="204">
        <v>1</v>
      </c>
      <c r="E3957" s="204" t="s">
        <v>235</v>
      </c>
      <c r="F3957" s="205">
        <v>0</v>
      </c>
    </row>
    <row r="3958" spans="1:6">
      <c r="A3958" s="210">
        <v>852000951</v>
      </c>
      <c r="B3958" s="202" t="s">
        <v>6879</v>
      </c>
      <c r="C3958" s="203" t="s">
        <v>5553</v>
      </c>
      <c r="D3958" s="204">
        <v>1</v>
      </c>
      <c r="E3958" s="204" t="s">
        <v>235</v>
      </c>
      <c r="F3958" s="205">
        <v>0</v>
      </c>
    </row>
    <row r="3959" spans="1:6">
      <c r="A3959" s="210">
        <v>852000952</v>
      </c>
      <c r="B3959" s="202" t="s">
        <v>6880</v>
      </c>
      <c r="C3959" s="203" t="s">
        <v>5553</v>
      </c>
      <c r="D3959" s="204">
        <v>1</v>
      </c>
      <c r="E3959" s="204" t="s">
        <v>235</v>
      </c>
      <c r="F3959" s="205">
        <v>0</v>
      </c>
    </row>
    <row r="3960" spans="1:6">
      <c r="A3960" s="210">
        <v>852000953</v>
      </c>
      <c r="B3960" s="202" t="s">
        <v>6881</v>
      </c>
      <c r="C3960" s="203" t="s">
        <v>5553</v>
      </c>
      <c r="D3960" s="204">
        <v>1</v>
      </c>
      <c r="E3960" s="204" t="s">
        <v>235</v>
      </c>
      <c r="F3960" s="205">
        <v>0</v>
      </c>
    </row>
    <row r="3961" spans="1:6">
      <c r="A3961" s="210">
        <v>852100000</v>
      </c>
      <c r="B3961" s="202" t="s">
        <v>6882</v>
      </c>
      <c r="C3961" s="203" t="s">
        <v>2143</v>
      </c>
      <c r="D3961" s="204">
        <v>1</v>
      </c>
      <c r="E3961" s="204" t="s">
        <v>235</v>
      </c>
      <c r="F3961" s="205">
        <v>0.15849323050366781</v>
      </c>
    </row>
    <row r="3962" spans="1:6">
      <c r="A3962" s="210">
        <v>852111000</v>
      </c>
      <c r="B3962" s="202" t="s">
        <v>6883</v>
      </c>
      <c r="C3962" s="203" t="s">
        <v>2143</v>
      </c>
      <c r="D3962" s="204">
        <v>1</v>
      </c>
      <c r="E3962" s="204" t="s">
        <v>235</v>
      </c>
      <c r="F3962" s="205">
        <v>0.15849323050366781</v>
      </c>
    </row>
    <row r="3963" spans="1:6">
      <c r="A3963" s="210">
        <v>852200000</v>
      </c>
      <c r="B3963" s="202" t="s">
        <v>5424</v>
      </c>
      <c r="C3963" s="203" t="s">
        <v>2143</v>
      </c>
      <c r="D3963" s="204">
        <v>1</v>
      </c>
      <c r="E3963" s="204" t="s">
        <v>235</v>
      </c>
      <c r="F3963" s="205">
        <v>3.611066565116744E-2</v>
      </c>
    </row>
    <row r="3964" spans="1:6">
      <c r="A3964" s="210">
        <v>852200201</v>
      </c>
      <c r="B3964" s="202" t="s">
        <v>6884</v>
      </c>
      <c r="C3964" s="203" t="s">
        <v>2143</v>
      </c>
      <c r="D3964" s="204">
        <v>1</v>
      </c>
      <c r="E3964" s="204" t="s">
        <v>235</v>
      </c>
      <c r="F3964" s="205">
        <v>1.8631542663400111E-3</v>
      </c>
    </row>
    <row r="3965" spans="1:6">
      <c r="A3965" s="210">
        <v>852200202</v>
      </c>
      <c r="B3965" s="202" t="s">
        <v>6885</v>
      </c>
      <c r="C3965" s="203" t="s">
        <v>2143</v>
      </c>
      <c r="D3965" s="204">
        <v>1</v>
      </c>
      <c r="E3965" s="204" t="s">
        <v>235</v>
      </c>
      <c r="F3965" s="205">
        <v>1.8183088289328814E-2</v>
      </c>
    </row>
    <row r="3966" spans="1:6">
      <c r="A3966" s="210">
        <v>852200203</v>
      </c>
      <c r="B3966" s="202" t="s">
        <v>6886</v>
      </c>
      <c r="C3966" s="203" t="s">
        <v>2143</v>
      </c>
      <c r="D3966" s="204">
        <v>1</v>
      </c>
      <c r="E3966" s="204" t="s">
        <v>235</v>
      </c>
      <c r="F3966" s="205">
        <v>1.7485050887090032</v>
      </c>
    </row>
    <row r="3967" spans="1:6">
      <c r="A3967" s="210">
        <v>852200204</v>
      </c>
      <c r="B3967" s="202" t="s">
        <v>6887</v>
      </c>
      <c r="C3967" s="203" t="s">
        <v>2143</v>
      </c>
      <c r="D3967" s="204">
        <v>1</v>
      </c>
      <c r="E3967" s="204" t="s">
        <v>235</v>
      </c>
      <c r="F3967" s="205">
        <v>1.5049689095027362E-4</v>
      </c>
    </row>
    <row r="3968" spans="1:6">
      <c r="A3968" s="210">
        <v>852200205</v>
      </c>
      <c r="B3968" s="202" t="s">
        <v>6888</v>
      </c>
      <c r="C3968" s="203" t="s">
        <v>2143</v>
      </c>
      <c r="D3968" s="204">
        <v>1</v>
      </c>
      <c r="E3968" s="204" t="s">
        <v>235</v>
      </c>
      <c r="F3968" s="205">
        <v>1.3434492795722397E-4</v>
      </c>
    </row>
    <row r="3969" spans="1:6">
      <c r="A3969" s="210">
        <v>852200206</v>
      </c>
      <c r="B3969" s="202" t="s">
        <v>6889</v>
      </c>
      <c r="C3969" s="203" t="s">
        <v>2143</v>
      </c>
      <c r="D3969" s="204">
        <v>1</v>
      </c>
      <c r="E3969" s="204" t="s">
        <v>235</v>
      </c>
      <c r="F3969" s="205">
        <v>0.76752727941643772</v>
      </c>
    </row>
    <row r="3970" spans="1:6">
      <c r="A3970" s="210">
        <v>852200207</v>
      </c>
      <c r="B3970" s="202" t="s">
        <v>6890</v>
      </c>
      <c r="C3970" s="203" t="s">
        <v>2143</v>
      </c>
      <c r="D3970" s="204">
        <v>1</v>
      </c>
      <c r="E3970" s="204" t="s">
        <v>235</v>
      </c>
      <c r="F3970" s="205">
        <v>7.1201890090375308E-2</v>
      </c>
    </row>
    <row r="3971" spans="1:6">
      <c r="A3971" s="210">
        <v>852200208</v>
      </c>
      <c r="B3971" s="202" t="s">
        <v>6891</v>
      </c>
      <c r="C3971" s="203" t="s">
        <v>2143</v>
      </c>
      <c r="D3971" s="204">
        <v>1</v>
      </c>
      <c r="E3971" s="204" t="s">
        <v>235</v>
      </c>
      <c r="F3971" s="205">
        <v>3.5768383220517917E-2</v>
      </c>
    </row>
    <row r="3972" spans="1:6">
      <c r="A3972" s="210">
        <v>852200209</v>
      </c>
      <c r="B3972" s="202" t="s">
        <v>6892</v>
      </c>
      <c r="C3972" s="203" t="s">
        <v>2143</v>
      </c>
      <c r="D3972" s="204">
        <v>1</v>
      </c>
      <c r="E3972" s="204" t="s">
        <v>235</v>
      </c>
      <c r="F3972" s="205">
        <v>6.3796075270796407E-2</v>
      </c>
    </row>
    <row r="3973" spans="1:6">
      <c r="A3973" s="210">
        <v>852200210</v>
      </c>
      <c r="B3973" s="202" t="s">
        <v>6893</v>
      </c>
      <c r="C3973" s="203" t="s">
        <v>2143</v>
      </c>
      <c r="D3973" s="204">
        <v>1</v>
      </c>
      <c r="E3973" s="204" t="s">
        <v>235</v>
      </c>
      <c r="F3973" s="205">
        <v>8.426371681582662E-3</v>
      </c>
    </row>
    <row r="3974" spans="1:6">
      <c r="A3974" s="210">
        <v>852200211</v>
      </c>
      <c r="B3974" s="202" t="s">
        <v>6894</v>
      </c>
      <c r="C3974" s="203" t="s">
        <v>2143</v>
      </c>
      <c r="D3974" s="204">
        <v>1</v>
      </c>
      <c r="E3974" s="204" t="s">
        <v>235</v>
      </c>
      <c r="F3974" s="205">
        <v>0.53475741019926171</v>
      </c>
    </row>
    <row r="3975" spans="1:6">
      <c r="A3975" s="210">
        <v>852200212</v>
      </c>
      <c r="B3975" s="202" t="s">
        <v>6895</v>
      </c>
      <c r="C3975" s="203" t="s">
        <v>2143</v>
      </c>
      <c r="D3975" s="204">
        <v>1</v>
      </c>
      <c r="E3975" s="204" t="s">
        <v>235</v>
      </c>
      <c r="F3975" s="205">
        <v>1.6085609735062601E-4</v>
      </c>
    </row>
    <row r="3976" spans="1:6">
      <c r="A3976" s="210">
        <v>852200213</v>
      </c>
      <c r="B3976" s="202" t="s">
        <v>6896</v>
      </c>
      <c r="C3976" s="203" t="s">
        <v>2143</v>
      </c>
      <c r="D3976" s="204">
        <v>1</v>
      </c>
      <c r="E3976" s="204" t="s">
        <v>235</v>
      </c>
      <c r="F3976" s="205">
        <v>1.5644951081046749E-3</v>
      </c>
    </row>
    <row r="3977" spans="1:6">
      <c r="A3977" s="210">
        <v>852200214</v>
      </c>
      <c r="B3977" s="202" t="s">
        <v>6897</v>
      </c>
      <c r="C3977" s="203" t="s">
        <v>2143</v>
      </c>
      <c r="D3977" s="204">
        <v>1</v>
      </c>
      <c r="E3977" s="204" t="s">
        <v>235</v>
      </c>
      <c r="F3977" s="205">
        <v>4.9587936404260494E-4</v>
      </c>
    </row>
    <row r="3978" spans="1:6">
      <c r="A3978" s="210">
        <v>852200215</v>
      </c>
      <c r="B3978" s="202" t="s">
        <v>6898</v>
      </c>
      <c r="C3978" s="203" t="s">
        <v>2143</v>
      </c>
      <c r="D3978" s="204">
        <v>1</v>
      </c>
      <c r="E3978" s="204" t="s">
        <v>235</v>
      </c>
      <c r="F3978" s="205">
        <v>2.6607724912983393E-4</v>
      </c>
    </row>
    <row r="3979" spans="1:6">
      <c r="A3979" s="210">
        <v>852200216</v>
      </c>
      <c r="B3979" s="202" t="s">
        <v>6899</v>
      </c>
      <c r="C3979" s="203" t="s">
        <v>2143</v>
      </c>
      <c r="D3979" s="204">
        <v>1</v>
      </c>
      <c r="E3979" s="204" t="s">
        <v>235</v>
      </c>
      <c r="F3979" s="205">
        <v>3.048065932117086E-6</v>
      </c>
    </row>
    <row r="3980" spans="1:6">
      <c r="A3980" s="210">
        <v>852200217</v>
      </c>
      <c r="B3980" s="202" t="s">
        <v>6900</v>
      </c>
      <c r="C3980" s="203" t="s">
        <v>2143</v>
      </c>
      <c r="D3980" s="204">
        <v>1</v>
      </c>
      <c r="E3980" s="204" t="s">
        <v>235</v>
      </c>
      <c r="F3980" s="205">
        <v>9.1404595710532402E-2</v>
      </c>
    </row>
    <row r="3981" spans="1:6">
      <c r="A3981" s="210">
        <v>852200218</v>
      </c>
      <c r="B3981" s="202" t="s">
        <v>6901</v>
      </c>
      <c r="C3981" s="203" t="s">
        <v>2143</v>
      </c>
      <c r="D3981" s="204">
        <v>1</v>
      </c>
      <c r="E3981" s="204" t="s">
        <v>235</v>
      </c>
      <c r="F3981" s="205">
        <v>9.9262309990347979E-4</v>
      </c>
    </row>
    <row r="3982" spans="1:6">
      <c r="A3982" s="210">
        <v>852200219</v>
      </c>
      <c r="B3982" s="202" t="s">
        <v>6902</v>
      </c>
      <c r="C3982" s="203" t="s">
        <v>2143</v>
      </c>
      <c r="D3982" s="204">
        <v>1</v>
      </c>
      <c r="E3982" s="204" t="s">
        <v>235</v>
      </c>
      <c r="F3982" s="205">
        <v>1.4435839019254573E-4</v>
      </c>
    </row>
    <row r="3983" spans="1:6">
      <c r="A3983" s="210">
        <v>852211000</v>
      </c>
      <c r="B3983" s="202" t="s">
        <v>5426</v>
      </c>
      <c r="C3983" s="203" t="s">
        <v>2143</v>
      </c>
      <c r="D3983" s="204">
        <v>1</v>
      </c>
      <c r="E3983" s="204" t="s">
        <v>235</v>
      </c>
      <c r="F3983" s="205">
        <v>7.2861091880994031E-3</v>
      </c>
    </row>
    <row r="3984" spans="1:6">
      <c r="A3984" s="210">
        <v>852211201</v>
      </c>
      <c r="B3984" s="202" t="s">
        <v>6903</v>
      </c>
      <c r="C3984" s="203" t="s">
        <v>2143</v>
      </c>
      <c r="D3984" s="204">
        <v>1</v>
      </c>
      <c r="E3984" s="204" t="s">
        <v>235</v>
      </c>
      <c r="F3984" s="205">
        <v>4.0672863292768433</v>
      </c>
    </row>
    <row r="3985" spans="1:6">
      <c r="A3985" s="210">
        <v>852211202</v>
      </c>
      <c r="B3985" s="202" t="s">
        <v>6904</v>
      </c>
      <c r="C3985" s="203" t="s">
        <v>2143</v>
      </c>
      <c r="D3985" s="204">
        <v>1</v>
      </c>
      <c r="E3985" s="204" t="s">
        <v>235</v>
      </c>
      <c r="F3985" s="205">
        <v>3.8152866530492742</v>
      </c>
    </row>
    <row r="3986" spans="1:6">
      <c r="A3986" s="210">
        <v>852211203</v>
      </c>
      <c r="B3986" s="202" t="s">
        <v>6905</v>
      </c>
      <c r="C3986" s="203" t="s">
        <v>2143</v>
      </c>
      <c r="D3986" s="204">
        <v>1</v>
      </c>
      <c r="E3986" s="204" t="s">
        <v>235</v>
      </c>
      <c r="F3986" s="205">
        <v>4.2072866129949524</v>
      </c>
    </row>
    <row r="3987" spans="1:6">
      <c r="A3987" s="210">
        <v>852211204</v>
      </c>
      <c r="B3987" s="202" t="s">
        <v>6906</v>
      </c>
      <c r="C3987" s="203" t="s">
        <v>2143</v>
      </c>
      <c r="D3987" s="204">
        <v>1</v>
      </c>
      <c r="E3987" s="204" t="s">
        <v>235</v>
      </c>
      <c r="F3987" s="205">
        <v>4.2352862525060608</v>
      </c>
    </row>
    <row r="3988" spans="1:6">
      <c r="A3988" s="210">
        <v>852211205</v>
      </c>
      <c r="B3988" s="202" t="s">
        <v>6907</v>
      </c>
      <c r="C3988" s="203" t="s">
        <v>2143</v>
      </c>
      <c r="D3988" s="204">
        <v>1</v>
      </c>
      <c r="E3988" s="204" t="s">
        <v>235</v>
      </c>
      <c r="F3988" s="205">
        <v>3.7312864828184087</v>
      </c>
    </row>
    <row r="3989" spans="1:6">
      <c r="A3989" s="210">
        <v>852211206</v>
      </c>
      <c r="B3989" s="202" t="s">
        <v>6908</v>
      </c>
      <c r="C3989" s="203" t="s">
        <v>2143</v>
      </c>
      <c r="D3989" s="204">
        <v>1</v>
      </c>
      <c r="E3989" s="204" t="s">
        <v>235</v>
      </c>
      <c r="F3989" s="205">
        <v>3.7312864828184087</v>
      </c>
    </row>
    <row r="3990" spans="1:6">
      <c r="A3990" s="210">
        <v>852211207</v>
      </c>
      <c r="B3990" s="202" t="s">
        <v>6909</v>
      </c>
      <c r="C3990" s="203" t="s">
        <v>2143</v>
      </c>
      <c r="D3990" s="204">
        <v>1</v>
      </c>
      <c r="E3990" s="204" t="s">
        <v>235</v>
      </c>
      <c r="F3990" s="205">
        <v>0.70728645653276034</v>
      </c>
    </row>
    <row r="3991" spans="1:6">
      <c r="A3991" s="210">
        <v>852211208</v>
      </c>
      <c r="B3991" s="202" t="s">
        <v>6910</v>
      </c>
      <c r="C3991" s="203" t="s">
        <v>2143</v>
      </c>
      <c r="D3991" s="204">
        <v>1</v>
      </c>
      <c r="E3991" s="204" t="s">
        <v>235</v>
      </c>
      <c r="F3991" s="205">
        <v>4.2072866129949524</v>
      </c>
    </row>
    <row r="3992" spans="1:6">
      <c r="A3992" s="210">
        <v>852212000</v>
      </c>
      <c r="B3992" s="202" t="s">
        <v>5428</v>
      </c>
      <c r="C3992" s="203" t="s">
        <v>2143</v>
      </c>
      <c r="D3992" s="204">
        <v>1</v>
      </c>
      <c r="E3992" s="204" t="s">
        <v>235</v>
      </c>
      <c r="F3992" s="205">
        <v>1.0432690115637333</v>
      </c>
    </row>
    <row r="3993" spans="1:6">
      <c r="A3993" s="210">
        <v>852212228</v>
      </c>
      <c r="B3993" s="202" t="s">
        <v>6911</v>
      </c>
      <c r="C3993" s="203" t="s">
        <v>2143</v>
      </c>
      <c r="D3993" s="204">
        <v>1</v>
      </c>
      <c r="E3993" s="204" t="s">
        <v>235</v>
      </c>
      <c r="F3993" s="205">
        <v>2.815903691992689</v>
      </c>
    </row>
    <row r="3994" spans="1:6">
      <c r="A3994" s="210">
        <v>852212229</v>
      </c>
      <c r="B3994" s="202" t="s">
        <v>6912</v>
      </c>
      <c r="C3994" s="203" t="s">
        <v>2143</v>
      </c>
      <c r="D3994" s="204">
        <v>1</v>
      </c>
      <c r="E3994" s="204" t="s">
        <v>235</v>
      </c>
      <c r="F3994" s="205">
        <v>0.1951089020615924</v>
      </c>
    </row>
    <row r="3995" spans="1:6">
      <c r="A3995" s="210">
        <v>852212230</v>
      </c>
      <c r="B3995" s="202" t="s">
        <v>6913</v>
      </c>
      <c r="C3995" s="203" t="s">
        <v>2143</v>
      </c>
      <c r="D3995" s="204">
        <v>1</v>
      </c>
      <c r="E3995" s="204" t="s">
        <v>235</v>
      </c>
      <c r="F3995" s="205">
        <v>3.0408089444493509</v>
      </c>
    </row>
    <row r="3996" spans="1:6">
      <c r="A3996" s="210">
        <v>852212231</v>
      </c>
      <c r="B3996" s="202" t="s">
        <v>6914</v>
      </c>
      <c r="C3996" s="203" t="s">
        <v>2143</v>
      </c>
      <c r="D3996" s="204">
        <v>1</v>
      </c>
      <c r="E3996" s="204" t="s">
        <v>235</v>
      </c>
      <c r="F3996" s="205">
        <v>2.553351313464677</v>
      </c>
    </row>
    <row r="3997" spans="1:6">
      <c r="A3997" s="210">
        <v>852212232</v>
      </c>
      <c r="B3997" s="202" t="s">
        <v>6915</v>
      </c>
      <c r="C3997" s="203" t="s">
        <v>2143</v>
      </c>
      <c r="D3997" s="204">
        <v>1</v>
      </c>
      <c r="E3997" s="204" t="s">
        <v>235</v>
      </c>
      <c r="F3997" s="205">
        <v>0.20593033424682269</v>
      </c>
    </row>
    <row r="3998" spans="1:6">
      <c r="A3998" s="210">
        <v>852212233</v>
      </c>
      <c r="B3998" s="202" t="s">
        <v>6916</v>
      </c>
      <c r="C3998" s="203" t="s">
        <v>2143</v>
      </c>
      <c r="D3998" s="204">
        <v>1</v>
      </c>
      <c r="E3998" s="204" t="s">
        <v>235</v>
      </c>
      <c r="F3998" s="205">
        <v>0.20585744032581194</v>
      </c>
    </row>
    <row r="3999" spans="1:6">
      <c r="A3999" s="210">
        <v>852212234</v>
      </c>
      <c r="B3999" s="202" t="s">
        <v>6917</v>
      </c>
      <c r="C3999" s="203" t="s">
        <v>2143</v>
      </c>
      <c r="D3999" s="204">
        <v>1</v>
      </c>
      <c r="E3999" s="204" t="s">
        <v>235</v>
      </c>
      <c r="F3999" s="205">
        <v>0.20585744032581194</v>
      </c>
    </row>
    <row r="4000" spans="1:6">
      <c r="A4000" s="210">
        <v>852212235</v>
      </c>
      <c r="B4000" s="202" t="s">
        <v>6918</v>
      </c>
      <c r="C4000" s="203" t="s">
        <v>2143</v>
      </c>
      <c r="D4000" s="204">
        <v>1</v>
      </c>
      <c r="E4000" s="204" t="s">
        <v>235</v>
      </c>
      <c r="F4000" s="205">
        <v>0.35862862123290157</v>
      </c>
    </row>
    <row r="4001" spans="1:6">
      <c r="A4001" s="210">
        <v>852212236</v>
      </c>
      <c r="B4001" s="202" t="s">
        <v>6919</v>
      </c>
      <c r="C4001" s="203" t="s">
        <v>2143</v>
      </c>
      <c r="D4001" s="204">
        <v>1</v>
      </c>
      <c r="E4001" s="204" t="s">
        <v>235</v>
      </c>
      <c r="F4001" s="205">
        <v>0.20607083305444632</v>
      </c>
    </row>
    <row r="4002" spans="1:6">
      <c r="A4002" s="210">
        <v>852212237</v>
      </c>
      <c r="B4002" s="202" t="s">
        <v>6920</v>
      </c>
      <c r="C4002" s="203" t="s">
        <v>2143</v>
      </c>
      <c r="D4002" s="204">
        <v>1</v>
      </c>
      <c r="E4002" s="204" t="s">
        <v>235</v>
      </c>
      <c r="F4002" s="205">
        <v>0.4298986161151111</v>
      </c>
    </row>
    <row r="4003" spans="1:6">
      <c r="A4003" s="210">
        <v>852212238</v>
      </c>
      <c r="B4003" s="202" t="s">
        <v>6921</v>
      </c>
      <c r="C4003" s="203" t="s">
        <v>2143</v>
      </c>
      <c r="D4003" s="204">
        <v>1</v>
      </c>
      <c r="E4003" s="204" t="s">
        <v>235</v>
      </c>
      <c r="F4003" s="205">
        <v>0.57348169125257353</v>
      </c>
    </row>
    <row r="4004" spans="1:6">
      <c r="A4004" s="210">
        <v>852212239</v>
      </c>
      <c r="B4004" s="202" t="s">
        <v>6922</v>
      </c>
      <c r="C4004" s="203" t="s">
        <v>2143</v>
      </c>
      <c r="D4004" s="204">
        <v>1</v>
      </c>
      <c r="E4004" s="204" t="s">
        <v>235</v>
      </c>
      <c r="F4004" s="205">
        <v>0.34844578768465967</v>
      </c>
    </row>
    <row r="4005" spans="1:6">
      <c r="A4005" s="210">
        <v>852212240</v>
      </c>
      <c r="B4005" s="202" t="s">
        <v>6923</v>
      </c>
      <c r="C4005" s="203" t="s">
        <v>2143</v>
      </c>
      <c r="D4005" s="204">
        <v>1</v>
      </c>
      <c r="E4005" s="204" t="s">
        <v>235</v>
      </c>
      <c r="F4005" s="205">
        <v>0.41024590872345984</v>
      </c>
    </row>
    <row r="4006" spans="1:6">
      <c r="A4006" s="210">
        <v>852212241</v>
      </c>
      <c r="B4006" s="202" t="s">
        <v>6924</v>
      </c>
      <c r="C4006" s="203" t="s">
        <v>2143</v>
      </c>
      <c r="D4006" s="204">
        <v>1</v>
      </c>
      <c r="E4006" s="204" t="s">
        <v>235</v>
      </c>
      <c r="F4006" s="205">
        <v>0.25691903444474123</v>
      </c>
    </row>
    <row r="4007" spans="1:6">
      <c r="A4007" s="210">
        <v>852212242</v>
      </c>
      <c r="B4007" s="202" t="s">
        <v>6925</v>
      </c>
      <c r="C4007" s="203" t="s">
        <v>2143</v>
      </c>
      <c r="D4007" s="204">
        <v>1</v>
      </c>
      <c r="E4007" s="204" t="s">
        <v>235</v>
      </c>
      <c r="F4007" s="205">
        <v>0.41024590872334615</v>
      </c>
    </row>
    <row r="4008" spans="1:6">
      <c r="A4008" s="210">
        <v>852213204</v>
      </c>
      <c r="B4008" s="202" t="s">
        <v>6926</v>
      </c>
      <c r="C4008" s="203" t="s">
        <v>2143</v>
      </c>
      <c r="D4008" s="204">
        <v>1</v>
      </c>
      <c r="E4008" s="204" t="s">
        <v>235</v>
      </c>
      <c r="F4008" s="205">
        <v>3.0045805455288245E-7</v>
      </c>
    </row>
    <row r="4009" spans="1:6">
      <c r="A4009" s="210">
        <v>852213205</v>
      </c>
      <c r="B4009" s="202" t="s">
        <v>6927</v>
      </c>
      <c r="C4009" s="203" t="s">
        <v>2143</v>
      </c>
      <c r="D4009" s="204">
        <v>1</v>
      </c>
      <c r="E4009" s="204" t="s">
        <v>235</v>
      </c>
      <c r="F4009" s="205">
        <v>4.0006646179620243E-7</v>
      </c>
    </row>
    <row r="4010" spans="1:6">
      <c r="A4010" s="210">
        <v>852400101</v>
      </c>
      <c r="B4010" s="202" t="s">
        <v>6928</v>
      </c>
      <c r="C4010" s="203" t="s">
        <v>2143</v>
      </c>
      <c r="D4010" s="204">
        <v>1</v>
      </c>
      <c r="E4010" s="204" t="s">
        <v>235</v>
      </c>
      <c r="F4010" s="205">
        <v>35.330366121824014</v>
      </c>
    </row>
    <row r="4011" spans="1:6">
      <c r="A4011" s="210">
        <v>852400102</v>
      </c>
      <c r="B4011" s="202" t="s">
        <v>6929</v>
      </c>
      <c r="C4011" s="203" t="s">
        <v>2143</v>
      </c>
      <c r="D4011" s="204">
        <v>1</v>
      </c>
      <c r="E4011" s="204" t="s">
        <v>235</v>
      </c>
      <c r="F4011" s="205">
        <v>26.40396756936601</v>
      </c>
    </row>
    <row r="4012" spans="1:6">
      <c r="A4012" s="210">
        <v>852500000</v>
      </c>
      <c r="B4012" s="202" t="s">
        <v>6930</v>
      </c>
      <c r="C4012" s="203" t="s">
        <v>2143</v>
      </c>
      <c r="D4012" s="204">
        <v>1</v>
      </c>
      <c r="E4012" s="204" t="s">
        <v>278</v>
      </c>
      <c r="F4012" s="205">
        <v>1.8330643817765866</v>
      </c>
    </row>
    <row r="4013" spans="1:6">
      <c r="A4013" s="210">
        <v>852500101</v>
      </c>
      <c r="B4013" s="202" t="s">
        <v>6931</v>
      </c>
      <c r="C4013" s="203" t="s">
        <v>2143</v>
      </c>
      <c r="D4013" s="204">
        <v>1</v>
      </c>
      <c r="E4013" s="204" t="s">
        <v>278</v>
      </c>
      <c r="F4013" s="205">
        <v>0.37943584434097577</v>
      </c>
    </row>
    <row r="4014" spans="1:6">
      <c r="A4014" s="210">
        <v>852500102</v>
      </c>
      <c r="B4014" s="202" t="s">
        <v>6932</v>
      </c>
      <c r="C4014" s="203" t="s">
        <v>2143</v>
      </c>
      <c r="D4014" s="204">
        <v>1</v>
      </c>
      <c r="E4014" s="204" t="s">
        <v>235</v>
      </c>
      <c r="F4014" s="205">
        <v>0.23444204026620274</v>
      </c>
    </row>
    <row r="4015" spans="1:6">
      <c r="A4015" s="210">
        <v>852511000</v>
      </c>
      <c r="B4015" s="202" t="s">
        <v>1991</v>
      </c>
      <c r="C4015" s="203" t="s">
        <v>2143</v>
      </c>
      <c r="D4015" s="204">
        <v>1</v>
      </c>
      <c r="E4015" s="204" t="s">
        <v>278</v>
      </c>
      <c r="F4015" s="205">
        <v>1.8330643817765866</v>
      </c>
    </row>
    <row r="4016" spans="1:6">
      <c r="A4016" s="210">
        <v>852511200</v>
      </c>
      <c r="B4016" s="202" t="s">
        <v>5431</v>
      </c>
      <c r="C4016" s="203" t="s">
        <v>2143</v>
      </c>
      <c r="D4016" s="204">
        <v>1</v>
      </c>
      <c r="E4016" s="204" t="s">
        <v>278</v>
      </c>
      <c r="F4016" s="205">
        <v>0</v>
      </c>
    </row>
    <row r="4017" spans="1:6">
      <c r="A4017" s="210">
        <v>852511201</v>
      </c>
      <c r="B4017" s="202" t="s">
        <v>5433</v>
      </c>
      <c r="C4017" s="203" t="s">
        <v>2143</v>
      </c>
      <c r="D4017" s="204">
        <v>1</v>
      </c>
      <c r="E4017" s="204" t="s">
        <v>278</v>
      </c>
      <c r="F4017" s="205">
        <v>0</v>
      </c>
    </row>
    <row r="4018" spans="1:6">
      <c r="A4018" s="210">
        <v>852511202</v>
      </c>
      <c r="B4018" s="202" t="s">
        <v>5435</v>
      </c>
      <c r="C4018" s="203" t="s">
        <v>2143</v>
      </c>
      <c r="D4018" s="204">
        <v>1</v>
      </c>
      <c r="E4018" s="204" t="s">
        <v>278</v>
      </c>
      <c r="F4018" s="205">
        <v>0</v>
      </c>
    </row>
    <row r="4019" spans="1:6">
      <c r="A4019" s="210">
        <v>852511204</v>
      </c>
      <c r="B4019" s="202" t="s">
        <v>5437</v>
      </c>
      <c r="C4019" s="203" t="s">
        <v>2143</v>
      </c>
      <c r="D4019" s="204">
        <v>1</v>
      </c>
      <c r="E4019" s="204" t="s">
        <v>278</v>
      </c>
      <c r="F4019" s="205">
        <v>0</v>
      </c>
    </row>
    <row r="4020" spans="1:6">
      <c r="A4020" s="210">
        <v>859900000</v>
      </c>
      <c r="B4020" s="202" t="s">
        <v>6933</v>
      </c>
      <c r="C4020" s="203" t="s">
        <v>2143</v>
      </c>
      <c r="D4020" s="204">
        <v>1</v>
      </c>
      <c r="E4020" s="204" t="s">
        <v>235</v>
      </c>
      <c r="F4020" s="205">
        <v>4.2202873512520819E-2</v>
      </c>
    </row>
    <row r="4021" spans="1:6">
      <c r="A4021" s="210">
        <v>859911000</v>
      </c>
      <c r="B4021" s="202" t="s">
        <v>6934</v>
      </c>
      <c r="C4021" s="203" t="s">
        <v>2143</v>
      </c>
      <c r="D4021" s="204">
        <v>1</v>
      </c>
      <c r="E4021" s="204" t="s">
        <v>235</v>
      </c>
      <c r="F4021" s="205">
        <v>4.2202873512520819E-2</v>
      </c>
    </row>
  </sheetData>
  <autoFilter ref="A2:F4021"/>
  <sortState ref="A4:F3504">
    <sortCondition ref="E4:E3504"/>
  </sortState>
  <phoneticPr fontId="3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O27"/>
  <sheetViews>
    <sheetView topLeftCell="AA1" zoomScaleNormal="100" workbookViewId="0">
      <selection activeCell="AM6" sqref="AM6"/>
    </sheetView>
  </sheetViews>
  <sheetFormatPr defaultColWidth="8.8984375" defaultRowHeight="13.8"/>
  <cols>
    <col min="1" max="1" width="9" style="1" customWidth="1"/>
    <col min="2" max="11" width="8.8984375" style="1"/>
    <col min="12" max="12" width="12.09765625" style="1" bestFit="1" customWidth="1"/>
    <col min="13" max="16384" width="8.8984375" style="1"/>
  </cols>
  <sheetData>
    <row r="1" spans="1:41" ht="14.4">
      <c r="A1" s="31"/>
    </row>
    <row r="2" spans="1:41">
      <c r="D2" s="3"/>
      <c r="E2" s="3"/>
      <c r="F2" s="3"/>
      <c r="G2" s="3"/>
      <c r="H2" s="3"/>
      <c r="I2" s="3"/>
      <c r="J2" s="3"/>
      <c r="K2" s="3"/>
      <c r="L2" s="3"/>
      <c r="M2" s="3"/>
      <c r="N2" s="3"/>
      <c r="O2" s="3"/>
      <c r="P2" s="3"/>
      <c r="AM2" s="1" t="s">
        <v>7471</v>
      </c>
    </row>
    <row r="3" spans="1:41">
      <c r="A3" s="2" t="s">
        <v>7</v>
      </c>
      <c r="D3" s="11" t="s">
        <v>8</v>
      </c>
      <c r="E3" s="3"/>
      <c r="F3" s="3"/>
      <c r="G3" s="3"/>
      <c r="H3" s="3"/>
      <c r="I3" s="3"/>
      <c r="J3" s="3"/>
      <c r="K3" s="3"/>
      <c r="L3" s="3"/>
      <c r="M3" s="3"/>
      <c r="N3" s="3"/>
      <c r="O3" s="3"/>
      <c r="P3" s="3"/>
      <c r="X3" s="36" t="s">
        <v>2129</v>
      </c>
      <c r="Y3" s="36" t="s">
        <v>74</v>
      </c>
      <c r="Z3" s="36" t="s">
        <v>73</v>
      </c>
      <c r="AB3" s="121" t="s">
        <v>6968</v>
      </c>
      <c r="AD3" s="121" t="s">
        <v>6979</v>
      </c>
      <c r="AG3" s="121" t="s">
        <v>6993</v>
      </c>
      <c r="AI3" s="121" t="s">
        <v>7017</v>
      </c>
      <c r="AK3" s="1" t="s">
        <v>7050</v>
      </c>
      <c r="AM3" s="1" t="s">
        <v>7470</v>
      </c>
      <c r="AO3" s="36" t="s">
        <v>7490</v>
      </c>
    </row>
    <row r="4" spans="1:41">
      <c r="A4" s="32"/>
      <c r="B4" s="3" t="s">
        <v>1</v>
      </c>
      <c r="C4" s="3"/>
      <c r="D4" s="13"/>
      <c r="E4" s="3" t="s">
        <v>1</v>
      </c>
      <c r="F4" s="3"/>
      <c r="G4" s="44" t="s">
        <v>170</v>
      </c>
      <c r="H4" s="44" t="s">
        <v>68</v>
      </c>
      <c r="I4" s="36" t="s">
        <v>2136</v>
      </c>
      <c r="J4" s="44" t="s">
        <v>73</v>
      </c>
      <c r="K4" s="44" t="s">
        <v>61</v>
      </c>
      <c r="L4" s="44" t="s">
        <v>7066</v>
      </c>
      <c r="M4" s="44" t="s">
        <v>7455</v>
      </c>
      <c r="N4" s="44" t="s">
        <v>190</v>
      </c>
      <c r="O4" s="121" t="s">
        <v>212</v>
      </c>
      <c r="P4" s="3" t="s">
        <v>216</v>
      </c>
      <c r="Q4" s="121" t="s">
        <v>230</v>
      </c>
      <c r="R4" s="3" t="s">
        <v>216</v>
      </c>
      <c r="S4" s="121" t="s">
        <v>213</v>
      </c>
      <c r="T4" s="3" t="s">
        <v>216</v>
      </c>
      <c r="U4" s="121" t="s">
        <v>2080</v>
      </c>
      <c r="V4" s="1" t="s">
        <v>2098</v>
      </c>
      <c r="X4" t="s">
        <v>2131</v>
      </c>
      <c r="Y4" t="s">
        <v>50</v>
      </c>
      <c r="Z4" t="s">
        <v>48</v>
      </c>
      <c r="AB4" s="121" t="s">
        <v>6969</v>
      </c>
      <c r="AD4" s="121" t="s">
        <v>6980</v>
      </c>
      <c r="AG4" s="36" t="s">
        <v>49</v>
      </c>
      <c r="AI4" s="121" t="s">
        <v>7018</v>
      </c>
      <c r="AK4" s="1" t="s">
        <v>7051</v>
      </c>
      <c r="AM4" s="1" t="s">
        <v>7469</v>
      </c>
      <c r="AO4" s="36" t="s">
        <v>7491</v>
      </c>
    </row>
    <row r="5" spans="1:41">
      <c r="A5" s="9"/>
      <c r="B5" s="3" t="s">
        <v>2</v>
      </c>
      <c r="C5" s="3"/>
      <c r="D5" s="12"/>
      <c r="E5" s="3"/>
      <c r="F5" s="3"/>
      <c r="G5" s="44" t="s">
        <v>171</v>
      </c>
      <c r="H5" s="44" t="s">
        <v>69</v>
      </c>
      <c r="I5" s="36" t="s">
        <v>2137</v>
      </c>
      <c r="J5" s="44" t="s">
        <v>74</v>
      </c>
      <c r="K5" s="44" t="s">
        <v>137</v>
      </c>
      <c r="L5" s="44" t="s">
        <v>7067</v>
      </c>
      <c r="M5" s="44" t="s">
        <v>7453</v>
      </c>
      <c r="N5" s="44" t="s">
        <v>191</v>
      </c>
      <c r="O5" s="121" t="s">
        <v>213</v>
      </c>
      <c r="P5" s="3" t="s">
        <v>217</v>
      </c>
      <c r="Q5" s="1" t="s">
        <v>231</v>
      </c>
      <c r="R5" s="3" t="s">
        <v>216</v>
      </c>
      <c r="S5" s="44" t="s">
        <v>223</v>
      </c>
      <c r="T5" s="3" t="s">
        <v>224</v>
      </c>
      <c r="U5" s="121" t="s">
        <v>2086</v>
      </c>
      <c r="V5" s="1" t="s">
        <v>1978</v>
      </c>
      <c r="X5" t="s">
        <v>2132</v>
      </c>
      <c r="Y5" t="s">
        <v>2133</v>
      </c>
      <c r="Z5" t="s">
        <v>2135</v>
      </c>
      <c r="AB5" s="121" t="s">
        <v>6970</v>
      </c>
      <c r="AD5" s="121" t="s">
        <v>6982</v>
      </c>
      <c r="AG5" s="36" t="s">
        <v>6994</v>
      </c>
      <c r="AI5" s="121" t="s">
        <v>7019</v>
      </c>
      <c r="AK5" s="1" t="s">
        <v>7052</v>
      </c>
      <c r="AM5" s="121" t="s">
        <v>7932</v>
      </c>
    </row>
    <row r="6" spans="1:41">
      <c r="A6" s="33"/>
      <c r="B6" s="3" t="s">
        <v>3</v>
      </c>
      <c r="C6" s="3"/>
      <c r="D6" s="16"/>
      <c r="E6" s="3" t="s">
        <v>2</v>
      </c>
      <c r="F6" s="3"/>
      <c r="G6" s="44"/>
      <c r="H6" s="44"/>
      <c r="I6" s="36" t="s">
        <v>48</v>
      </c>
      <c r="J6" s="44"/>
      <c r="K6" s="44" t="s">
        <v>60</v>
      </c>
      <c r="L6" s="44" t="s">
        <v>7068</v>
      </c>
      <c r="M6" s="44" t="s">
        <v>7454</v>
      </c>
      <c r="N6" s="3"/>
      <c r="O6" s="44" t="s">
        <v>2032</v>
      </c>
      <c r="P6" s="3" t="s">
        <v>218</v>
      </c>
      <c r="Q6" s="44" t="s">
        <v>215</v>
      </c>
      <c r="R6" s="3" t="s">
        <v>218</v>
      </c>
      <c r="U6" s="121" t="s">
        <v>2087</v>
      </c>
      <c r="V6" s="1" t="s">
        <v>1979</v>
      </c>
      <c r="X6" t="s">
        <v>193</v>
      </c>
      <c r="Y6" t="s">
        <v>2131</v>
      </c>
      <c r="Z6" t="s">
        <v>6943</v>
      </c>
      <c r="AB6" s="121" t="s">
        <v>6971</v>
      </c>
      <c r="AD6" s="121" t="s">
        <v>6984</v>
      </c>
      <c r="AG6" s="36" t="s">
        <v>48</v>
      </c>
      <c r="AI6" s="121" t="s">
        <v>7020</v>
      </c>
      <c r="AK6" s="1" t="s">
        <v>7053</v>
      </c>
    </row>
    <row r="7" spans="1:41" ht="15.6">
      <c r="A7" s="34"/>
      <c r="B7" s="3" t="s">
        <v>4</v>
      </c>
      <c r="C7" s="3"/>
      <c r="D7" s="15"/>
      <c r="E7" s="3"/>
      <c r="F7" s="3"/>
      <c r="G7" s="44"/>
      <c r="H7" s="44" t="s">
        <v>70</v>
      </c>
      <c r="I7" s="36" t="s">
        <v>2138</v>
      </c>
      <c r="J7" s="44"/>
      <c r="K7" s="44"/>
      <c r="L7" s="44" t="s">
        <v>7069</v>
      </c>
      <c r="M7" s="121" t="s">
        <v>7464</v>
      </c>
      <c r="N7" s="3"/>
      <c r="O7" s="3" t="s">
        <v>214</v>
      </c>
      <c r="P7" s="3" t="s">
        <v>219</v>
      </c>
      <c r="Q7" s="3" t="s">
        <v>214</v>
      </c>
      <c r="R7" s="3" t="s">
        <v>219</v>
      </c>
      <c r="U7" s="121" t="s">
        <v>2088</v>
      </c>
      <c r="V7" s="1" t="s">
        <v>1980</v>
      </c>
      <c r="Y7" t="s">
        <v>2132</v>
      </c>
      <c r="AD7" s="121" t="s">
        <v>6986</v>
      </c>
      <c r="AK7" s="1" t="s">
        <v>6964</v>
      </c>
    </row>
    <row r="8" spans="1:41">
      <c r="A8" s="4"/>
      <c r="B8" s="3" t="s">
        <v>5</v>
      </c>
      <c r="C8" s="3"/>
      <c r="D8" s="18"/>
      <c r="E8" s="3" t="s">
        <v>3</v>
      </c>
      <c r="F8" s="3"/>
      <c r="G8" s="44"/>
      <c r="H8" s="44" t="s">
        <v>71</v>
      </c>
      <c r="I8" s="44"/>
      <c r="J8" s="44"/>
      <c r="K8" s="44"/>
      <c r="L8" s="44"/>
      <c r="M8" s="44" t="s">
        <v>6947</v>
      </c>
      <c r="N8" s="3"/>
      <c r="O8" s="44" t="s">
        <v>2106</v>
      </c>
      <c r="P8" s="3" t="s">
        <v>224</v>
      </c>
      <c r="Q8" s="44" t="s">
        <v>2106</v>
      </c>
      <c r="R8" s="3" t="s">
        <v>224</v>
      </c>
      <c r="U8" s="121" t="s">
        <v>2089</v>
      </c>
      <c r="V8" s="1" t="s">
        <v>1981</v>
      </c>
      <c r="Y8" t="s">
        <v>193</v>
      </c>
      <c r="AD8" s="121" t="s">
        <v>6988</v>
      </c>
      <c r="AK8" s="1" t="s">
        <v>7054</v>
      </c>
    </row>
    <row r="9" spans="1:41">
      <c r="A9" s="10"/>
      <c r="B9" s="3" t="s">
        <v>6</v>
      </c>
      <c r="C9" s="3"/>
      <c r="D9" s="17"/>
      <c r="E9" s="3"/>
      <c r="F9" s="3"/>
      <c r="G9" s="44"/>
      <c r="H9" s="44"/>
      <c r="I9" s="44"/>
      <c r="J9" s="44"/>
      <c r="K9" s="44"/>
      <c r="L9" s="44"/>
      <c r="M9" s="44"/>
      <c r="N9" s="3"/>
      <c r="O9" s="3"/>
      <c r="P9" s="3"/>
      <c r="U9" s="121" t="s">
        <v>2081</v>
      </c>
      <c r="V9" s="1" t="s">
        <v>2099</v>
      </c>
      <c r="AD9" s="121" t="s">
        <v>7046</v>
      </c>
      <c r="AK9" s="1" t="s">
        <v>7055</v>
      </c>
      <c r="AO9" s="1" t="s">
        <v>7920</v>
      </c>
    </row>
    <row r="10" spans="1:41">
      <c r="D10" s="20"/>
      <c r="E10" s="3" t="s">
        <v>4</v>
      </c>
      <c r="F10" s="3"/>
      <c r="G10" s="44"/>
      <c r="H10" s="44" t="s">
        <v>176</v>
      </c>
      <c r="I10" s="44"/>
      <c r="J10" s="44"/>
      <c r="K10" s="44"/>
      <c r="L10" s="44"/>
      <c r="M10" s="44"/>
      <c r="N10" s="3"/>
      <c r="O10" s="3"/>
      <c r="P10" s="3"/>
      <c r="U10" s="121" t="s">
        <v>2090</v>
      </c>
      <c r="V10" s="1" t="s">
        <v>1982</v>
      </c>
      <c r="AK10" s="1" t="s">
        <v>7056</v>
      </c>
    </row>
    <row r="11" spans="1:41">
      <c r="A11" s="2" t="s">
        <v>0</v>
      </c>
      <c r="B11" s="3"/>
      <c r="C11" s="3"/>
      <c r="D11" s="21"/>
      <c r="E11" s="3"/>
      <c r="F11" s="3"/>
      <c r="G11" s="44"/>
      <c r="H11" s="44" t="s">
        <v>177</v>
      </c>
      <c r="I11" s="44"/>
      <c r="J11" s="44"/>
      <c r="K11" s="44"/>
      <c r="L11" s="44"/>
      <c r="M11" s="44"/>
      <c r="N11" s="3"/>
      <c r="O11" s="3"/>
      <c r="P11" s="3"/>
      <c r="U11" s="121" t="s">
        <v>2091</v>
      </c>
      <c r="V11" s="1" t="s">
        <v>1983</v>
      </c>
      <c r="AK11" s="1" t="s">
        <v>7057</v>
      </c>
    </row>
    <row r="12" spans="1:41">
      <c r="A12" s="5"/>
      <c r="B12" s="3" t="s">
        <v>9</v>
      </c>
      <c r="C12" s="3"/>
      <c r="D12" s="22"/>
      <c r="E12" s="3" t="s">
        <v>5</v>
      </c>
      <c r="F12" s="3"/>
      <c r="G12" s="3"/>
      <c r="H12" s="3"/>
      <c r="I12" s="3"/>
      <c r="J12" s="3"/>
      <c r="K12" s="3"/>
      <c r="L12" s="3"/>
      <c r="M12" s="3"/>
      <c r="N12" s="3"/>
      <c r="O12" s="3"/>
      <c r="P12" s="3"/>
      <c r="U12" s="121" t="s">
        <v>2092</v>
      </c>
      <c r="V12" s="1" t="s">
        <v>1984</v>
      </c>
      <c r="AK12" s="1" t="s">
        <v>7058</v>
      </c>
    </row>
    <row r="13" spans="1:41">
      <c r="A13" s="35"/>
      <c r="B13" s="3" t="s">
        <v>10</v>
      </c>
      <c r="C13" s="3"/>
      <c r="D13" s="19"/>
      <c r="E13" s="3"/>
      <c r="F13" s="3"/>
      <c r="G13" s="3"/>
      <c r="H13" s="3"/>
      <c r="I13" s="3"/>
      <c r="J13" s="3"/>
      <c r="K13" s="3"/>
      <c r="L13" s="3"/>
      <c r="M13" s="3"/>
      <c r="N13" s="3"/>
      <c r="O13" s="3"/>
      <c r="P13" s="3"/>
      <c r="U13" s="121" t="s">
        <v>2082</v>
      </c>
      <c r="V13" s="1" t="s">
        <v>2100</v>
      </c>
      <c r="AK13" s="1" t="s">
        <v>7059</v>
      </c>
    </row>
    <row r="14" spans="1:41">
      <c r="A14" s="6"/>
      <c r="B14" s="3"/>
      <c r="C14" s="3"/>
      <c r="D14" s="23"/>
      <c r="E14" s="3" t="s">
        <v>6</v>
      </c>
      <c r="F14" s="3"/>
      <c r="G14" s="3"/>
      <c r="H14" s="3"/>
      <c r="I14" s="3"/>
      <c r="J14" s="3"/>
      <c r="K14" s="3"/>
      <c r="L14" s="3"/>
      <c r="M14" s="3"/>
      <c r="N14" s="3"/>
      <c r="O14" s="3"/>
      <c r="P14" s="3"/>
      <c r="U14" s="121" t="s">
        <v>2093</v>
      </c>
      <c r="V14" s="1" t="s">
        <v>1985</v>
      </c>
      <c r="AK14" s="1" t="s">
        <v>7060</v>
      </c>
    </row>
    <row r="15" spans="1:41">
      <c r="A15" s="11"/>
      <c r="B15" s="3"/>
      <c r="C15" s="3"/>
      <c r="D15" s="24"/>
      <c r="E15" s="3"/>
      <c r="F15" s="3"/>
      <c r="G15" s="3"/>
      <c r="H15" s="3"/>
      <c r="I15" s="3"/>
      <c r="J15" s="3"/>
      <c r="K15" s="3"/>
      <c r="L15" s="3"/>
      <c r="M15" s="3"/>
      <c r="N15" s="3"/>
      <c r="O15" s="3"/>
      <c r="P15" s="3"/>
      <c r="U15" s="121" t="s">
        <v>2094</v>
      </c>
      <c r="V15" s="1" t="s">
        <v>1986</v>
      </c>
      <c r="AK15" s="1" t="s">
        <v>7061</v>
      </c>
    </row>
    <row r="16" spans="1:41">
      <c r="A16" s="6"/>
      <c r="B16" s="3"/>
      <c r="C16" s="3"/>
      <c r="D16" s="3"/>
      <c r="E16" s="3"/>
      <c r="F16" s="3"/>
      <c r="G16" s="3"/>
      <c r="H16" s="3"/>
      <c r="I16" s="3"/>
      <c r="J16" s="3"/>
      <c r="K16" s="3"/>
      <c r="L16" s="3"/>
      <c r="M16" s="3"/>
      <c r="N16" s="3"/>
      <c r="O16" s="3"/>
      <c r="P16" s="3"/>
      <c r="U16" s="121" t="s">
        <v>2083</v>
      </c>
      <c r="V16" s="1" t="s">
        <v>2101</v>
      </c>
      <c r="AK16" s="1" t="s">
        <v>7062</v>
      </c>
    </row>
    <row r="17" spans="1:37">
      <c r="A17" s="11" t="s">
        <v>11</v>
      </c>
      <c r="B17" s="3"/>
      <c r="C17" s="3"/>
      <c r="D17" s="11" t="s">
        <v>12</v>
      </c>
      <c r="E17" s="3"/>
      <c r="F17" s="3"/>
      <c r="G17" s="3"/>
      <c r="H17" s="3"/>
      <c r="I17" s="3"/>
      <c r="J17" s="3"/>
      <c r="K17" s="3"/>
      <c r="L17" s="3"/>
      <c r="M17" s="3"/>
      <c r="N17" s="3"/>
      <c r="O17" s="3"/>
      <c r="P17" s="3"/>
      <c r="U17" s="121" t="s">
        <v>2084</v>
      </c>
      <c r="V17" s="1" t="s">
        <v>2102</v>
      </c>
      <c r="AK17" s="1" t="s">
        <v>7063</v>
      </c>
    </row>
    <row r="18" spans="1:37">
      <c r="A18" s="14"/>
      <c r="B18" s="3" t="s">
        <v>13</v>
      </c>
      <c r="C18" s="3"/>
      <c r="D18" s="30"/>
      <c r="E18" s="3" t="s">
        <v>18</v>
      </c>
      <c r="F18" s="3"/>
      <c r="G18" s="3"/>
      <c r="H18" s="3"/>
      <c r="I18" s="3"/>
      <c r="J18" s="3"/>
      <c r="K18" s="3"/>
      <c r="L18" s="3"/>
      <c r="M18" s="3"/>
      <c r="N18" s="3"/>
      <c r="O18" s="3"/>
      <c r="P18" s="3"/>
      <c r="U18" s="121" t="s">
        <v>2095</v>
      </c>
      <c r="V18" s="1" t="s">
        <v>1987</v>
      </c>
    </row>
    <row r="19" spans="1:37">
      <c r="A19" s="26"/>
      <c r="B19" s="3" t="s">
        <v>14</v>
      </c>
      <c r="C19" s="3"/>
      <c r="D19" s="3"/>
      <c r="E19" s="3"/>
      <c r="F19" s="3"/>
      <c r="G19" s="3"/>
      <c r="H19" s="3"/>
      <c r="I19" s="3"/>
      <c r="J19" s="3"/>
      <c r="K19" s="3"/>
      <c r="L19" s="3"/>
      <c r="M19" s="3"/>
      <c r="N19" s="3"/>
      <c r="O19" s="3"/>
      <c r="P19" s="3"/>
      <c r="U19" s="121" t="s">
        <v>2096</v>
      </c>
      <c r="V19" s="1" t="s">
        <v>1988</v>
      </c>
    </row>
    <row r="20" spans="1:37">
      <c r="A20" s="27"/>
      <c r="B20" s="3" t="s">
        <v>15</v>
      </c>
      <c r="C20" s="3"/>
      <c r="D20" s="3"/>
      <c r="E20" s="3"/>
      <c r="F20" s="3"/>
      <c r="G20" s="3"/>
      <c r="H20" s="3"/>
      <c r="I20" s="3"/>
      <c r="J20" s="3"/>
      <c r="K20" s="3"/>
      <c r="L20" s="3"/>
      <c r="M20" s="3"/>
      <c r="N20" s="3"/>
      <c r="O20" s="3"/>
      <c r="P20" s="3"/>
      <c r="U20" s="121" t="s">
        <v>2097</v>
      </c>
      <c r="V20" s="1" t="s">
        <v>1989</v>
      </c>
    </row>
    <row r="21" spans="1:37">
      <c r="A21" s="28"/>
      <c r="B21" s="3" t="s">
        <v>16</v>
      </c>
      <c r="C21" s="3"/>
      <c r="D21" s="3"/>
      <c r="E21" s="3"/>
      <c r="F21" s="3"/>
      <c r="G21" s="3"/>
      <c r="H21" s="3"/>
      <c r="I21" s="3"/>
      <c r="J21" s="3"/>
      <c r="K21" s="3"/>
      <c r="L21" s="3"/>
      <c r="M21" s="3"/>
      <c r="N21" s="3"/>
      <c r="O21" s="3"/>
      <c r="P21" s="3"/>
      <c r="U21" s="121" t="s">
        <v>2085</v>
      </c>
      <c r="V21" s="1" t="s">
        <v>2103</v>
      </c>
    </row>
    <row r="22" spans="1:37">
      <c r="A22" s="29"/>
      <c r="B22" s="3" t="s">
        <v>17</v>
      </c>
      <c r="C22" s="3"/>
      <c r="D22" s="3"/>
      <c r="E22" s="3"/>
      <c r="F22" s="3"/>
      <c r="G22" s="3"/>
      <c r="H22" s="3"/>
      <c r="I22" s="3"/>
      <c r="J22" s="3"/>
      <c r="K22" s="3"/>
      <c r="L22" s="3"/>
      <c r="M22" s="3"/>
      <c r="N22" s="3"/>
      <c r="O22" s="3"/>
      <c r="P22" s="3"/>
      <c r="U22" s="121" t="s">
        <v>7512</v>
      </c>
      <c r="V22" s="1" t="s">
        <v>1990</v>
      </c>
    </row>
    <row r="23" spans="1:37">
      <c r="A23" s="6"/>
      <c r="B23" s="3"/>
      <c r="C23" s="3"/>
      <c r="D23" s="3"/>
      <c r="E23" s="3"/>
      <c r="F23" s="3"/>
      <c r="G23" s="3"/>
      <c r="H23" s="3"/>
      <c r="I23" s="3"/>
      <c r="J23" s="3"/>
      <c r="K23" s="3"/>
      <c r="L23" s="3"/>
      <c r="M23" s="3"/>
      <c r="N23" s="3"/>
      <c r="O23" s="3"/>
      <c r="P23" s="3"/>
    </row>
    <row r="24" spans="1:37">
      <c r="A24" s="25"/>
      <c r="B24" s="3"/>
      <c r="C24" s="3"/>
      <c r="D24" s="3"/>
      <c r="E24" s="3"/>
      <c r="F24" s="3"/>
      <c r="G24" s="3"/>
      <c r="H24" s="3"/>
      <c r="I24" s="3"/>
      <c r="J24" s="3"/>
      <c r="K24" s="3"/>
      <c r="L24" s="3"/>
      <c r="M24" s="3"/>
      <c r="N24" s="3"/>
      <c r="O24" s="3"/>
      <c r="P24" s="3"/>
    </row>
    <row r="25" spans="1:37">
      <c r="G25" s="3"/>
      <c r="H25" s="3"/>
      <c r="I25" s="3"/>
      <c r="J25" s="3"/>
      <c r="K25" s="3"/>
      <c r="L25" s="3"/>
      <c r="M25" s="3"/>
      <c r="N25" s="3"/>
      <c r="O25" s="3"/>
      <c r="P25" s="3"/>
    </row>
    <row r="26" spans="1:37">
      <c r="G26" s="3"/>
      <c r="H26" s="3"/>
      <c r="I26" s="3"/>
      <c r="J26" s="3"/>
      <c r="K26" s="3"/>
      <c r="L26" s="3"/>
      <c r="M26" s="3"/>
      <c r="N26" s="3"/>
      <c r="O26" s="3"/>
      <c r="P26" s="3"/>
    </row>
    <row r="27" spans="1:37">
      <c r="G27" s="3"/>
      <c r="H27" s="3"/>
      <c r="I27" s="3"/>
      <c r="J27" s="3"/>
      <c r="K27" s="3"/>
      <c r="L27" s="3"/>
      <c r="M27" s="3"/>
      <c r="N27" s="3"/>
      <c r="O27" s="3"/>
      <c r="P27" s="3"/>
    </row>
  </sheetData>
  <phoneticPr fontId="33"/>
  <pageMargins left="0.70866141732283472" right="0.70866141732283472" top="0.74803149606299213" bottom="0.74803149606299213" header="0.31496062992125984" footer="0.31496062992125984"/>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C8C8C"/>
    <pageSetUpPr fitToPage="1"/>
  </sheetPr>
  <dimension ref="B3:V128"/>
  <sheetViews>
    <sheetView showGridLines="0" tabSelected="1" view="pageBreakPreview" topLeftCell="A26" zoomScale="70" zoomScaleNormal="100" zoomScaleSheetLayoutView="70" workbookViewId="0">
      <selection activeCell="AC46" sqref="AC46"/>
    </sheetView>
  </sheetViews>
  <sheetFormatPr defaultColWidth="8.8984375" defaultRowHeight="13.8"/>
  <cols>
    <col min="1" max="1" width="2.09765625" style="7" customWidth="1"/>
    <col min="2" max="2" width="10" style="7" bestFit="1" customWidth="1"/>
    <col min="3" max="6" width="7.8984375" style="7" customWidth="1"/>
    <col min="7" max="20" width="5.09765625" style="7" customWidth="1"/>
    <col min="21" max="16384" width="8.8984375" style="7"/>
  </cols>
  <sheetData>
    <row r="3" spans="2:22" ht="27.75" customHeight="1">
      <c r="B3" s="887" t="s">
        <v>7828</v>
      </c>
      <c r="C3" s="887"/>
      <c r="D3" s="887"/>
      <c r="E3" s="887"/>
      <c r="F3" s="887"/>
      <c r="G3" s="887"/>
      <c r="H3" s="887"/>
      <c r="I3" s="887"/>
      <c r="J3" s="887"/>
      <c r="K3" s="887"/>
      <c r="L3" s="887"/>
      <c r="M3" s="887"/>
      <c r="N3" s="887"/>
      <c r="O3" s="887"/>
      <c r="P3" s="887"/>
      <c r="Q3" s="887"/>
      <c r="R3" s="887"/>
      <c r="S3" s="887"/>
      <c r="T3" s="887"/>
      <c r="U3" s="887"/>
      <c r="V3" s="887"/>
    </row>
    <row r="4" spans="2:22">
      <c r="B4" s="46"/>
      <c r="C4" s="46"/>
      <c r="D4" s="46"/>
      <c r="E4" s="46"/>
      <c r="F4" s="46"/>
      <c r="G4" s="46"/>
      <c r="H4" s="46"/>
      <c r="I4" s="46"/>
      <c r="J4" s="46"/>
      <c r="K4" s="46"/>
      <c r="L4" s="46"/>
      <c r="M4" s="46"/>
      <c r="N4" s="46"/>
      <c r="O4" s="46"/>
      <c r="P4" s="46"/>
      <c r="Q4" s="46"/>
      <c r="R4" s="46"/>
      <c r="S4" s="46"/>
      <c r="T4" s="46"/>
    </row>
    <row r="5" spans="2:22">
      <c r="B5" s="890" t="s">
        <v>35</v>
      </c>
      <c r="C5" s="891"/>
      <c r="D5" s="892"/>
      <c r="E5" s="899" t="s">
        <v>19</v>
      </c>
      <c r="F5" s="900"/>
      <c r="G5" s="901" t="s">
        <v>20</v>
      </c>
      <c r="H5" s="902"/>
      <c r="I5" s="902"/>
      <c r="J5" s="902"/>
      <c r="K5" s="902"/>
      <c r="L5" s="902"/>
      <c r="M5" s="902"/>
      <c r="N5" s="902"/>
      <c r="O5" s="902"/>
      <c r="P5" s="902"/>
      <c r="Q5" s="902"/>
      <c r="R5" s="902"/>
      <c r="S5" s="902"/>
      <c r="T5" s="903"/>
    </row>
    <row r="6" spans="2:22">
      <c r="B6" s="893"/>
      <c r="C6" s="894"/>
      <c r="D6" s="895"/>
      <c r="E6" s="883" t="s">
        <v>21</v>
      </c>
      <c r="F6" s="884"/>
      <c r="G6" s="880" t="s">
        <v>22</v>
      </c>
      <c r="H6" s="881"/>
      <c r="I6" s="881"/>
      <c r="J6" s="881"/>
      <c r="K6" s="881"/>
      <c r="L6" s="881"/>
      <c r="M6" s="881"/>
      <c r="N6" s="881"/>
      <c r="O6" s="881"/>
      <c r="P6" s="881"/>
      <c r="Q6" s="881"/>
      <c r="R6" s="881"/>
      <c r="S6" s="881"/>
      <c r="T6" s="882"/>
    </row>
    <row r="7" spans="2:22">
      <c r="B7" s="893"/>
      <c r="C7" s="894"/>
      <c r="D7" s="895"/>
      <c r="E7" s="883" t="s">
        <v>23</v>
      </c>
      <c r="F7" s="884"/>
      <c r="G7" s="880" t="s">
        <v>149</v>
      </c>
      <c r="H7" s="881"/>
      <c r="I7" s="881"/>
      <c r="J7" s="881"/>
      <c r="K7" s="881"/>
      <c r="L7" s="881"/>
      <c r="M7" s="881"/>
      <c r="N7" s="881"/>
      <c r="O7" s="881"/>
      <c r="P7" s="881"/>
      <c r="Q7" s="881"/>
      <c r="R7" s="881"/>
      <c r="S7" s="881"/>
      <c r="T7" s="882"/>
    </row>
    <row r="8" spans="2:22">
      <c r="B8" s="893"/>
      <c r="C8" s="894"/>
      <c r="D8" s="895"/>
      <c r="E8" s="883" t="s">
        <v>24</v>
      </c>
      <c r="F8" s="884"/>
      <c r="G8" s="880" t="s">
        <v>25</v>
      </c>
      <c r="H8" s="881"/>
      <c r="I8" s="881"/>
      <c r="J8" s="881"/>
      <c r="K8" s="881"/>
      <c r="L8" s="881"/>
      <c r="M8" s="881"/>
      <c r="N8" s="881"/>
      <c r="O8" s="881"/>
      <c r="P8" s="881"/>
      <c r="Q8" s="881"/>
      <c r="R8" s="881"/>
      <c r="S8" s="881"/>
      <c r="T8" s="882"/>
    </row>
    <row r="9" spans="2:22">
      <c r="B9" s="893"/>
      <c r="C9" s="894"/>
      <c r="D9" s="895"/>
      <c r="E9" s="883" t="s">
        <v>26</v>
      </c>
      <c r="F9" s="884"/>
      <c r="G9" s="880" t="s">
        <v>27</v>
      </c>
      <c r="H9" s="881"/>
      <c r="I9" s="881"/>
      <c r="J9" s="881"/>
      <c r="K9" s="881"/>
      <c r="L9" s="881"/>
      <c r="M9" s="881"/>
      <c r="N9" s="881"/>
      <c r="O9" s="881"/>
      <c r="P9" s="881"/>
      <c r="Q9" s="881"/>
      <c r="R9" s="881"/>
      <c r="S9" s="881"/>
      <c r="T9" s="882"/>
    </row>
    <row r="10" spans="2:22">
      <c r="B10" s="893"/>
      <c r="C10" s="894"/>
      <c r="D10" s="895"/>
      <c r="E10" s="883" t="s">
        <v>28</v>
      </c>
      <c r="F10" s="884"/>
      <c r="G10" s="885" t="s">
        <v>29</v>
      </c>
      <c r="H10" s="886"/>
      <c r="I10" s="881" t="s">
        <v>30</v>
      </c>
      <c r="J10" s="881"/>
      <c r="K10" s="881"/>
      <c r="L10" s="881"/>
      <c r="M10" s="881"/>
      <c r="N10" s="228" t="s">
        <v>31</v>
      </c>
      <c r="O10" s="881" t="s">
        <v>32</v>
      </c>
      <c r="P10" s="881"/>
      <c r="Q10" s="881"/>
      <c r="R10" s="881"/>
      <c r="S10" s="881"/>
      <c r="T10" s="882"/>
    </row>
    <row r="11" spans="2:22">
      <c r="B11" s="896"/>
      <c r="C11" s="897"/>
      <c r="D11" s="898"/>
      <c r="E11" s="861" t="s">
        <v>33</v>
      </c>
      <c r="F11" s="862"/>
      <c r="G11" s="863" t="s">
        <v>34</v>
      </c>
      <c r="H11" s="864"/>
      <c r="I11" s="864"/>
      <c r="J11" s="864"/>
      <c r="K11" s="864"/>
      <c r="L11" s="864"/>
      <c r="M11" s="864"/>
      <c r="N11" s="864"/>
      <c r="O11" s="864"/>
      <c r="P11" s="864"/>
      <c r="Q11" s="864"/>
      <c r="R11" s="864"/>
      <c r="S11" s="864"/>
      <c r="T11" s="865"/>
    </row>
    <row r="12" spans="2:22">
      <c r="B12" s="629"/>
      <c r="C12" s="629"/>
      <c r="D12" s="629"/>
      <c r="E12" s="629"/>
      <c r="F12" s="629"/>
      <c r="G12" s="630"/>
      <c r="H12" s="631"/>
      <c r="I12" s="631"/>
      <c r="J12" s="631"/>
      <c r="K12" s="631"/>
      <c r="L12" s="631"/>
      <c r="M12" s="631"/>
      <c r="N12" s="631"/>
      <c r="O12" s="631"/>
      <c r="P12" s="631"/>
      <c r="Q12" s="631"/>
      <c r="R12" s="631"/>
      <c r="S12" s="631"/>
      <c r="T12" s="631"/>
    </row>
    <row r="13" spans="2:22" ht="13.95" customHeight="1">
      <c r="B13" s="875" t="s">
        <v>7806</v>
      </c>
      <c r="C13" s="875"/>
      <c r="D13" s="875"/>
      <c r="E13" s="875" t="s">
        <v>7807</v>
      </c>
      <c r="F13" s="875"/>
      <c r="G13" s="876" t="s">
        <v>7810</v>
      </c>
      <c r="H13" s="876"/>
      <c r="I13" s="876"/>
      <c r="J13" s="876"/>
      <c r="K13" s="876"/>
      <c r="L13" s="876"/>
      <c r="M13" s="876"/>
      <c r="N13" s="876"/>
      <c r="O13" s="876"/>
      <c r="P13" s="876"/>
      <c r="Q13" s="876"/>
      <c r="R13" s="876"/>
      <c r="S13" s="876"/>
      <c r="T13" s="876"/>
    </row>
    <row r="14" spans="2:22" ht="13.95" customHeight="1">
      <c r="B14" s="875"/>
      <c r="C14" s="875"/>
      <c r="D14" s="875"/>
      <c r="E14" s="875" t="s">
        <v>7808</v>
      </c>
      <c r="F14" s="875"/>
      <c r="G14" s="889" t="str">
        <f>IF(G13="自主的な活用","（例：本事業は水素の利活用による地球温暖化対策を推進することを目的に、水電解装置の開発を行うものである。LCA実施の目的は、水電解装置の効率化によるライフサイクルを通じた環境負荷の改善効果を把握するとともに、市場投入後の温室効果ガス排出量削減効果の予測を行うことである）。","(例：本事業は、中長期的な地球温暖化対策の推進を目的として、未利用の副生水素の地域内利用を図るものである。LCA実施の目的は、副生水素の発生から利用までを通じた温室効果ガス排出量の算定を行うとともに、従来の燃料との比較評価を行うことである。なお、比較評価結果は一般公開を前提とする。）")</f>
        <v>(例：本事業は、中長期的な地球温暖化対策の推進を目的として、未利用の副生水素の地域内利用を図るものである。LCA実施の目的は、副生水素の発生から利用までを通じた温室効果ガス排出量の算定を行うとともに、従来の燃料との比較評価を行うことである。なお、比較評価結果は一般公開を前提とする。）</v>
      </c>
      <c r="H14" s="889"/>
      <c r="I14" s="889"/>
      <c r="J14" s="889"/>
      <c r="K14" s="889"/>
      <c r="L14" s="889"/>
      <c r="M14" s="889"/>
      <c r="N14" s="889"/>
      <c r="O14" s="889"/>
      <c r="P14" s="889"/>
      <c r="Q14" s="889"/>
      <c r="R14" s="889"/>
      <c r="S14" s="889"/>
      <c r="T14" s="889"/>
    </row>
    <row r="15" spans="2:22">
      <c r="B15" s="875"/>
      <c r="C15" s="875"/>
      <c r="D15" s="875"/>
      <c r="E15" s="875"/>
      <c r="F15" s="875"/>
      <c r="G15" s="889"/>
      <c r="H15" s="889"/>
      <c r="I15" s="889"/>
      <c r="J15" s="889"/>
      <c r="K15" s="889"/>
      <c r="L15" s="889"/>
      <c r="M15" s="889"/>
      <c r="N15" s="889"/>
      <c r="O15" s="889"/>
      <c r="P15" s="889"/>
      <c r="Q15" s="889"/>
      <c r="R15" s="889"/>
      <c r="S15" s="889"/>
      <c r="T15" s="889"/>
    </row>
    <row r="16" spans="2:22">
      <c r="B16" s="875"/>
      <c r="C16" s="875"/>
      <c r="D16" s="875"/>
      <c r="E16" s="875"/>
      <c r="F16" s="875"/>
      <c r="G16" s="889"/>
      <c r="H16" s="889"/>
      <c r="I16" s="889"/>
      <c r="J16" s="889"/>
      <c r="K16" s="889"/>
      <c r="L16" s="889"/>
      <c r="M16" s="889"/>
      <c r="N16" s="889"/>
      <c r="O16" s="889"/>
      <c r="P16" s="889"/>
      <c r="Q16" s="889"/>
      <c r="R16" s="889"/>
      <c r="S16" s="889"/>
      <c r="T16" s="889"/>
    </row>
    <row r="17" spans="2:22">
      <c r="B17" s="875"/>
      <c r="C17" s="875"/>
      <c r="D17" s="875"/>
      <c r="E17" s="875"/>
      <c r="F17" s="875"/>
      <c r="G17" s="889"/>
      <c r="H17" s="889"/>
      <c r="I17" s="889"/>
      <c r="J17" s="889"/>
      <c r="K17" s="889"/>
      <c r="L17" s="889"/>
      <c r="M17" s="889"/>
      <c r="N17" s="889"/>
      <c r="O17" s="889"/>
      <c r="P17" s="889"/>
      <c r="Q17" s="889"/>
      <c r="R17" s="889"/>
      <c r="S17" s="889"/>
      <c r="T17" s="889"/>
    </row>
    <row r="18" spans="2:22">
      <c r="B18" s="46"/>
      <c r="C18" s="46"/>
      <c r="D18" s="46"/>
      <c r="E18" s="46"/>
      <c r="F18" s="46"/>
      <c r="G18" s="46"/>
      <c r="H18" s="46"/>
      <c r="I18" s="46"/>
      <c r="J18" s="46"/>
      <c r="K18" s="46"/>
      <c r="L18" s="46"/>
      <c r="M18" s="46"/>
      <c r="N18" s="46"/>
      <c r="O18" s="46"/>
      <c r="P18" s="46"/>
      <c r="Q18" s="46"/>
      <c r="R18" s="46"/>
      <c r="S18" s="46"/>
      <c r="T18" s="46"/>
    </row>
    <row r="19" spans="2:22">
      <c r="B19" s="859" t="s">
        <v>61</v>
      </c>
      <c r="C19" s="41" t="s">
        <v>41</v>
      </c>
      <c r="D19" s="38"/>
      <c r="E19" s="38"/>
      <c r="F19" s="52"/>
      <c r="G19" s="846" t="s">
        <v>42</v>
      </c>
      <c r="H19" s="847"/>
      <c r="I19" s="847"/>
      <c r="J19" s="847"/>
      <c r="K19" s="847"/>
      <c r="L19" s="847"/>
      <c r="M19" s="847"/>
      <c r="N19" s="847"/>
      <c r="O19" s="847"/>
      <c r="P19" s="847"/>
      <c r="Q19" s="847"/>
      <c r="R19" s="847"/>
      <c r="S19" s="847"/>
      <c r="T19" s="848"/>
    </row>
    <row r="20" spans="2:22">
      <c r="B20" s="860"/>
      <c r="C20" s="41" t="s">
        <v>36</v>
      </c>
      <c r="D20" s="38"/>
      <c r="E20" s="45"/>
      <c r="F20" s="53"/>
      <c r="G20" s="866">
        <v>2016</v>
      </c>
      <c r="H20" s="866"/>
      <c r="I20" s="49" t="s">
        <v>38</v>
      </c>
      <c r="J20" s="637">
        <v>2</v>
      </c>
      <c r="K20" s="49" t="s">
        <v>39</v>
      </c>
      <c r="L20" s="637">
        <v>1</v>
      </c>
      <c r="M20" s="49" t="s">
        <v>40</v>
      </c>
      <c r="N20" s="50"/>
      <c r="O20" s="50"/>
      <c r="P20" s="50"/>
      <c r="Q20" s="50"/>
      <c r="R20" s="50"/>
      <c r="S20" s="50"/>
      <c r="T20" s="51"/>
    </row>
    <row r="21" spans="2:22">
      <c r="B21" s="860"/>
      <c r="C21" s="42" t="s">
        <v>37</v>
      </c>
      <c r="D21" s="45"/>
      <c r="E21" s="41" t="s">
        <v>66</v>
      </c>
      <c r="F21" s="54"/>
      <c r="G21" s="846" t="s">
        <v>7650</v>
      </c>
      <c r="H21" s="847"/>
      <c r="I21" s="847"/>
      <c r="J21" s="847"/>
      <c r="K21" s="847"/>
      <c r="L21" s="847"/>
      <c r="M21" s="847"/>
      <c r="N21" s="847"/>
      <c r="O21" s="847"/>
      <c r="P21" s="847"/>
      <c r="Q21" s="847"/>
      <c r="R21" s="847"/>
      <c r="S21" s="847"/>
      <c r="T21" s="848"/>
    </row>
    <row r="22" spans="2:22" ht="27" customHeight="1">
      <c r="B22" s="860"/>
      <c r="C22" s="39"/>
      <c r="D22" s="75"/>
      <c r="E22" s="42" t="s">
        <v>67</v>
      </c>
      <c r="F22" s="53"/>
      <c r="G22" s="877" t="s">
        <v>7651</v>
      </c>
      <c r="H22" s="878"/>
      <c r="I22" s="878"/>
      <c r="J22" s="878"/>
      <c r="K22" s="878"/>
      <c r="L22" s="878"/>
      <c r="M22" s="878"/>
      <c r="N22" s="878"/>
      <c r="O22" s="878"/>
      <c r="P22" s="878"/>
      <c r="Q22" s="878"/>
      <c r="R22" s="878"/>
      <c r="S22" s="878"/>
      <c r="T22" s="879"/>
    </row>
    <row r="23" spans="2:22">
      <c r="B23" s="860"/>
      <c r="C23" s="42" t="s">
        <v>63</v>
      </c>
      <c r="D23" s="74"/>
      <c r="E23" s="42" t="s">
        <v>178</v>
      </c>
      <c r="F23" s="53"/>
      <c r="G23" s="867">
        <v>100</v>
      </c>
      <c r="H23" s="868"/>
      <c r="I23" s="868"/>
      <c r="J23" s="82" t="s">
        <v>174</v>
      </c>
      <c r="K23" s="50"/>
      <c r="L23" s="50"/>
      <c r="M23" s="50"/>
      <c r="N23" s="50"/>
      <c r="O23" s="50"/>
      <c r="P23" s="50"/>
      <c r="Q23" s="50"/>
      <c r="R23" s="50"/>
      <c r="S23" s="50"/>
      <c r="T23" s="51"/>
    </row>
    <row r="24" spans="2:22">
      <c r="B24" s="860"/>
      <c r="C24" s="43"/>
      <c r="D24" s="40"/>
      <c r="E24" s="41" t="s">
        <v>64</v>
      </c>
      <c r="F24" s="54"/>
      <c r="G24" s="868">
        <f>G23*24</f>
        <v>2400</v>
      </c>
      <c r="H24" s="868"/>
      <c r="I24" s="868"/>
      <c r="J24" s="82" t="s">
        <v>179</v>
      </c>
      <c r="K24" s="47"/>
      <c r="L24" s="47"/>
      <c r="M24" s="47"/>
      <c r="N24" s="47"/>
      <c r="O24" s="47"/>
      <c r="P24" s="47"/>
      <c r="Q24" s="47"/>
      <c r="R24" s="47"/>
      <c r="S24" s="47"/>
      <c r="T24" s="48"/>
    </row>
    <row r="25" spans="2:22">
      <c r="B25" s="860"/>
      <c r="C25" s="39"/>
      <c r="D25" s="37"/>
      <c r="E25" s="41" t="s">
        <v>65</v>
      </c>
      <c r="F25" s="54"/>
      <c r="G25" s="868">
        <f>G24*330</f>
        <v>792000</v>
      </c>
      <c r="H25" s="868"/>
      <c r="I25" s="868"/>
      <c r="J25" s="82" t="s">
        <v>180</v>
      </c>
      <c r="K25" s="47"/>
      <c r="L25" s="47"/>
      <c r="M25" s="47"/>
      <c r="N25" s="47"/>
      <c r="O25" s="47"/>
      <c r="P25" s="47"/>
      <c r="Q25" s="47"/>
      <c r="R25" s="47"/>
      <c r="S25" s="47"/>
      <c r="T25" s="48"/>
    </row>
    <row r="26" spans="2:22">
      <c r="B26" s="859" t="s">
        <v>141</v>
      </c>
      <c r="C26" s="872" t="s">
        <v>142</v>
      </c>
      <c r="D26" s="873"/>
      <c r="E26" s="873"/>
      <c r="F26" s="874"/>
      <c r="G26" s="846" t="s">
        <v>7652</v>
      </c>
      <c r="H26" s="847"/>
      <c r="I26" s="847"/>
      <c r="J26" s="847"/>
      <c r="K26" s="847"/>
      <c r="L26" s="847"/>
      <c r="M26" s="847"/>
      <c r="N26" s="847"/>
      <c r="O26" s="847"/>
      <c r="P26" s="847"/>
      <c r="Q26" s="847"/>
      <c r="R26" s="847"/>
      <c r="S26" s="847"/>
      <c r="T26" s="848"/>
    </row>
    <row r="27" spans="2:22">
      <c r="B27" s="860"/>
      <c r="C27" s="872" t="s">
        <v>143</v>
      </c>
      <c r="D27" s="873"/>
      <c r="E27" s="873"/>
      <c r="F27" s="874"/>
      <c r="G27" s="846" t="s">
        <v>7654</v>
      </c>
      <c r="H27" s="847"/>
      <c r="I27" s="847"/>
      <c r="J27" s="847"/>
      <c r="K27" s="847"/>
      <c r="L27" s="847"/>
      <c r="M27" s="847"/>
      <c r="N27" s="847"/>
      <c r="O27" s="847"/>
      <c r="P27" s="847"/>
      <c r="Q27" s="847"/>
      <c r="R27" s="847"/>
      <c r="S27" s="847"/>
      <c r="T27" s="848"/>
    </row>
    <row r="28" spans="2:22">
      <c r="B28" s="860"/>
      <c r="C28" s="869" t="s">
        <v>164</v>
      </c>
      <c r="D28" s="870"/>
      <c r="E28" s="870"/>
      <c r="F28" s="871"/>
      <c r="G28" s="846" t="s">
        <v>7653</v>
      </c>
      <c r="H28" s="847"/>
      <c r="I28" s="847"/>
      <c r="J28" s="847"/>
      <c r="K28" s="847"/>
      <c r="L28" s="847"/>
      <c r="M28" s="847"/>
      <c r="N28" s="847"/>
      <c r="O28" s="847"/>
      <c r="P28" s="847"/>
      <c r="Q28" s="847"/>
      <c r="R28" s="847"/>
      <c r="S28" s="847"/>
      <c r="T28" s="848"/>
    </row>
    <row r="29" spans="2:22">
      <c r="B29" s="46"/>
      <c r="C29" s="327"/>
      <c r="D29" s="327"/>
      <c r="E29" s="327"/>
      <c r="F29" s="327"/>
      <c r="G29" s="327"/>
      <c r="H29" s="327"/>
      <c r="I29" s="327"/>
      <c r="J29" s="327"/>
      <c r="K29" s="327"/>
      <c r="L29" s="327"/>
      <c r="M29" s="327"/>
      <c r="N29" s="327"/>
      <c r="O29" s="327"/>
      <c r="P29" s="46"/>
      <c r="Q29" s="46"/>
      <c r="R29" s="46"/>
      <c r="S29" s="327"/>
      <c r="T29" s="46"/>
    </row>
    <row r="30" spans="2:22">
      <c r="B30" s="888" t="s">
        <v>163</v>
      </c>
      <c r="C30" s="888"/>
      <c r="D30" s="888"/>
      <c r="E30" s="888"/>
      <c r="F30" s="888"/>
      <c r="G30" s="888"/>
      <c r="H30" s="888"/>
      <c r="I30" s="888"/>
      <c r="J30" s="888"/>
      <c r="K30" s="888"/>
      <c r="L30" s="888"/>
      <c r="M30" s="888"/>
      <c r="N30" s="888"/>
      <c r="O30" s="888"/>
      <c r="P30" s="888"/>
      <c r="Q30" s="888"/>
      <c r="R30" s="888"/>
      <c r="S30" s="888"/>
      <c r="T30" s="888"/>
      <c r="U30" s="888"/>
      <c r="V30" s="888"/>
    </row>
    <row r="31" spans="2:22">
      <c r="B31" s="149"/>
      <c r="C31" s="149"/>
      <c r="D31" s="149"/>
      <c r="E31" s="149"/>
      <c r="F31" s="149"/>
      <c r="G31" s="149"/>
      <c r="H31" s="327"/>
      <c r="I31" s="327"/>
      <c r="J31" s="327"/>
      <c r="K31" s="327"/>
      <c r="L31" s="327"/>
      <c r="M31" s="327"/>
      <c r="N31" s="327"/>
      <c r="O31" s="46"/>
      <c r="P31" s="46"/>
      <c r="Q31" s="46"/>
      <c r="R31" s="46"/>
      <c r="S31" s="327"/>
      <c r="T31" s="46"/>
    </row>
    <row r="32" spans="2:22">
      <c r="B32" s="851" t="s">
        <v>150</v>
      </c>
      <c r="C32" s="852"/>
      <c r="D32" s="856" t="s">
        <v>61</v>
      </c>
      <c r="E32" s="856"/>
      <c r="F32" s="857" t="s">
        <v>137</v>
      </c>
      <c r="G32" s="858"/>
      <c r="H32" s="856" t="s">
        <v>60</v>
      </c>
      <c r="I32" s="856"/>
      <c r="J32" s="854"/>
      <c r="K32" s="854"/>
      <c r="L32" s="327"/>
      <c r="M32" s="327"/>
      <c r="N32" s="327"/>
      <c r="O32" s="327"/>
      <c r="P32" s="46"/>
      <c r="Q32" s="46"/>
      <c r="R32" s="46"/>
      <c r="S32" s="327"/>
      <c r="T32" s="46"/>
    </row>
    <row r="33" spans="2:22">
      <c r="B33" s="62" t="s">
        <v>55</v>
      </c>
      <c r="C33" s="66" t="s">
        <v>72</v>
      </c>
      <c r="D33" s="849">
        <v>99.999899999999997</v>
      </c>
      <c r="E33" s="849"/>
      <c r="F33" s="849" t="s">
        <v>187</v>
      </c>
      <c r="G33" s="849"/>
      <c r="H33" s="849" t="s">
        <v>187</v>
      </c>
      <c r="I33" s="849"/>
      <c r="J33" s="855"/>
      <c r="K33" s="855"/>
      <c r="L33" s="327"/>
      <c r="M33" s="327"/>
      <c r="N33" s="327"/>
      <c r="O33" s="327"/>
      <c r="P33" s="46"/>
      <c r="Q33" s="46"/>
      <c r="R33" s="46"/>
      <c r="S33" s="327"/>
      <c r="T33" s="46"/>
    </row>
    <row r="34" spans="2:22">
      <c r="B34" s="62" t="s">
        <v>56</v>
      </c>
      <c r="C34" s="73" t="s">
        <v>75</v>
      </c>
      <c r="D34" s="850" t="s">
        <v>73</v>
      </c>
      <c r="E34" s="850"/>
      <c r="F34" s="850" t="s">
        <v>73</v>
      </c>
      <c r="G34" s="850"/>
      <c r="H34" s="850" t="s">
        <v>73</v>
      </c>
      <c r="I34" s="850"/>
      <c r="J34" s="855"/>
      <c r="K34" s="855"/>
      <c r="L34" s="327"/>
      <c r="M34" s="327"/>
      <c r="N34" s="327"/>
      <c r="O34" s="327"/>
      <c r="P34" s="46"/>
      <c r="Q34" s="46"/>
      <c r="R34" s="46"/>
      <c r="S34" s="327"/>
      <c r="T34" s="46"/>
    </row>
    <row r="35" spans="2:22">
      <c r="B35" s="62" t="s">
        <v>57</v>
      </c>
      <c r="C35" s="66" t="s">
        <v>7655</v>
      </c>
      <c r="D35" s="849">
        <v>0.8</v>
      </c>
      <c r="E35" s="849"/>
      <c r="F35" s="849">
        <v>40</v>
      </c>
      <c r="G35" s="849"/>
      <c r="H35" s="853" t="s">
        <v>7830</v>
      </c>
      <c r="I35" s="849"/>
      <c r="J35" s="855"/>
      <c r="K35" s="855"/>
      <c r="L35" s="327"/>
      <c r="M35" s="327"/>
      <c r="N35" s="327"/>
      <c r="O35" s="327"/>
      <c r="P35" s="46"/>
      <c r="Q35" s="46"/>
      <c r="R35" s="46"/>
      <c r="S35" s="327"/>
      <c r="T35" s="46"/>
    </row>
    <row r="36" spans="2:22">
      <c r="B36" s="62" t="s">
        <v>58</v>
      </c>
      <c r="C36" s="66" t="s">
        <v>62</v>
      </c>
      <c r="D36" s="853" t="s">
        <v>7829</v>
      </c>
      <c r="E36" s="853"/>
      <c r="F36" s="849">
        <v>-20</v>
      </c>
      <c r="G36" s="849"/>
      <c r="H36" s="853" t="s">
        <v>7830</v>
      </c>
      <c r="I36" s="849"/>
      <c r="J36" s="855"/>
      <c r="K36" s="855"/>
      <c r="L36" s="327"/>
      <c r="M36" s="327"/>
      <c r="N36" s="327"/>
      <c r="O36" s="327"/>
      <c r="P36" s="46"/>
      <c r="Q36" s="46"/>
      <c r="R36" s="46"/>
      <c r="S36" s="327"/>
      <c r="T36" s="46"/>
    </row>
    <row r="37" spans="2:22">
      <c r="B37" s="67" t="s">
        <v>59</v>
      </c>
      <c r="C37" s="68" t="s">
        <v>147</v>
      </c>
      <c r="D37" s="853" t="s">
        <v>191</v>
      </c>
      <c r="E37" s="853"/>
      <c r="F37" s="853" t="s">
        <v>2079</v>
      </c>
      <c r="G37" s="853"/>
      <c r="H37" s="853" t="s">
        <v>191</v>
      </c>
      <c r="I37" s="853"/>
      <c r="J37" s="855"/>
      <c r="K37" s="855"/>
      <c r="L37" s="327"/>
      <c r="M37" s="327"/>
      <c r="N37" s="327"/>
      <c r="O37" s="327"/>
      <c r="P37" s="46"/>
      <c r="Q37" s="46"/>
      <c r="R37" s="46"/>
      <c r="S37" s="327"/>
      <c r="T37" s="46"/>
    </row>
    <row r="38" spans="2:22">
      <c r="B38" s="69"/>
      <c r="C38" s="68" t="s">
        <v>148</v>
      </c>
      <c r="D38" s="853" t="s">
        <v>2079</v>
      </c>
      <c r="E38" s="853"/>
      <c r="F38" s="853" t="s">
        <v>2079</v>
      </c>
      <c r="G38" s="853"/>
      <c r="H38" s="853" t="s">
        <v>2079</v>
      </c>
      <c r="I38" s="853"/>
      <c r="J38" s="855"/>
      <c r="K38" s="855"/>
      <c r="L38" s="327"/>
      <c r="M38" s="327"/>
      <c r="N38" s="327"/>
      <c r="O38" s="327"/>
      <c r="P38" s="46"/>
      <c r="Q38" s="46"/>
      <c r="R38" s="46"/>
      <c r="S38" s="327"/>
      <c r="T38" s="46"/>
    </row>
    <row r="39" spans="2:22">
      <c r="C39" s="8"/>
      <c r="D39" s="8"/>
      <c r="E39" s="8"/>
      <c r="F39" s="8"/>
      <c r="G39" s="8"/>
      <c r="H39" s="8"/>
      <c r="I39" s="8"/>
      <c r="J39" s="8"/>
      <c r="K39" s="8"/>
      <c r="L39" s="8"/>
      <c r="M39" s="8"/>
      <c r="N39" s="8"/>
      <c r="O39" s="8"/>
      <c r="S39" s="8"/>
    </row>
    <row r="40" spans="2:22" ht="14.4" thickBot="1">
      <c r="B40" s="888" t="s">
        <v>7911</v>
      </c>
      <c r="C40" s="888"/>
      <c r="D40" s="888"/>
      <c r="E40" s="888"/>
      <c r="F40" s="888"/>
      <c r="G40" s="888"/>
      <c r="H40" s="888"/>
      <c r="I40" s="888"/>
      <c r="J40" s="888"/>
      <c r="K40" s="888"/>
      <c r="L40" s="888"/>
      <c r="M40" s="888"/>
      <c r="N40" s="888"/>
      <c r="O40" s="888"/>
      <c r="P40" s="888"/>
      <c r="Q40" s="888"/>
      <c r="R40" s="888"/>
      <c r="S40" s="888"/>
      <c r="T40" s="888"/>
      <c r="U40" s="888"/>
      <c r="V40" s="888"/>
    </row>
    <row r="41" spans="2:22">
      <c r="B41" s="744" t="s">
        <v>7912</v>
      </c>
      <c r="C41" s="745"/>
      <c r="D41" s="745"/>
      <c r="E41" s="745"/>
      <c r="F41" s="745"/>
      <c r="G41" s="745"/>
      <c r="H41" s="745"/>
      <c r="I41" s="745"/>
      <c r="J41" s="745"/>
      <c r="K41" s="745"/>
      <c r="L41" s="745"/>
      <c r="M41" s="745"/>
      <c r="N41" s="745"/>
      <c r="O41" s="745"/>
      <c r="P41" s="746"/>
      <c r="Q41" s="746"/>
      <c r="R41" s="746"/>
      <c r="S41" s="745"/>
      <c r="T41" s="746"/>
      <c r="U41" s="746"/>
      <c r="V41" s="760"/>
    </row>
    <row r="42" spans="2:22">
      <c r="B42" s="747"/>
      <c r="C42" s="748"/>
      <c r="D42" s="748"/>
      <c r="E42" s="748"/>
      <c r="F42" s="748"/>
      <c r="G42" s="748"/>
      <c r="H42" s="748"/>
      <c r="I42" s="748"/>
      <c r="J42" s="748"/>
      <c r="K42" s="748"/>
      <c r="L42" s="748"/>
      <c r="M42" s="748"/>
      <c r="N42" s="748"/>
      <c r="O42" s="748"/>
      <c r="P42" s="342"/>
      <c r="Q42" s="342"/>
      <c r="R42" s="342"/>
      <c r="S42" s="748"/>
      <c r="T42" s="342"/>
      <c r="U42" s="342"/>
      <c r="V42" s="750"/>
    </row>
    <row r="43" spans="2:22">
      <c r="B43" s="747"/>
      <c r="C43" s="748"/>
      <c r="D43" s="748"/>
      <c r="E43" s="748"/>
      <c r="F43" s="748"/>
      <c r="G43" s="748"/>
      <c r="H43" s="748"/>
      <c r="I43" s="748"/>
      <c r="J43" s="748"/>
      <c r="K43" s="748"/>
      <c r="L43" s="748"/>
      <c r="M43" s="748"/>
      <c r="N43" s="748"/>
      <c r="O43" s="748"/>
      <c r="P43" s="342"/>
      <c r="Q43" s="342"/>
      <c r="R43" s="342"/>
      <c r="S43" s="748"/>
      <c r="T43" s="342"/>
      <c r="U43" s="342"/>
      <c r="V43" s="750"/>
    </row>
    <row r="44" spans="2:22">
      <c r="B44" s="747"/>
      <c r="C44" s="748"/>
      <c r="D44" s="748"/>
      <c r="E44" s="748"/>
      <c r="F44" s="748"/>
      <c r="G44" s="748"/>
      <c r="H44" s="748"/>
      <c r="I44" s="748"/>
      <c r="J44" s="748"/>
      <c r="K44" s="748"/>
      <c r="L44" s="748"/>
      <c r="M44" s="748"/>
      <c r="N44" s="748"/>
      <c r="O44" s="748"/>
      <c r="P44" s="342"/>
      <c r="Q44" s="342"/>
      <c r="R44" s="342"/>
      <c r="S44" s="748"/>
      <c r="T44" s="342"/>
      <c r="U44" s="342"/>
      <c r="V44" s="750"/>
    </row>
    <row r="45" spans="2:22">
      <c r="B45" s="747"/>
      <c r="C45" s="748"/>
      <c r="D45" s="748"/>
      <c r="E45" s="748"/>
      <c r="F45" s="748"/>
      <c r="G45" s="748"/>
      <c r="H45" s="748"/>
      <c r="I45" s="748"/>
      <c r="J45" s="748"/>
      <c r="K45" s="748"/>
      <c r="L45" s="748"/>
      <c r="M45" s="748"/>
      <c r="N45" s="748"/>
      <c r="O45" s="748"/>
      <c r="P45" s="342"/>
      <c r="Q45" s="342"/>
      <c r="R45" s="342"/>
      <c r="S45" s="748"/>
      <c r="T45" s="342"/>
      <c r="U45" s="342"/>
      <c r="V45" s="750"/>
    </row>
    <row r="46" spans="2:22">
      <c r="B46" s="747"/>
      <c r="C46" s="748"/>
      <c r="D46" s="748"/>
      <c r="E46" s="748"/>
      <c r="F46" s="748"/>
      <c r="G46" s="748"/>
      <c r="H46" s="748"/>
      <c r="I46" s="748"/>
      <c r="J46" s="748"/>
      <c r="K46" s="748"/>
      <c r="L46" s="748"/>
      <c r="M46" s="748"/>
      <c r="N46" s="748"/>
      <c r="O46" s="748"/>
      <c r="P46" s="342"/>
      <c r="Q46" s="342"/>
      <c r="R46" s="342"/>
      <c r="S46" s="748"/>
      <c r="T46" s="342"/>
      <c r="U46" s="342"/>
      <c r="V46" s="750"/>
    </row>
    <row r="47" spans="2:22">
      <c r="B47" s="747"/>
      <c r="C47" s="748"/>
      <c r="D47" s="748"/>
      <c r="E47" s="748"/>
      <c r="F47" s="748"/>
      <c r="G47" s="748"/>
      <c r="H47" s="748"/>
      <c r="I47" s="748"/>
      <c r="J47" s="748"/>
      <c r="K47" s="748"/>
      <c r="L47" s="748"/>
      <c r="M47" s="748"/>
      <c r="N47" s="748"/>
      <c r="O47" s="748"/>
      <c r="P47" s="342"/>
      <c r="Q47" s="342"/>
      <c r="R47" s="342"/>
      <c r="S47" s="748"/>
      <c r="T47" s="342"/>
      <c r="U47" s="342"/>
      <c r="V47" s="750"/>
    </row>
    <row r="48" spans="2:22">
      <c r="B48" s="747"/>
      <c r="C48" s="748"/>
      <c r="D48" s="748"/>
      <c r="E48" s="748"/>
      <c r="F48" s="748"/>
      <c r="G48" s="748"/>
      <c r="H48" s="748"/>
      <c r="I48" s="748"/>
      <c r="J48" s="748"/>
      <c r="K48" s="748"/>
      <c r="L48" s="748"/>
      <c r="M48" s="748"/>
      <c r="N48" s="748"/>
      <c r="O48" s="748"/>
      <c r="P48" s="342"/>
      <c r="Q48" s="342"/>
      <c r="R48" s="342"/>
      <c r="S48" s="748"/>
      <c r="T48" s="342"/>
      <c r="U48" s="342"/>
      <c r="V48" s="750"/>
    </row>
    <row r="49" spans="2:22">
      <c r="B49" s="747"/>
      <c r="C49" s="748"/>
      <c r="D49" s="748"/>
      <c r="E49" s="748"/>
      <c r="F49" s="748"/>
      <c r="G49" s="748"/>
      <c r="H49" s="748"/>
      <c r="I49" s="748"/>
      <c r="J49" s="748"/>
      <c r="K49" s="748"/>
      <c r="L49" s="748"/>
      <c r="M49" s="748"/>
      <c r="N49" s="748"/>
      <c r="O49" s="748"/>
      <c r="P49" s="342"/>
      <c r="Q49" s="342"/>
      <c r="R49" s="342"/>
      <c r="S49" s="748"/>
      <c r="T49" s="342"/>
      <c r="U49" s="342"/>
      <c r="V49" s="750"/>
    </row>
    <row r="50" spans="2:22">
      <c r="B50" s="747"/>
      <c r="C50" s="748"/>
      <c r="D50" s="748"/>
      <c r="E50" s="748"/>
      <c r="F50" s="748"/>
      <c r="G50" s="748"/>
      <c r="H50" s="748"/>
      <c r="I50" s="748"/>
      <c r="J50" s="748"/>
      <c r="K50" s="748"/>
      <c r="L50" s="748"/>
      <c r="M50" s="748"/>
      <c r="N50" s="748"/>
      <c r="O50" s="748"/>
      <c r="P50" s="342"/>
      <c r="Q50" s="342"/>
      <c r="R50" s="342"/>
      <c r="S50" s="748"/>
      <c r="T50" s="342"/>
      <c r="U50" s="342"/>
      <c r="V50" s="750"/>
    </row>
    <row r="51" spans="2:22">
      <c r="B51" s="747"/>
      <c r="C51" s="748"/>
      <c r="D51" s="748"/>
      <c r="E51" s="748"/>
      <c r="F51" s="748"/>
      <c r="G51" s="748"/>
      <c r="H51" s="748"/>
      <c r="I51" s="748"/>
      <c r="J51" s="748"/>
      <c r="K51" s="748"/>
      <c r="L51" s="748"/>
      <c r="M51" s="748"/>
      <c r="N51" s="748"/>
      <c r="O51" s="748"/>
      <c r="P51" s="342"/>
      <c r="Q51" s="342"/>
      <c r="R51" s="342"/>
      <c r="S51" s="748"/>
      <c r="T51" s="342"/>
      <c r="U51" s="342"/>
      <c r="V51" s="750"/>
    </row>
    <row r="52" spans="2:22">
      <c r="B52" s="747"/>
      <c r="C52" s="342"/>
      <c r="D52" s="342"/>
      <c r="E52" s="342"/>
      <c r="F52" s="342"/>
      <c r="G52" s="342"/>
      <c r="H52" s="342"/>
      <c r="I52" s="342"/>
      <c r="J52" s="342"/>
      <c r="K52" s="342"/>
      <c r="L52" s="342"/>
      <c r="M52" s="342"/>
      <c r="N52" s="342"/>
      <c r="O52" s="342"/>
      <c r="P52" s="342"/>
      <c r="Q52" s="342"/>
      <c r="R52" s="342"/>
      <c r="S52" s="748"/>
      <c r="T52" s="342"/>
      <c r="U52" s="342"/>
      <c r="V52" s="750"/>
    </row>
    <row r="53" spans="2:22">
      <c r="B53" s="747"/>
      <c r="C53" s="342"/>
      <c r="D53" s="342"/>
      <c r="E53" s="342"/>
      <c r="F53" s="342"/>
      <c r="G53" s="342"/>
      <c r="H53" s="342"/>
      <c r="I53" s="342"/>
      <c r="J53" s="342"/>
      <c r="K53" s="342"/>
      <c r="L53" s="342"/>
      <c r="M53" s="342"/>
      <c r="N53" s="342"/>
      <c r="O53" s="342"/>
      <c r="P53" s="342"/>
      <c r="Q53" s="342"/>
      <c r="R53" s="342"/>
      <c r="S53" s="748"/>
      <c r="T53" s="342"/>
      <c r="U53" s="342"/>
      <c r="V53" s="750"/>
    </row>
    <row r="54" spans="2:22">
      <c r="B54" s="747"/>
      <c r="C54" s="749"/>
      <c r="D54" s="748"/>
      <c r="E54" s="748"/>
      <c r="F54" s="748"/>
      <c r="G54" s="342"/>
      <c r="H54" s="342"/>
      <c r="I54" s="342"/>
      <c r="J54" s="342"/>
      <c r="K54" s="342"/>
      <c r="L54" s="342"/>
      <c r="M54" s="342"/>
      <c r="N54" s="342"/>
      <c r="O54" s="342"/>
      <c r="P54" s="342"/>
      <c r="Q54" s="342"/>
      <c r="R54" s="342"/>
      <c r="S54" s="342"/>
      <c r="T54" s="342"/>
      <c r="U54" s="342"/>
      <c r="V54" s="750"/>
    </row>
    <row r="55" spans="2:22">
      <c r="B55" s="747"/>
      <c r="C55" s="749"/>
      <c r="D55" s="748"/>
      <c r="E55" s="748"/>
      <c r="F55" s="748"/>
      <c r="G55" s="342"/>
      <c r="H55" s="342"/>
      <c r="I55" s="342"/>
      <c r="J55" s="342"/>
      <c r="K55" s="342"/>
      <c r="L55" s="342"/>
      <c r="M55" s="342"/>
      <c r="N55" s="342"/>
      <c r="O55" s="342"/>
      <c r="P55" s="342"/>
      <c r="Q55" s="342"/>
      <c r="R55" s="342"/>
      <c r="S55" s="342"/>
      <c r="T55" s="342"/>
      <c r="U55" s="342"/>
      <c r="V55" s="750"/>
    </row>
    <row r="56" spans="2:22">
      <c r="B56" s="747"/>
      <c r="C56" s="749"/>
      <c r="D56" s="748"/>
      <c r="E56" s="748"/>
      <c r="F56" s="748"/>
      <c r="G56" s="342"/>
      <c r="H56" s="342"/>
      <c r="I56" s="342"/>
      <c r="J56" s="342"/>
      <c r="K56" s="342"/>
      <c r="L56" s="342"/>
      <c r="M56" s="342"/>
      <c r="N56" s="342"/>
      <c r="O56" s="342"/>
      <c r="P56" s="342"/>
      <c r="Q56" s="342"/>
      <c r="R56" s="342"/>
      <c r="S56" s="342"/>
      <c r="T56" s="342"/>
      <c r="U56" s="342"/>
      <c r="V56" s="750"/>
    </row>
    <row r="57" spans="2:22">
      <c r="B57" s="747"/>
      <c r="C57" s="749"/>
      <c r="D57" s="748"/>
      <c r="E57" s="748"/>
      <c r="F57" s="748"/>
      <c r="G57" s="342"/>
      <c r="H57" s="342"/>
      <c r="I57" s="342"/>
      <c r="J57" s="342"/>
      <c r="K57" s="342"/>
      <c r="L57" s="342"/>
      <c r="M57" s="342"/>
      <c r="N57" s="342"/>
      <c r="O57" s="342"/>
      <c r="P57" s="342"/>
      <c r="Q57" s="342"/>
      <c r="R57" s="342"/>
      <c r="S57" s="342"/>
      <c r="T57" s="342"/>
      <c r="U57" s="342"/>
      <c r="V57" s="750"/>
    </row>
    <row r="58" spans="2:22">
      <c r="B58" s="747"/>
      <c r="C58" s="749"/>
      <c r="D58" s="342"/>
      <c r="E58" s="342"/>
      <c r="F58" s="342"/>
      <c r="G58" s="342"/>
      <c r="H58" s="342"/>
      <c r="I58" s="342"/>
      <c r="J58" s="342"/>
      <c r="K58" s="342"/>
      <c r="L58" s="342"/>
      <c r="M58" s="342"/>
      <c r="N58" s="342"/>
      <c r="O58" s="342"/>
      <c r="P58" s="342"/>
      <c r="Q58" s="342"/>
      <c r="R58" s="342"/>
      <c r="S58" s="342"/>
      <c r="T58" s="342"/>
      <c r="U58" s="342"/>
      <c r="V58" s="750"/>
    </row>
    <row r="59" spans="2:22">
      <c r="B59" s="747"/>
      <c r="C59" s="749"/>
      <c r="D59" s="751"/>
      <c r="E59" s="748"/>
      <c r="F59" s="752"/>
      <c r="G59" s="342"/>
      <c r="H59" s="342"/>
      <c r="I59" s="342"/>
      <c r="J59" s="342"/>
      <c r="K59" s="342"/>
      <c r="L59" s="342"/>
      <c r="M59" s="342"/>
      <c r="N59" s="342"/>
      <c r="O59" s="342"/>
      <c r="P59" s="342"/>
      <c r="Q59" s="342"/>
      <c r="R59" s="342"/>
      <c r="S59" s="342"/>
      <c r="T59" s="342"/>
      <c r="U59" s="342"/>
      <c r="V59" s="750"/>
    </row>
    <row r="60" spans="2:22">
      <c r="B60" s="747"/>
      <c r="C60" s="749"/>
      <c r="D60" s="751"/>
      <c r="E60" s="748"/>
      <c r="F60" s="752"/>
      <c r="G60" s="342"/>
      <c r="H60" s="342"/>
      <c r="I60" s="342"/>
      <c r="J60" s="342"/>
      <c r="K60" s="342"/>
      <c r="L60" s="342"/>
      <c r="M60" s="342"/>
      <c r="N60" s="342"/>
      <c r="O60" s="342"/>
      <c r="P60" s="342"/>
      <c r="Q60" s="342"/>
      <c r="R60" s="342"/>
      <c r="S60" s="342"/>
      <c r="T60" s="342"/>
      <c r="U60" s="342"/>
      <c r="V60" s="750"/>
    </row>
    <row r="61" spans="2:22">
      <c r="B61" s="747"/>
      <c r="C61" s="749"/>
      <c r="D61" s="751"/>
      <c r="E61" s="748"/>
      <c r="F61" s="752"/>
      <c r="G61" s="342"/>
      <c r="H61" s="342"/>
      <c r="I61" s="342"/>
      <c r="J61" s="342"/>
      <c r="K61" s="342"/>
      <c r="L61" s="342"/>
      <c r="M61" s="342"/>
      <c r="N61" s="342"/>
      <c r="O61" s="342"/>
      <c r="P61" s="342"/>
      <c r="Q61" s="342"/>
      <c r="R61" s="342"/>
      <c r="S61" s="342"/>
      <c r="T61" s="342"/>
      <c r="U61" s="342"/>
      <c r="V61" s="750"/>
    </row>
    <row r="62" spans="2:22" ht="14.4" thickBot="1">
      <c r="B62" s="753"/>
      <c r="C62" s="754"/>
      <c r="D62" s="755"/>
      <c r="E62" s="756"/>
      <c r="F62" s="757"/>
      <c r="G62" s="758"/>
      <c r="H62" s="758"/>
      <c r="I62" s="758"/>
      <c r="J62" s="758"/>
      <c r="K62" s="758"/>
      <c r="L62" s="758"/>
      <c r="M62" s="758"/>
      <c r="N62" s="758"/>
      <c r="O62" s="758"/>
      <c r="P62" s="758"/>
      <c r="Q62" s="758"/>
      <c r="R62" s="758"/>
      <c r="S62" s="758"/>
      <c r="T62" s="758"/>
      <c r="U62" s="758"/>
      <c r="V62" s="759"/>
    </row>
    <row r="63" spans="2:22">
      <c r="B63" s="744" t="s">
        <v>7912</v>
      </c>
      <c r="C63" s="745"/>
      <c r="D63" s="745"/>
      <c r="E63" s="745"/>
      <c r="F63" s="745"/>
      <c r="G63" s="745"/>
      <c r="H63" s="745"/>
      <c r="I63" s="745"/>
      <c r="J63" s="745"/>
      <c r="K63" s="745"/>
      <c r="L63" s="745"/>
      <c r="M63" s="745"/>
      <c r="N63" s="745"/>
      <c r="O63" s="745"/>
      <c r="P63" s="746"/>
      <c r="Q63" s="746"/>
      <c r="R63" s="746"/>
      <c r="S63" s="745"/>
      <c r="T63" s="746"/>
      <c r="U63" s="746"/>
      <c r="V63" s="760"/>
    </row>
    <row r="64" spans="2:22">
      <c r="B64" s="747"/>
      <c r="C64" s="748"/>
      <c r="D64" s="748"/>
      <c r="E64" s="748"/>
      <c r="F64" s="748"/>
      <c r="G64" s="748"/>
      <c r="H64" s="748"/>
      <c r="I64" s="748"/>
      <c r="J64" s="748"/>
      <c r="K64" s="748"/>
      <c r="L64" s="748"/>
      <c r="M64" s="748"/>
      <c r="N64" s="748"/>
      <c r="O64" s="748"/>
      <c r="P64" s="342"/>
      <c r="Q64" s="342"/>
      <c r="R64" s="342"/>
      <c r="S64" s="748"/>
      <c r="T64" s="342"/>
      <c r="U64" s="342"/>
      <c r="V64" s="750"/>
    </row>
    <row r="65" spans="2:22">
      <c r="B65" s="747"/>
      <c r="C65" s="748"/>
      <c r="D65" s="748"/>
      <c r="E65" s="748"/>
      <c r="F65" s="748"/>
      <c r="G65" s="748"/>
      <c r="H65" s="748"/>
      <c r="I65" s="748"/>
      <c r="J65" s="748"/>
      <c r="K65" s="748"/>
      <c r="L65" s="748"/>
      <c r="M65" s="748"/>
      <c r="N65" s="748"/>
      <c r="O65" s="748"/>
      <c r="P65" s="342"/>
      <c r="Q65" s="342"/>
      <c r="R65" s="342"/>
      <c r="S65" s="748"/>
      <c r="T65" s="342"/>
      <c r="U65" s="342"/>
      <c r="V65" s="750"/>
    </row>
    <row r="66" spans="2:22">
      <c r="B66" s="747"/>
      <c r="C66" s="748"/>
      <c r="D66" s="748"/>
      <c r="E66" s="748"/>
      <c r="F66" s="748"/>
      <c r="G66" s="748"/>
      <c r="H66" s="748"/>
      <c r="I66" s="748"/>
      <c r="J66" s="748"/>
      <c r="K66" s="748"/>
      <c r="L66" s="748"/>
      <c r="M66" s="748"/>
      <c r="N66" s="748"/>
      <c r="O66" s="748"/>
      <c r="P66" s="342"/>
      <c r="Q66" s="342"/>
      <c r="R66" s="342"/>
      <c r="S66" s="748"/>
      <c r="T66" s="342"/>
      <c r="U66" s="342"/>
      <c r="V66" s="750"/>
    </row>
    <row r="67" spans="2:22">
      <c r="B67" s="747"/>
      <c r="C67" s="748"/>
      <c r="D67" s="748"/>
      <c r="E67" s="748"/>
      <c r="F67" s="748"/>
      <c r="G67" s="748"/>
      <c r="H67" s="748"/>
      <c r="I67" s="748"/>
      <c r="J67" s="748"/>
      <c r="K67" s="748"/>
      <c r="L67" s="748"/>
      <c r="M67" s="748"/>
      <c r="N67" s="748"/>
      <c r="O67" s="748"/>
      <c r="P67" s="342"/>
      <c r="Q67" s="342"/>
      <c r="R67" s="342"/>
      <c r="S67" s="748"/>
      <c r="T67" s="342"/>
      <c r="U67" s="342"/>
      <c r="V67" s="750"/>
    </row>
    <row r="68" spans="2:22">
      <c r="B68" s="747"/>
      <c r="C68" s="748"/>
      <c r="D68" s="748"/>
      <c r="E68" s="748"/>
      <c r="F68" s="748"/>
      <c r="G68" s="748"/>
      <c r="H68" s="748"/>
      <c r="I68" s="748"/>
      <c r="J68" s="748"/>
      <c r="K68" s="748"/>
      <c r="L68" s="748"/>
      <c r="M68" s="748"/>
      <c r="N68" s="748"/>
      <c r="O68" s="748"/>
      <c r="P68" s="342"/>
      <c r="Q68" s="342"/>
      <c r="R68" s="342"/>
      <c r="S68" s="748"/>
      <c r="T68" s="342"/>
      <c r="U68" s="342"/>
      <c r="V68" s="750"/>
    </row>
    <row r="69" spans="2:22">
      <c r="B69" s="747"/>
      <c r="C69" s="748"/>
      <c r="D69" s="748"/>
      <c r="E69" s="748"/>
      <c r="F69" s="748"/>
      <c r="G69" s="748"/>
      <c r="H69" s="748"/>
      <c r="I69" s="748"/>
      <c r="J69" s="748"/>
      <c r="K69" s="748"/>
      <c r="L69" s="748"/>
      <c r="M69" s="748"/>
      <c r="N69" s="748"/>
      <c r="O69" s="748"/>
      <c r="P69" s="342"/>
      <c r="Q69" s="342"/>
      <c r="R69" s="342"/>
      <c r="S69" s="748"/>
      <c r="T69" s="342"/>
      <c r="U69" s="342"/>
      <c r="V69" s="750"/>
    </row>
    <row r="70" spans="2:22">
      <c r="B70" s="747"/>
      <c r="C70" s="748"/>
      <c r="D70" s="748"/>
      <c r="E70" s="748"/>
      <c r="F70" s="748"/>
      <c r="G70" s="748"/>
      <c r="H70" s="748"/>
      <c r="I70" s="748"/>
      <c r="J70" s="748"/>
      <c r="K70" s="748"/>
      <c r="L70" s="748"/>
      <c r="M70" s="748"/>
      <c r="N70" s="748"/>
      <c r="O70" s="748"/>
      <c r="P70" s="342"/>
      <c r="Q70" s="342"/>
      <c r="R70" s="342"/>
      <c r="S70" s="748"/>
      <c r="T70" s="342"/>
      <c r="U70" s="342"/>
      <c r="V70" s="750"/>
    </row>
    <row r="71" spans="2:22">
      <c r="B71" s="747"/>
      <c r="C71" s="748"/>
      <c r="D71" s="748"/>
      <c r="E71" s="748"/>
      <c r="F71" s="748"/>
      <c r="G71" s="748"/>
      <c r="H71" s="748"/>
      <c r="I71" s="748"/>
      <c r="J71" s="748"/>
      <c r="K71" s="748"/>
      <c r="L71" s="748"/>
      <c r="M71" s="748"/>
      <c r="N71" s="748"/>
      <c r="O71" s="748"/>
      <c r="P71" s="342"/>
      <c r="Q71" s="342"/>
      <c r="R71" s="342"/>
      <c r="S71" s="748"/>
      <c r="T71" s="342"/>
      <c r="U71" s="342"/>
      <c r="V71" s="750"/>
    </row>
    <row r="72" spans="2:22">
      <c r="B72" s="747"/>
      <c r="C72" s="748"/>
      <c r="D72" s="748"/>
      <c r="E72" s="748"/>
      <c r="F72" s="748"/>
      <c r="G72" s="748"/>
      <c r="H72" s="748"/>
      <c r="I72" s="748"/>
      <c r="J72" s="748"/>
      <c r="K72" s="748"/>
      <c r="L72" s="748"/>
      <c r="M72" s="748"/>
      <c r="N72" s="748"/>
      <c r="O72" s="748"/>
      <c r="P72" s="342"/>
      <c r="Q72" s="342"/>
      <c r="R72" s="342"/>
      <c r="S72" s="748"/>
      <c r="T72" s="342"/>
      <c r="U72" s="342"/>
      <c r="V72" s="750"/>
    </row>
    <row r="73" spans="2:22">
      <c r="B73" s="747"/>
      <c r="C73" s="748"/>
      <c r="D73" s="748"/>
      <c r="E73" s="748"/>
      <c r="F73" s="748"/>
      <c r="G73" s="748"/>
      <c r="H73" s="748"/>
      <c r="I73" s="748"/>
      <c r="J73" s="748"/>
      <c r="K73" s="748"/>
      <c r="L73" s="748"/>
      <c r="M73" s="748"/>
      <c r="N73" s="748"/>
      <c r="O73" s="748"/>
      <c r="P73" s="342"/>
      <c r="Q73" s="342"/>
      <c r="R73" s="342"/>
      <c r="S73" s="748"/>
      <c r="T73" s="342"/>
      <c r="U73" s="342"/>
      <c r="V73" s="750"/>
    </row>
    <row r="74" spans="2:22">
      <c r="B74" s="747"/>
      <c r="C74" s="342"/>
      <c r="D74" s="342"/>
      <c r="E74" s="342"/>
      <c r="F74" s="342"/>
      <c r="G74" s="342"/>
      <c r="H74" s="342"/>
      <c r="I74" s="342"/>
      <c r="J74" s="342"/>
      <c r="K74" s="342"/>
      <c r="L74" s="342"/>
      <c r="M74" s="342"/>
      <c r="N74" s="342"/>
      <c r="O74" s="342"/>
      <c r="P74" s="342"/>
      <c r="Q74" s="342"/>
      <c r="R74" s="342"/>
      <c r="S74" s="748"/>
      <c r="T74" s="342"/>
      <c r="U74" s="342"/>
      <c r="V74" s="750"/>
    </row>
    <row r="75" spans="2:22">
      <c r="B75" s="747"/>
      <c r="C75" s="342"/>
      <c r="D75" s="342"/>
      <c r="E75" s="342"/>
      <c r="F75" s="342"/>
      <c r="G75" s="342"/>
      <c r="H75" s="342"/>
      <c r="I75" s="342"/>
      <c r="J75" s="342"/>
      <c r="K75" s="342"/>
      <c r="L75" s="342"/>
      <c r="M75" s="342"/>
      <c r="N75" s="342"/>
      <c r="O75" s="342"/>
      <c r="P75" s="342"/>
      <c r="Q75" s="342"/>
      <c r="R75" s="342"/>
      <c r="S75" s="748"/>
      <c r="T75" s="342"/>
      <c r="U75" s="342"/>
      <c r="V75" s="750"/>
    </row>
    <row r="76" spans="2:22">
      <c r="B76" s="747"/>
      <c r="C76" s="749"/>
      <c r="D76" s="748"/>
      <c r="E76" s="748"/>
      <c r="F76" s="748"/>
      <c r="G76" s="342"/>
      <c r="H76" s="342"/>
      <c r="I76" s="342"/>
      <c r="J76" s="342"/>
      <c r="K76" s="342"/>
      <c r="L76" s="342"/>
      <c r="M76" s="342"/>
      <c r="N76" s="342"/>
      <c r="O76" s="342"/>
      <c r="P76" s="342"/>
      <c r="Q76" s="342"/>
      <c r="R76" s="342"/>
      <c r="S76" s="342"/>
      <c r="T76" s="342"/>
      <c r="U76" s="342"/>
      <c r="V76" s="750"/>
    </row>
    <row r="77" spans="2:22">
      <c r="B77" s="747"/>
      <c r="C77" s="749"/>
      <c r="D77" s="748"/>
      <c r="E77" s="748"/>
      <c r="F77" s="748"/>
      <c r="G77" s="342"/>
      <c r="H77" s="342"/>
      <c r="I77" s="342"/>
      <c r="J77" s="342"/>
      <c r="K77" s="342"/>
      <c r="L77" s="342"/>
      <c r="M77" s="342"/>
      <c r="N77" s="342"/>
      <c r="O77" s="342"/>
      <c r="P77" s="342"/>
      <c r="Q77" s="342"/>
      <c r="R77" s="342"/>
      <c r="S77" s="342"/>
      <c r="T77" s="342"/>
      <c r="U77" s="342"/>
      <c r="V77" s="750"/>
    </row>
    <row r="78" spans="2:22">
      <c r="B78" s="747"/>
      <c r="C78" s="749"/>
      <c r="D78" s="748"/>
      <c r="E78" s="748"/>
      <c r="F78" s="748"/>
      <c r="G78" s="342"/>
      <c r="H78" s="342"/>
      <c r="I78" s="342"/>
      <c r="J78" s="342"/>
      <c r="K78" s="342"/>
      <c r="L78" s="342"/>
      <c r="M78" s="342"/>
      <c r="N78" s="342"/>
      <c r="O78" s="342"/>
      <c r="P78" s="342"/>
      <c r="Q78" s="342"/>
      <c r="R78" s="342"/>
      <c r="S78" s="342"/>
      <c r="T78" s="342"/>
      <c r="U78" s="342"/>
      <c r="V78" s="750"/>
    </row>
    <row r="79" spans="2:22">
      <c r="B79" s="747"/>
      <c r="C79" s="749"/>
      <c r="D79" s="748"/>
      <c r="E79" s="748"/>
      <c r="F79" s="748"/>
      <c r="G79" s="342"/>
      <c r="H79" s="342"/>
      <c r="I79" s="342"/>
      <c r="J79" s="342"/>
      <c r="K79" s="342"/>
      <c r="L79" s="342"/>
      <c r="M79" s="342"/>
      <c r="N79" s="342"/>
      <c r="O79" s="342"/>
      <c r="P79" s="342"/>
      <c r="Q79" s="342"/>
      <c r="R79" s="342"/>
      <c r="S79" s="342"/>
      <c r="T79" s="342"/>
      <c r="U79" s="342"/>
      <c r="V79" s="750"/>
    </row>
    <row r="80" spans="2:22">
      <c r="B80" s="747"/>
      <c r="C80" s="749"/>
      <c r="D80" s="342"/>
      <c r="E80" s="342"/>
      <c r="F80" s="342"/>
      <c r="G80" s="342"/>
      <c r="H80" s="342"/>
      <c r="I80" s="342"/>
      <c r="J80" s="342"/>
      <c r="K80" s="342"/>
      <c r="L80" s="342"/>
      <c r="M80" s="342"/>
      <c r="N80" s="342"/>
      <c r="O80" s="342"/>
      <c r="P80" s="342"/>
      <c r="Q80" s="342"/>
      <c r="R80" s="342"/>
      <c r="S80" s="342"/>
      <c r="T80" s="342"/>
      <c r="U80" s="342"/>
      <c r="V80" s="750"/>
    </row>
    <row r="81" spans="2:22">
      <c r="B81" s="747"/>
      <c r="C81" s="749"/>
      <c r="D81" s="751"/>
      <c r="E81" s="748"/>
      <c r="F81" s="752"/>
      <c r="G81" s="342"/>
      <c r="H81" s="342"/>
      <c r="I81" s="342"/>
      <c r="J81" s="342"/>
      <c r="K81" s="342"/>
      <c r="L81" s="342"/>
      <c r="M81" s="342"/>
      <c r="N81" s="342"/>
      <c r="O81" s="342"/>
      <c r="P81" s="342"/>
      <c r="Q81" s="342"/>
      <c r="R81" s="342"/>
      <c r="S81" s="342"/>
      <c r="T81" s="342"/>
      <c r="U81" s="342"/>
      <c r="V81" s="750"/>
    </row>
    <row r="82" spans="2:22">
      <c r="B82" s="747"/>
      <c r="C82" s="749"/>
      <c r="D82" s="751"/>
      <c r="E82" s="748"/>
      <c r="F82" s="752"/>
      <c r="G82" s="342"/>
      <c r="H82" s="342"/>
      <c r="I82" s="342"/>
      <c r="J82" s="342"/>
      <c r="K82" s="342"/>
      <c r="L82" s="342"/>
      <c r="M82" s="342"/>
      <c r="N82" s="342"/>
      <c r="O82" s="342"/>
      <c r="P82" s="342"/>
      <c r="Q82" s="342"/>
      <c r="R82" s="342"/>
      <c r="S82" s="342"/>
      <c r="T82" s="342"/>
      <c r="U82" s="342"/>
      <c r="V82" s="750"/>
    </row>
    <row r="83" spans="2:22">
      <c r="B83" s="747"/>
      <c r="C83" s="749"/>
      <c r="D83" s="751"/>
      <c r="E83" s="748"/>
      <c r="F83" s="752"/>
      <c r="G83" s="342"/>
      <c r="H83" s="342"/>
      <c r="I83" s="342"/>
      <c r="J83" s="342"/>
      <c r="K83" s="342"/>
      <c r="L83" s="342"/>
      <c r="M83" s="342"/>
      <c r="N83" s="342"/>
      <c r="O83" s="342"/>
      <c r="P83" s="342"/>
      <c r="Q83" s="342"/>
      <c r="R83" s="342"/>
      <c r="S83" s="342"/>
      <c r="T83" s="342"/>
      <c r="U83" s="342"/>
      <c r="V83" s="750"/>
    </row>
    <row r="84" spans="2:22" ht="14.4" thickBot="1">
      <c r="B84" s="753"/>
      <c r="C84" s="754"/>
      <c r="D84" s="755"/>
      <c r="E84" s="756"/>
      <c r="F84" s="757"/>
      <c r="G84" s="758"/>
      <c r="H84" s="758"/>
      <c r="I84" s="758"/>
      <c r="J84" s="758"/>
      <c r="K84" s="758"/>
      <c r="L84" s="758"/>
      <c r="M84" s="758"/>
      <c r="N84" s="758"/>
      <c r="O84" s="758"/>
      <c r="P84" s="758"/>
      <c r="Q84" s="758"/>
      <c r="R84" s="758"/>
      <c r="S84" s="758"/>
      <c r="T84" s="758"/>
      <c r="U84" s="758"/>
      <c r="V84" s="759"/>
    </row>
    <row r="85" spans="2:22">
      <c r="B85" s="761" t="s">
        <v>7913</v>
      </c>
      <c r="C85" s="745"/>
      <c r="D85" s="745"/>
      <c r="E85" s="745"/>
      <c r="F85" s="745"/>
      <c r="G85" s="745"/>
      <c r="H85" s="745"/>
      <c r="I85" s="745"/>
      <c r="J85" s="745"/>
      <c r="K85" s="745"/>
      <c r="L85" s="745"/>
      <c r="M85" s="745"/>
      <c r="N85" s="745"/>
      <c r="O85" s="745"/>
      <c r="P85" s="746"/>
      <c r="Q85" s="746"/>
      <c r="R85" s="746"/>
      <c r="S85" s="745"/>
      <c r="T85" s="746"/>
      <c r="U85" s="746"/>
      <c r="V85" s="760"/>
    </row>
    <row r="86" spans="2:22">
      <c r="B86" s="747"/>
      <c r="C86" s="748"/>
      <c r="D86" s="748"/>
      <c r="E86" s="748"/>
      <c r="F86" s="748"/>
      <c r="G86" s="748"/>
      <c r="H86" s="748"/>
      <c r="I86" s="748"/>
      <c r="J86" s="748"/>
      <c r="K86" s="748"/>
      <c r="L86" s="748"/>
      <c r="M86" s="748"/>
      <c r="N86" s="748"/>
      <c r="O86" s="748"/>
      <c r="P86" s="342"/>
      <c r="Q86" s="342"/>
      <c r="R86" s="342"/>
      <c r="S86" s="748"/>
      <c r="T86" s="342"/>
      <c r="U86" s="342"/>
      <c r="V86" s="750"/>
    </row>
    <row r="87" spans="2:22">
      <c r="B87" s="747"/>
      <c r="C87" s="748"/>
      <c r="D87" s="748"/>
      <c r="E87" s="748"/>
      <c r="F87" s="748"/>
      <c r="G87" s="748"/>
      <c r="H87" s="748"/>
      <c r="I87" s="748"/>
      <c r="J87" s="748"/>
      <c r="K87" s="748"/>
      <c r="L87" s="748"/>
      <c r="M87" s="748"/>
      <c r="N87" s="748"/>
      <c r="O87" s="748"/>
      <c r="P87" s="342"/>
      <c r="Q87" s="342"/>
      <c r="R87" s="342"/>
      <c r="S87" s="748"/>
      <c r="T87" s="342"/>
      <c r="U87" s="342"/>
      <c r="V87" s="750"/>
    </row>
    <row r="88" spans="2:22">
      <c r="B88" s="747"/>
      <c r="C88" s="748"/>
      <c r="D88" s="748"/>
      <c r="E88" s="748"/>
      <c r="F88" s="748"/>
      <c r="G88" s="748"/>
      <c r="H88" s="748"/>
      <c r="I88" s="748"/>
      <c r="J88" s="748"/>
      <c r="K88" s="748"/>
      <c r="L88" s="748"/>
      <c r="M88" s="748"/>
      <c r="N88" s="748"/>
      <c r="O88" s="748"/>
      <c r="P88" s="342"/>
      <c r="Q88" s="342"/>
      <c r="R88" s="342"/>
      <c r="S88" s="748"/>
      <c r="T88" s="342"/>
      <c r="U88" s="342"/>
      <c r="V88" s="750"/>
    </row>
    <row r="89" spans="2:22">
      <c r="B89" s="747"/>
      <c r="C89" s="748"/>
      <c r="D89" s="748"/>
      <c r="E89" s="748"/>
      <c r="F89" s="748"/>
      <c r="G89" s="748"/>
      <c r="H89" s="748"/>
      <c r="I89" s="748"/>
      <c r="J89" s="748"/>
      <c r="K89" s="748"/>
      <c r="L89" s="748"/>
      <c r="M89" s="748"/>
      <c r="N89" s="748"/>
      <c r="O89" s="748"/>
      <c r="P89" s="342"/>
      <c r="Q89" s="342"/>
      <c r="R89" s="342"/>
      <c r="S89" s="748"/>
      <c r="T89" s="342"/>
      <c r="U89" s="342"/>
      <c r="V89" s="750"/>
    </row>
    <row r="90" spans="2:22">
      <c r="B90" s="747"/>
      <c r="C90" s="748"/>
      <c r="D90" s="748"/>
      <c r="E90" s="748"/>
      <c r="F90" s="748"/>
      <c r="G90" s="748"/>
      <c r="H90" s="748"/>
      <c r="I90" s="748"/>
      <c r="J90" s="748"/>
      <c r="K90" s="748"/>
      <c r="L90" s="748"/>
      <c r="M90" s="748"/>
      <c r="N90" s="748"/>
      <c r="O90" s="748"/>
      <c r="P90" s="342"/>
      <c r="Q90" s="342"/>
      <c r="R90" s="342"/>
      <c r="S90" s="748"/>
      <c r="T90" s="342"/>
      <c r="U90" s="342"/>
      <c r="V90" s="750"/>
    </row>
    <row r="91" spans="2:22">
      <c r="B91" s="747"/>
      <c r="C91" s="748"/>
      <c r="D91" s="748"/>
      <c r="E91" s="748"/>
      <c r="F91" s="748"/>
      <c r="G91" s="748"/>
      <c r="H91" s="748"/>
      <c r="I91" s="748"/>
      <c r="J91" s="748"/>
      <c r="K91" s="748"/>
      <c r="L91" s="748"/>
      <c r="M91" s="748"/>
      <c r="N91" s="748"/>
      <c r="O91" s="748"/>
      <c r="P91" s="342"/>
      <c r="Q91" s="342"/>
      <c r="R91" s="342"/>
      <c r="S91" s="748"/>
      <c r="T91" s="342"/>
      <c r="U91" s="342"/>
      <c r="V91" s="750"/>
    </row>
    <row r="92" spans="2:22">
      <c r="B92" s="747"/>
      <c r="C92" s="748"/>
      <c r="D92" s="748"/>
      <c r="E92" s="748"/>
      <c r="F92" s="748"/>
      <c r="G92" s="748"/>
      <c r="H92" s="748"/>
      <c r="I92" s="748"/>
      <c r="J92" s="748"/>
      <c r="K92" s="748"/>
      <c r="L92" s="748"/>
      <c r="M92" s="748"/>
      <c r="N92" s="748"/>
      <c r="O92" s="748"/>
      <c r="P92" s="342"/>
      <c r="Q92" s="342"/>
      <c r="R92" s="342"/>
      <c r="S92" s="748"/>
      <c r="T92" s="342"/>
      <c r="U92" s="342"/>
      <c r="V92" s="750"/>
    </row>
    <row r="93" spans="2:22">
      <c r="B93" s="747"/>
      <c r="C93" s="748"/>
      <c r="D93" s="748"/>
      <c r="E93" s="748"/>
      <c r="F93" s="748"/>
      <c r="G93" s="748"/>
      <c r="H93" s="748"/>
      <c r="I93" s="748"/>
      <c r="J93" s="748"/>
      <c r="K93" s="748"/>
      <c r="L93" s="748"/>
      <c r="M93" s="748"/>
      <c r="N93" s="748"/>
      <c r="O93" s="748"/>
      <c r="P93" s="342"/>
      <c r="Q93" s="342"/>
      <c r="R93" s="342"/>
      <c r="S93" s="748"/>
      <c r="T93" s="342"/>
      <c r="U93" s="342"/>
      <c r="V93" s="750"/>
    </row>
    <row r="94" spans="2:22">
      <c r="B94" s="747"/>
      <c r="C94" s="748"/>
      <c r="D94" s="748"/>
      <c r="E94" s="748"/>
      <c r="F94" s="748"/>
      <c r="G94" s="748"/>
      <c r="H94" s="748"/>
      <c r="I94" s="748"/>
      <c r="J94" s="748"/>
      <c r="K94" s="748"/>
      <c r="L94" s="748"/>
      <c r="M94" s="748"/>
      <c r="N94" s="748"/>
      <c r="O94" s="748"/>
      <c r="P94" s="342"/>
      <c r="Q94" s="342"/>
      <c r="R94" s="342"/>
      <c r="S94" s="748"/>
      <c r="T94" s="342"/>
      <c r="U94" s="342"/>
      <c r="V94" s="750"/>
    </row>
    <row r="95" spans="2:22">
      <c r="B95" s="747"/>
      <c r="C95" s="748"/>
      <c r="D95" s="748"/>
      <c r="E95" s="748"/>
      <c r="F95" s="748"/>
      <c r="G95" s="748"/>
      <c r="H95" s="748"/>
      <c r="I95" s="748"/>
      <c r="J95" s="748"/>
      <c r="K95" s="748"/>
      <c r="L95" s="748"/>
      <c r="M95" s="748"/>
      <c r="N95" s="748"/>
      <c r="O95" s="748"/>
      <c r="P95" s="342"/>
      <c r="Q95" s="342"/>
      <c r="R95" s="342"/>
      <c r="S95" s="748"/>
      <c r="T95" s="342"/>
      <c r="U95" s="342"/>
      <c r="V95" s="750"/>
    </row>
    <row r="96" spans="2:22">
      <c r="B96" s="747"/>
      <c r="C96" s="342"/>
      <c r="D96" s="342"/>
      <c r="E96" s="342"/>
      <c r="F96" s="342"/>
      <c r="G96" s="342"/>
      <c r="H96" s="342"/>
      <c r="I96" s="342"/>
      <c r="J96" s="342"/>
      <c r="K96" s="342"/>
      <c r="L96" s="342"/>
      <c r="M96" s="342"/>
      <c r="N96" s="342"/>
      <c r="O96" s="342"/>
      <c r="P96" s="342"/>
      <c r="Q96" s="342"/>
      <c r="R96" s="342"/>
      <c r="S96" s="748"/>
      <c r="T96" s="342"/>
      <c r="U96" s="342"/>
      <c r="V96" s="750"/>
    </row>
    <row r="97" spans="2:22">
      <c r="B97" s="747"/>
      <c r="C97" s="342"/>
      <c r="D97" s="342"/>
      <c r="E97" s="342"/>
      <c r="F97" s="342"/>
      <c r="G97" s="342"/>
      <c r="H97" s="342"/>
      <c r="I97" s="342"/>
      <c r="J97" s="342"/>
      <c r="K97" s="342"/>
      <c r="L97" s="342"/>
      <c r="M97" s="342"/>
      <c r="N97" s="342"/>
      <c r="O97" s="342"/>
      <c r="P97" s="342"/>
      <c r="Q97" s="342"/>
      <c r="R97" s="342"/>
      <c r="S97" s="748"/>
      <c r="T97" s="342"/>
      <c r="U97" s="342"/>
      <c r="V97" s="750"/>
    </row>
    <row r="98" spans="2:22">
      <c r="B98" s="747"/>
      <c r="C98" s="749"/>
      <c r="D98" s="748"/>
      <c r="E98" s="748"/>
      <c r="F98" s="748"/>
      <c r="G98" s="342"/>
      <c r="H98" s="342"/>
      <c r="I98" s="342"/>
      <c r="J98" s="342"/>
      <c r="K98" s="342"/>
      <c r="L98" s="342"/>
      <c r="M98" s="342"/>
      <c r="N98" s="342"/>
      <c r="O98" s="342"/>
      <c r="P98" s="342"/>
      <c r="Q98" s="342"/>
      <c r="R98" s="342"/>
      <c r="S98" s="342"/>
      <c r="T98" s="342"/>
      <c r="U98" s="342"/>
      <c r="V98" s="750"/>
    </row>
    <row r="99" spans="2:22">
      <c r="B99" s="747"/>
      <c r="C99" s="749"/>
      <c r="D99" s="748"/>
      <c r="E99" s="748"/>
      <c r="F99" s="748"/>
      <c r="G99" s="342"/>
      <c r="H99" s="342"/>
      <c r="I99" s="342"/>
      <c r="J99" s="342"/>
      <c r="K99" s="342"/>
      <c r="L99" s="342"/>
      <c r="M99" s="342"/>
      <c r="N99" s="342"/>
      <c r="O99" s="342"/>
      <c r="P99" s="342"/>
      <c r="Q99" s="342"/>
      <c r="R99" s="342"/>
      <c r="S99" s="342"/>
      <c r="T99" s="342"/>
      <c r="U99" s="342"/>
      <c r="V99" s="750"/>
    </row>
    <row r="100" spans="2:22">
      <c r="B100" s="747"/>
      <c r="C100" s="749"/>
      <c r="D100" s="748"/>
      <c r="E100" s="748"/>
      <c r="F100" s="748"/>
      <c r="G100" s="342"/>
      <c r="H100" s="342"/>
      <c r="I100" s="342"/>
      <c r="J100" s="342"/>
      <c r="K100" s="342"/>
      <c r="L100" s="342"/>
      <c r="M100" s="342"/>
      <c r="N100" s="342"/>
      <c r="O100" s="342"/>
      <c r="P100" s="342"/>
      <c r="Q100" s="342"/>
      <c r="R100" s="342"/>
      <c r="S100" s="342"/>
      <c r="T100" s="342"/>
      <c r="U100" s="342"/>
      <c r="V100" s="750"/>
    </row>
    <row r="101" spans="2:22">
      <c r="B101" s="747"/>
      <c r="C101" s="749"/>
      <c r="D101" s="748"/>
      <c r="E101" s="748"/>
      <c r="F101" s="748"/>
      <c r="G101" s="342"/>
      <c r="H101" s="342"/>
      <c r="I101" s="342"/>
      <c r="J101" s="342"/>
      <c r="K101" s="342"/>
      <c r="L101" s="342"/>
      <c r="M101" s="342"/>
      <c r="N101" s="342"/>
      <c r="O101" s="342"/>
      <c r="P101" s="342"/>
      <c r="Q101" s="342"/>
      <c r="R101" s="342"/>
      <c r="S101" s="342"/>
      <c r="T101" s="342"/>
      <c r="U101" s="342"/>
      <c r="V101" s="750"/>
    </row>
    <row r="102" spans="2:22">
      <c r="B102" s="747"/>
      <c r="C102" s="749"/>
      <c r="D102" s="342"/>
      <c r="E102" s="342"/>
      <c r="F102" s="342"/>
      <c r="G102" s="342"/>
      <c r="H102" s="342"/>
      <c r="I102" s="342"/>
      <c r="J102" s="342"/>
      <c r="K102" s="342"/>
      <c r="L102" s="342"/>
      <c r="M102" s="342"/>
      <c r="N102" s="342"/>
      <c r="O102" s="342"/>
      <c r="P102" s="342"/>
      <c r="Q102" s="342"/>
      <c r="R102" s="342"/>
      <c r="S102" s="342"/>
      <c r="T102" s="342"/>
      <c r="U102" s="342"/>
      <c r="V102" s="750"/>
    </row>
    <row r="103" spans="2:22">
      <c r="B103" s="747"/>
      <c r="C103" s="749"/>
      <c r="D103" s="751"/>
      <c r="E103" s="748"/>
      <c r="F103" s="752"/>
      <c r="G103" s="342"/>
      <c r="H103" s="342"/>
      <c r="I103" s="342"/>
      <c r="J103" s="342"/>
      <c r="K103" s="342"/>
      <c r="L103" s="342"/>
      <c r="M103" s="342"/>
      <c r="N103" s="342"/>
      <c r="O103" s="342"/>
      <c r="P103" s="342"/>
      <c r="Q103" s="342"/>
      <c r="R103" s="342"/>
      <c r="S103" s="342"/>
      <c r="T103" s="342"/>
      <c r="U103" s="342"/>
      <c r="V103" s="750"/>
    </row>
    <row r="104" spans="2:22">
      <c r="B104" s="747"/>
      <c r="C104" s="749"/>
      <c r="D104" s="751"/>
      <c r="E104" s="748"/>
      <c r="F104" s="752"/>
      <c r="G104" s="342"/>
      <c r="H104" s="342"/>
      <c r="I104" s="342"/>
      <c r="J104" s="342"/>
      <c r="K104" s="342"/>
      <c r="L104" s="342"/>
      <c r="M104" s="342"/>
      <c r="N104" s="342"/>
      <c r="O104" s="342"/>
      <c r="P104" s="342"/>
      <c r="Q104" s="342"/>
      <c r="R104" s="342"/>
      <c r="S104" s="342"/>
      <c r="T104" s="342"/>
      <c r="U104" s="342"/>
      <c r="V104" s="750"/>
    </row>
    <row r="105" spans="2:22">
      <c r="B105" s="747"/>
      <c r="C105" s="749"/>
      <c r="D105" s="751"/>
      <c r="E105" s="748"/>
      <c r="F105" s="752"/>
      <c r="G105" s="342"/>
      <c r="H105" s="342"/>
      <c r="I105" s="342"/>
      <c r="J105" s="342"/>
      <c r="K105" s="342"/>
      <c r="L105" s="342"/>
      <c r="M105" s="342"/>
      <c r="N105" s="342"/>
      <c r="O105" s="342"/>
      <c r="P105" s="342"/>
      <c r="Q105" s="342"/>
      <c r="R105" s="342"/>
      <c r="S105" s="342"/>
      <c r="T105" s="342"/>
      <c r="U105" s="342"/>
      <c r="V105" s="750"/>
    </row>
    <row r="106" spans="2:22" ht="14.4" thickBot="1">
      <c r="B106" s="753"/>
      <c r="C106" s="754"/>
      <c r="D106" s="755"/>
      <c r="E106" s="756"/>
      <c r="F106" s="757"/>
      <c r="G106" s="758"/>
      <c r="H106" s="758"/>
      <c r="I106" s="758"/>
      <c r="J106" s="758"/>
      <c r="K106" s="758"/>
      <c r="L106" s="758"/>
      <c r="M106" s="758"/>
      <c r="N106" s="758"/>
      <c r="O106" s="758"/>
      <c r="P106" s="758"/>
      <c r="Q106" s="758"/>
      <c r="R106" s="758"/>
      <c r="S106" s="758"/>
      <c r="T106" s="758"/>
      <c r="U106" s="758"/>
      <c r="V106" s="759"/>
    </row>
    <row r="107" spans="2:22">
      <c r="B107" s="744" t="s">
        <v>7914</v>
      </c>
      <c r="C107" s="745"/>
      <c r="D107" s="745"/>
      <c r="E107" s="745"/>
      <c r="F107" s="745"/>
      <c r="G107" s="745"/>
      <c r="H107" s="745"/>
      <c r="I107" s="745"/>
      <c r="J107" s="745"/>
      <c r="K107" s="745"/>
      <c r="L107" s="745"/>
      <c r="M107" s="745"/>
      <c r="N107" s="745"/>
      <c r="O107" s="745"/>
      <c r="P107" s="746"/>
      <c r="Q107" s="746"/>
      <c r="R107" s="746"/>
      <c r="S107" s="745"/>
      <c r="T107" s="746"/>
      <c r="U107" s="746"/>
      <c r="V107" s="760"/>
    </row>
    <row r="108" spans="2:22">
      <c r="B108" s="747"/>
      <c r="C108" s="748"/>
      <c r="D108" s="748"/>
      <c r="E108" s="748"/>
      <c r="F108" s="748"/>
      <c r="G108" s="748"/>
      <c r="H108" s="748"/>
      <c r="I108" s="748"/>
      <c r="J108" s="748"/>
      <c r="K108" s="748"/>
      <c r="L108" s="748"/>
      <c r="M108" s="748"/>
      <c r="N108" s="748"/>
      <c r="O108" s="748"/>
      <c r="P108" s="342"/>
      <c r="Q108" s="342"/>
      <c r="R108" s="342"/>
      <c r="S108" s="748"/>
      <c r="T108" s="342"/>
      <c r="U108" s="342"/>
      <c r="V108" s="750"/>
    </row>
    <row r="109" spans="2:22">
      <c r="B109" s="747"/>
      <c r="C109" s="748"/>
      <c r="D109" s="748"/>
      <c r="E109" s="748"/>
      <c r="F109" s="748"/>
      <c r="G109" s="748"/>
      <c r="H109" s="748"/>
      <c r="I109" s="748"/>
      <c r="J109" s="748"/>
      <c r="K109" s="748"/>
      <c r="L109" s="748"/>
      <c r="M109" s="748"/>
      <c r="N109" s="748"/>
      <c r="O109" s="748"/>
      <c r="P109" s="342"/>
      <c r="Q109" s="342"/>
      <c r="R109" s="342"/>
      <c r="S109" s="748"/>
      <c r="T109" s="342"/>
      <c r="U109" s="342"/>
      <c r="V109" s="750"/>
    </row>
    <row r="110" spans="2:22">
      <c r="B110" s="747"/>
      <c r="C110" s="748"/>
      <c r="D110" s="748"/>
      <c r="E110" s="748"/>
      <c r="F110" s="748"/>
      <c r="G110" s="748"/>
      <c r="H110" s="748"/>
      <c r="I110" s="748"/>
      <c r="J110" s="748"/>
      <c r="K110" s="748"/>
      <c r="L110" s="748"/>
      <c r="M110" s="748"/>
      <c r="N110" s="748"/>
      <c r="O110" s="748"/>
      <c r="P110" s="342"/>
      <c r="Q110" s="342"/>
      <c r="R110" s="342"/>
      <c r="S110" s="748"/>
      <c r="T110" s="342"/>
      <c r="U110" s="342"/>
      <c r="V110" s="750"/>
    </row>
    <row r="111" spans="2:22">
      <c r="B111" s="747"/>
      <c r="C111" s="748"/>
      <c r="D111" s="748"/>
      <c r="E111" s="748"/>
      <c r="F111" s="748"/>
      <c r="G111" s="748"/>
      <c r="H111" s="748"/>
      <c r="I111" s="748"/>
      <c r="J111" s="748"/>
      <c r="K111" s="748"/>
      <c r="L111" s="748"/>
      <c r="M111" s="748"/>
      <c r="N111" s="748"/>
      <c r="O111" s="748"/>
      <c r="P111" s="342"/>
      <c r="Q111" s="342"/>
      <c r="R111" s="342"/>
      <c r="S111" s="748"/>
      <c r="T111" s="342"/>
      <c r="U111" s="342"/>
      <c r="V111" s="750"/>
    </row>
    <row r="112" spans="2:22">
      <c r="B112" s="747"/>
      <c r="C112" s="748"/>
      <c r="D112" s="748"/>
      <c r="E112" s="748"/>
      <c r="F112" s="748"/>
      <c r="G112" s="748"/>
      <c r="H112" s="748"/>
      <c r="I112" s="748"/>
      <c r="J112" s="748"/>
      <c r="K112" s="748"/>
      <c r="L112" s="748"/>
      <c r="M112" s="748"/>
      <c r="N112" s="748"/>
      <c r="O112" s="748"/>
      <c r="P112" s="342"/>
      <c r="Q112" s="342"/>
      <c r="R112" s="342"/>
      <c r="S112" s="748"/>
      <c r="T112" s="342"/>
      <c r="U112" s="342"/>
      <c r="V112" s="750"/>
    </row>
    <row r="113" spans="2:22">
      <c r="B113" s="747"/>
      <c r="C113" s="748"/>
      <c r="D113" s="748"/>
      <c r="E113" s="748"/>
      <c r="F113" s="748"/>
      <c r="G113" s="748"/>
      <c r="H113" s="748"/>
      <c r="I113" s="748"/>
      <c r="J113" s="748"/>
      <c r="K113" s="748"/>
      <c r="L113" s="748"/>
      <c r="M113" s="748"/>
      <c r="N113" s="748"/>
      <c r="O113" s="748"/>
      <c r="P113" s="342"/>
      <c r="Q113" s="342"/>
      <c r="R113" s="342"/>
      <c r="S113" s="748"/>
      <c r="T113" s="342"/>
      <c r="U113" s="342"/>
      <c r="V113" s="750"/>
    </row>
    <row r="114" spans="2:22">
      <c r="B114" s="747"/>
      <c r="C114" s="748"/>
      <c r="D114" s="748"/>
      <c r="E114" s="748"/>
      <c r="F114" s="748"/>
      <c r="G114" s="748"/>
      <c r="H114" s="748"/>
      <c r="I114" s="748"/>
      <c r="J114" s="748"/>
      <c r="K114" s="748"/>
      <c r="L114" s="748"/>
      <c r="M114" s="748"/>
      <c r="N114" s="748"/>
      <c r="O114" s="748"/>
      <c r="P114" s="342"/>
      <c r="Q114" s="342"/>
      <c r="R114" s="342"/>
      <c r="S114" s="748"/>
      <c r="T114" s="342"/>
      <c r="U114" s="342"/>
      <c r="V114" s="750"/>
    </row>
    <row r="115" spans="2:22">
      <c r="B115" s="747"/>
      <c r="C115" s="748"/>
      <c r="D115" s="748"/>
      <c r="E115" s="748"/>
      <c r="F115" s="748"/>
      <c r="G115" s="748"/>
      <c r="H115" s="748"/>
      <c r="I115" s="748"/>
      <c r="J115" s="748"/>
      <c r="K115" s="748"/>
      <c r="L115" s="748"/>
      <c r="M115" s="748"/>
      <c r="N115" s="748"/>
      <c r="O115" s="748"/>
      <c r="P115" s="342"/>
      <c r="Q115" s="342"/>
      <c r="R115" s="342"/>
      <c r="S115" s="748"/>
      <c r="T115" s="342"/>
      <c r="U115" s="342"/>
      <c r="V115" s="750"/>
    </row>
    <row r="116" spans="2:22">
      <c r="B116" s="747"/>
      <c r="C116" s="748"/>
      <c r="D116" s="748"/>
      <c r="E116" s="748"/>
      <c r="F116" s="748"/>
      <c r="G116" s="748"/>
      <c r="H116" s="748"/>
      <c r="I116" s="748"/>
      <c r="J116" s="748"/>
      <c r="K116" s="748"/>
      <c r="L116" s="748"/>
      <c r="M116" s="748"/>
      <c r="N116" s="748"/>
      <c r="O116" s="748"/>
      <c r="P116" s="342"/>
      <c r="Q116" s="342"/>
      <c r="R116" s="342"/>
      <c r="S116" s="748"/>
      <c r="T116" s="342"/>
      <c r="U116" s="342"/>
      <c r="V116" s="750"/>
    </row>
    <row r="117" spans="2:22">
      <c r="B117" s="747"/>
      <c r="C117" s="748"/>
      <c r="D117" s="748"/>
      <c r="E117" s="748"/>
      <c r="F117" s="748"/>
      <c r="G117" s="748"/>
      <c r="H117" s="748"/>
      <c r="I117" s="748"/>
      <c r="J117" s="748"/>
      <c r="K117" s="748"/>
      <c r="L117" s="748"/>
      <c r="M117" s="748"/>
      <c r="N117" s="748"/>
      <c r="O117" s="748"/>
      <c r="P117" s="342"/>
      <c r="Q117" s="342"/>
      <c r="R117" s="342"/>
      <c r="S117" s="748"/>
      <c r="T117" s="342"/>
      <c r="U117" s="342"/>
      <c r="V117" s="750"/>
    </row>
    <row r="118" spans="2:22">
      <c r="B118" s="747"/>
      <c r="C118" s="342"/>
      <c r="D118" s="342"/>
      <c r="E118" s="342"/>
      <c r="F118" s="342"/>
      <c r="G118" s="342"/>
      <c r="H118" s="342"/>
      <c r="I118" s="342"/>
      <c r="J118" s="342"/>
      <c r="K118" s="342"/>
      <c r="L118" s="342"/>
      <c r="M118" s="342"/>
      <c r="N118" s="342"/>
      <c r="O118" s="342"/>
      <c r="P118" s="342"/>
      <c r="Q118" s="342"/>
      <c r="R118" s="342"/>
      <c r="S118" s="748"/>
      <c r="T118" s="342"/>
      <c r="U118" s="342"/>
      <c r="V118" s="750"/>
    </row>
    <row r="119" spans="2:22">
      <c r="B119" s="747"/>
      <c r="C119" s="342"/>
      <c r="D119" s="342"/>
      <c r="E119" s="342"/>
      <c r="F119" s="342"/>
      <c r="G119" s="342"/>
      <c r="H119" s="342"/>
      <c r="I119" s="342"/>
      <c r="J119" s="342"/>
      <c r="K119" s="342"/>
      <c r="L119" s="342"/>
      <c r="M119" s="342"/>
      <c r="N119" s="342"/>
      <c r="O119" s="342"/>
      <c r="P119" s="342"/>
      <c r="Q119" s="342"/>
      <c r="R119" s="342"/>
      <c r="S119" s="748"/>
      <c r="T119" s="342"/>
      <c r="U119" s="342"/>
      <c r="V119" s="750"/>
    </row>
    <row r="120" spans="2:22">
      <c r="B120" s="747"/>
      <c r="C120" s="749"/>
      <c r="D120" s="748"/>
      <c r="E120" s="748"/>
      <c r="F120" s="748"/>
      <c r="G120" s="342"/>
      <c r="H120" s="342"/>
      <c r="I120" s="342"/>
      <c r="J120" s="342"/>
      <c r="K120" s="342"/>
      <c r="L120" s="342"/>
      <c r="M120" s="342"/>
      <c r="N120" s="342"/>
      <c r="O120" s="342"/>
      <c r="P120" s="342"/>
      <c r="Q120" s="342"/>
      <c r="R120" s="342"/>
      <c r="S120" s="342"/>
      <c r="T120" s="342"/>
      <c r="U120" s="342"/>
      <c r="V120" s="750"/>
    </row>
    <row r="121" spans="2:22">
      <c r="B121" s="747"/>
      <c r="C121" s="749"/>
      <c r="D121" s="748"/>
      <c r="E121" s="748"/>
      <c r="F121" s="748"/>
      <c r="G121" s="342"/>
      <c r="H121" s="342"/>
      <c r="I121" s="342"/>
      <c r="J121" s="342"/>
      <c r="K121" s="342"/>
      <c r="L121" s="342"/>
      <c r="M121" s="342"/>
      <c r="N121" s="342"/>
      <c r="O121" s="342"/>
      <c r="P121" s="342"/>
      <c r="Q121" s="342"/>
      <c r="R121" s="342"/>
      <c r="S121" s="342"/>
      <c r="T121" s="342"/>
      <c r="U121" s="342"/>
      <c r="V121" s="750"/>
    </row>
    <row r="122" spans="2:22">
      <c r="B122" s="747"/>
      <c r="C122" s="749"/>
      <c r="D122" s="748"/>
      <c r="E122" s="748"/>
      <c r="F122" s="748"/>
      <c r="G122" s="342"/>
      <c r="H122" s="342"/>
      <c r="I122" s="342"/>
      <c r="J122" s="342"/>
      <c r="K122" s="342"/>
      <c r="L122" s="342"/>
      <c r="M122" s="342"/>
      <c r="N122" s="342"/>
      <c r="O122" s="342"/>
      <c r="P122" s="342"/>
      <c r="Q122" s="342"/>
      <c r="R122" s="342"/>
      <c r="S122" s="342"/>
      <c r="T122" s="342"/>
      <c r="U122" s="342"/>
      <c r="V122" s="750"/>
    </row>
    <row r="123" spans="2:22">
      <c r="B123" s="747"/>
      <c r="C123" s="749"/>
      <c r="D123" s="748"/>
      <c r="E123" s="748"/>
      <c r="F123" s="748"/>
      <c r="G123" s="342"/>
      <c r="H123" s="342"/>
      <c r="I123" s="342"/>
      <c r="J123" s="342"/>
      <c r="K123" s="342"/>
      <c r="L123" s="342"/>
      <c r="M123" s="342"/>
      <c r="N123" s="342"/>
      <c r="O123" s="342"/>
      <c r="P123" s="342"/>
      <c r="Q123" s="342"/>
      <c r="R123" s="342"/>
      <c r="S123" s="342"/>
      <c r="T123" s="342"/>
      <c r="U123" s="342"/>
      <c r="V123" s="750"/>
    </row>
    <row r="124" spans="2:22">
      <c r="B124" s="747"/>
      <c r="C124" s="749"/>
      <c r="D124" s="342"/>
      <c r="E124" s="342"/>
      <c r="F124" s="342"/>
      <c r="G124" s="342"/>
      <c r="H124" s="342"/>
      <c r="I124" s="342"/>
      <c r="J124" s="342"/>
      <c r="K124" s="342"/>
      <c r="L124" s="342"/>
      <c r="M124" s="342"/>
      <c r="N124" s="342"/>
      <c r="O124" s="342"/>
      <c r="P124" s="342"/>
      <c r="Q124" s="342"/>
      <c r="R124" s="342"/>
      <c r="S124" s="342"/>
      <c r="T124" s="342"/>
      <c r="U124" s="342"/>
      <c r="V124" s="750"/>
    </row>
    <row r="125" spans="2:22">
      <c r="B125" s="747"/>
      <c r="C125" s="749"/>
      <c r="D125" s="751"/>
      <c r="E125" s="748"/>
      <c r="F125" s="752"/>
      <c r="G125" s="342"/>
      <c r="H125" s="342"/>
      <c r="I125" s="342"/>
      <c r="J125" s="342"/>
      <c r="K125" s="342"/>
      <c r="L125" s="342"/>
      <c r="M125" s="342"/>
      <c r="N125" s="342"/>
      <c r="O125" s="342"/>
      <c r="P125" s="342"/>
      <c r="Q125" s="342"/>
      <c r="R125" s="342"/>
      <c r="S125" s="342"/>
      <c r="T125" s="342"/>
      <c r="U125" s="342"/>
      <c r="V125" s="750"/>
    </row>
    <row r="126" spans="2:22">
      <c r="B126" s="747"/>
      <c r="C126" s="749"/>
      <c r="D126" s="751"/>
      <c r="E126" s="748"/>
      <c r="F126" s="752"/>
      <c r="G126" s="342"/>
      <c r="H126" s="342"/>
      <c r="I126" s="342"/>
      <c r="J126" s="342"/>
      <c r="K126" s="342"/>
      <c r="L126" s="342"/>
      <c r="M126" s="342"/>
      <c r="N126" s="342"/>
      <c r="O126" s="342"/>
      <c r="P126" s="342"/>
      <c r="Q126" s="342"/>
      <c r="R126" s="342"/>
      <c r="S126" s="342"/>
      <c r="T126" s="342"/>
      <c r="U126" s="342"/>
      <c r="V126" s="750"/>
    </row>
    <row r="127" spans="2:22">
      <c r="B127" s="747"/>
      <c r="C127" s="749"/>
      <c r="D127" s="751"/>
      <c r="E127" s="748"/>
      <c r="F127" s="752"/>
      <c r="G127" s="342"/>
      <c r="H127" s="342"/>
      <c r="I127" s="342"/>
      <c r="J127" s="342"/>
      <c r="K127" s="342"/>
      <c r="L127" s="342"/>
      <c r="M127" s="342"/>
      <c r="N127" s="342"/>
      <c r="O127" s="342"/>
      <c r="P127" s="342"/>
      <c r="Q127" s="342"/>
      <c r="R127" s="342"/>
      <c r="S127" s="342"/>
      <c r="T127" s="342"/>
      <c r="U127" s="342"/>
      <c r="V127" s="750"/>
    </row>
    <row r="128" spans="2:22" ht="14.4" thickBot="1">
      <c r="B128" s="753"/>
      <c r="C128" s="754"/>
      <c r="D128" s="755"/>
      <c r="E128" s="756"/>
      <c r="F128" s="757"/>
      <c r="G128" s="758"/>
      <c r="H128" s="758"/>
      <c r="I128" s="758"/>
      <c r="J128" s="758"/>
      <c r="K128" s="758"/>
      <c r="L128" s="758"/>
      <c r="M128" s="758"/>
      <c r="N128" s="758"/>
      <c r="O128" s="758"/>
      <c r="P128" s="758"/>
      <c r="Q128" s="758"/>
      <c r="R128" s="758"/>
      <c r="S128" s="758"/>
      <c r="T128" s="758"/>
      <c r="U128" s="758"/>
      <c r="V128" s="759"/>
    </row>
  </sheetData>
  <mergeCells count="64">
    <mergeCell ref="B3:V3"/>
    <mergeCell ref="B40:V40"/>
    <mergeCell ref="B30:V30"/>
    <mergeCell ref="E14:F17"/>
    <mergeCell ref="G14:T17"/>
    <mergeCell ref="B13:D17"/>
    <mergeCell ref="B5:D11"/>
    <mergeCell ref="E5:F5"/>
    <mergeCell ref="G5:T5"/>
    <mergeCell ref="E6:F6"/>
    <mergeCell ref="G6:T6"/>
    <mergeCell ref="E7:F7"/>
    <mergeCell ref="G7:T7"/>
    <mergeCell ref="E8:F8"/>
    <mergeCell ref="G8:T8"/>
    <mergeCell ref="E9:F9"/>
    <mergeCell ref="G9:T9"/>
    <mergeCell ref="E10:F10"/>
    <mergeCell ref="G10:H10"/>
    <mergeCell ref="I10:M10"/>
    <mergeCell ref="O10:T10"/>
    <mergeCell ref="B26:B28"/>
    <mergeCell ref="E11:F11"/>
    <mergeCell ref="G11:T11"/>
    <mergeCell ref="B19:B25"/>
    <mergeCell ref="G20:H20"/>
    <mergeCell ref="G23:I23"/>
    <mergeCell ref="G24:I24"/>
    <mergeCell ref="G25:I25"/>
    <mergeCell ref="C28:F28"/>
    <mergeCell ref="C27:F27"/>
    <mergeCell ref="C26:F26"/>
    <mergeCell ref="E13:F13"/>
    <mergeCell ref="G13:T13"/>
    <mergeCell ref="G28:T28"/>
    <mergeCell ref="G19:T19"/>
    <mergeCell ref="G22:T22"/>
    <mergeCell ref="D37:E37"/>
    <mergeCell ref="D38:E38"/>
    <mergeCell ref="F35:G35"/>
    <mergeCell ref="F36:G36"/>
    <mergeCell ref="F37:G37"/>
    <mergeCell ref="F38:G38"/>
    <mergeCell ref="B32:C32"/>
    <mergeCell ref="H38:I38"/>
    <mergeCell ref="J32:K32"/>
    <mergeCell ref="J33:K38"/>
    <mergeCell ref="H32:I32"/>
    <mergeCell ref="F32:G32"/>
    <mergeCell ref="H35:I35"/>
    <mergeCell ref="H36:I36"/>
    <mergeCell ref="H37:I37"/>
    <mergeCell ref="D32:E32"/>
    <mergeCell ref="D33:E33"/>
    <mergeCell ref="D34:E34"/>
    <mergeCell ref="F33:G33"/>
    <mergeCell ref="F34:G34"/>
    <mergeCell ref="D35:E35"/>
    <mergeCell ref="D36:E36"/>
    <mergeCell ref="G21:T21"/>
    <mergeCell ref="G26:T26"/>
    <mergeCell ref="G27:T27"/>
    <mergeCell ref="H33:I33"/>
    <mergeCell ref="H34:I34"/>
  </mergeCells>
  <phoneticPr fontId="33"/>
  <dataValidations xWindow="86" yWindow="649" count="2">
    <dataValidation type="list" allowBlank="1" showInputMessage="1" showErrorMessage="1" sqref="G13:T13">
      <formula1>"自主的な活用,補助金事業等への活用"</formula1>
    </dataValidation>
    <dataValidation allowBlank="1" showInputMessage="1" showErrorMessage="1" promptTitle="不純物とは" prompt="ISO14687-2にて定める不純物について記載してください。_x000a_（ガイドライン3-2節参照）" sqref="B37"/>
  </dataValidations>
  <hyperlinks>
    <hyperlink ref="G11" r:id="rId1"/>
  </hyperlinks>
  <printOptions horizontalCentered="1" verticalCentered="1"/>
  <pageMargins left="0.70866141732283472" right="0.70866141732283472" top="0.74803149606299213" bottom="0.74803149606299213" header="0.31496062992125984" footer="0.31496062992125984"/>
  <pageSetup paperSize="9" scale="57" orientation="landscape" verticalDpi="90" r:id="rId2"/>
  <headerFooter scaleWithDoc="0">
    <oddHeader xml:space="preserve">&amp;R&amp;A </oddHeader>
    <oddFooter>&amp;C&amp;P/&amp;N</oddFooter>
  </headerFooter>
  <drawing r:id="rId3"/>
  <extLst>
    <ext xmlns:x14="http://schemas.microsoft.com/office/spreadsheetml/2009/9/main" uri="{CCE6A557-97BC-4b89-ADB6-D9C93CAAB3DF}">
      <x14:dataValidations xmlns:xm="http://schemas.microsoft.com/office/excel/2006/main" xWindow="86" yWindow="649" count="4">
        <x14:dataValidation type="list" allowBlank="1" showInputMessage="1" showErrorMessage="1">
          <x14:formula1>
            <xm:f>Color!$H$10:$H$11</xm:f>
          </x14:formula1>
          <xm:sqref>J23</xm:sqref>
        </x14:dataValidation>
        <x14:dataValidation type="list" allowBlank="1" showInputMessage="1" showErrorMessage="1">
          <x14:formula1>
            <xm:f>Color!$H$7:$H$8</xm:f>
          </x14:formula1>
          <xm:sqref>F25 J25</xm:sqref>
        </x14:dataValidation>
        <x14:dataValidation type="list" allowBlank="1" showInputMessage="1" showErrorMessage="1">
          <x14:formula1>
            <xm:f>Color!$H$4:$H$5</xm:f>
          </x14:formula1>
          <xm:sqref>F24 J24</xm:sqref>
        </x14:dataValidation>
        <x14:dataValidation type="list" allowBlank="1" showInputMessage="1" showErrorMessage="1">
          <x14:formula1>
            <xm:f>Color!$J$4:$J$5</xm:f>
          </x14:formula1>
          <xm:sqref>H34 F34 D34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0" tint="-0.14999847407452621"/>
  </sheetPr>
  <dimension ref="A1:E421"/>
  <sheetViews>
    <sheetView workbookViewId="0">
      <pane xSplit="4" ySplit="4" topLeftCell="E5" activePane="bottomRight" state="frozen"/>
      <selection activeCell="E32" sqref="E32"/>
      <selection pane="topRight" activeCell="E32" sqref="E32"/>
      <selection pane="bottomLeft" activeCell="E32" sqref="E32"/>
      <selection pane="bottomRight"/>
    </sheetView>
  </sheetViews>
  <sheetFormatPr defaultColWidth="9" defaultRowHeight="13.2"/>
  <cols>
    <col min="1" max="1" width="9" style="178" customWidth="1"/>
    <col min="2" max="2" width="9.19921875" style="178" bestFit="1" customWidth="1"/>
    <col min="3" max="3" width="39.59765625" style="178" customWidth="1"/>
    <col min="4" max="4" width="14.69921875" style="178" customWidth="1"/>
    <col min="5" max="5" width="11" style="194" bestFit="1" customWidth="1"/>
    <col min="6" max="7" width="9.09765625" style="178" bestFit="1" customWidth="1"/>
    <col min="8" max="8" width="9.5" style="178" bestFit="1" customWidth="1"/>
    <col min="9" max="9" width="10.5" style="178" bestFit="1" customWidth="1"/>
    <col min="10" max="10" width="11.59765625" style="178" bestFit="1" customWidth="1"/>
    <col min="11" max="11" width="10.5" style="178" bestFit="1" customWidth="1"/>
    <col min="12" max="13" width="9.5" style="178" bestFit="1" customWidth="1"/>
    <col min="14" max="14" width="9.09765625" style="178" bestFit="1" customWidth="1"/>
    <col min="15" max="15" width="9.5" style="178" bestFit="1" customWidth="1"/>
    <col min="16" max="17" width="10.5" style="178" bestFit="1" customWidth="1"/>
    <col min="18" max="22" width="9.09765625" style="178" bestFit="1" customWidth="1"/>
    <col min="23" max="16384" width="9" style="178"/>
  </cols>
  <sheetData>
    <row r="1" spans="1:5">
      <c r="A1" s="177" t="s">
        <v>5515</v>
      </c>
      <c r="D1" s="179" t="s">
        <v>5516</v>
      </c>
      <c r="E1" s="194">
        <v>404</v>
      </c>
    </row>
    <row r="2" spans="1:5">
      <c r="A2" s="180"/>
      <c r="B2" s="180" t="s">
        <v>5517</v>
      </c>
      <c r="C2" s="180"/>
      <c r="D2" s="178" t="s">
        <v>5518</v>
      </c>
      <c r="E2" s="195">
        <v>909900</v>
      </c>
    </row>
    <row r="3" spans="1:5">
      <c r="A3" s="179" t="s">
        <v>5519</v>
      </c>
      <c r="B3" s="179" t="s">
        <v>5520</v>
      </c>
      <c r="C3" s="179" t="s">
        <v>5521</v>
      </c>
      <c r="D3" s="181" t="s">
        <v>5522</v>
      </c>
      <c r="E3" s="196" t="s">
        <v>7075</v>
      </c>
    </row>
    <row r="4" spans="1:5" s="179" customFormat="1">
      <c r="A4" s="182"/>
      <c r="B4" s="182"/>
      <c r="C4" s="182"/>
      <c r="D4" s="182" t="s">
        <v>5523</v>
      </c>
      <c r="E4" s="197" t="s">
        <v>5524</v>
      </c>
    </row>
    <row r="5" spans="1:5" s="187" customFormat="1" ht="15.6">
      <c r="A5" s="183">
        <v>1</v>
      </c>
      <c r="B5" s="184">
        <v>11101</v>
      </c>
      <c r="C5" s="185" t="s">
        <v>7076</v>
      </c>
      <c r="D5" s="186" t="s">
        <v>5525</v>
      </c>
      <c r="E5" s="198">
        <v>5.5911087245435542</v>
      </c>
    </row>
    <row r="6" spans="1:5" ht="15.6">
      <c r="A6" s="178">
        <v>2</v>
      </c>
      <c r="B6" s="188">
        <v>11102</v>
      </c>
      <c r="C6" s="188" t="s">
        <v>7077</v>
      </c>
      <c r="D6" s="189" t="s">
        <v>5525</v>
      </c>
      <c r="E6" s="198">
        <v>5.4529984912594269</v>
      </c>
    </row>
    <row r="7" spans="1:5" ht="15.6">
      <c r="A7" s="178">
        <v>3</v>
      </c>
      <c r="B7" s="188">
        <v>11201</v>
      </c>
      <c r="C7" s="188" t="s">
        <v>7078</v>
      </c>
      <c r="D7" s="189" t="s">
        <v>5525</v>
      </c>
      <c r="E7" s="198">
        <v>3.3105202172270047</v>
      </c>
    </row>
    <row r="8" spans="1:5" ht="15.6">
      <c r="A8" s="178">
        <v>4</v>
      </c>
      <c r="B8" s="188">
        <v>11202</v>
      </c>
      <c r="C8" s="188" t="s">
        <v>7079</v>
      </c>
      <c r="D8" s="189" t="s">
        <v>5525</v>
      </c>
      <c r="E8" s="198">
        <v>4.8793295799764662</v>
      </c>
    </row>
    <row r="9" spans="1:5" ht="15.6">
      <c r="A9" s="178">
        <v>5</v>
      </c>
      <c r="B9" s="188">
        <v>11301</v>
      </c>
      <c r="C9" s="188" t="s">
        <v>7080</v>
      </c>
      <c r="D9" s="189" t="s">
        <v>5525</v>
      </c>
      <c r="E9" s="198">
        <v>3.6257394074751406</v>
      </c>
    </row>
    <row r="10" spans="1:5" ht="15.6">
      <c r="A10" s="178">
        <v>6</v>
      </c>
      <c r="B10" s="188">
        <v>11401</v>
      </c>
      <c r="C10" s="188" t="s">
        <v>7081</v>
      </c>
      <c r="D10" s="189" t="s">
        <v>5525</v>
      </c>
      <c r="E10" s="198">
        <v>2.7876025034621925</v>
      </c>
    </row>
    <row r="11" spans="1:5" ht="15.6">
      <c r="A11" s="178">
        <v>7</v>
      </c>
      <c r="B11" s="188">
        <v>11501</v>
      </c>
      <c r="C11" s="188" t="s">
        <v>7082</v>
      </c>
      <c r="D11" s="189" t="s">
        <v>5525</v>
      </c>
      <c r="E11" s="198">
        <v>4.0510024859579339</v>
      </c>
    </row>
    <row r="12" spans="1:5" ht="15.6">
      <c r="A12" s="178">
        <v>8</v>
      </c>
      <c r="B12" s="188">
        <v>11502</v>
      </c>
      <c r="C12" s="188" t="s">
        <v>7083</v>
      </c>
      <c r="D12" s="189" t="s">
        <v>5525</v>
      </c>
      <c r="E12" s="198">
        <v>9.5579739119682277</v>
      </c>
    </row>
    <row r="13" spans="1:5" ht="15.6">
      <c r="A13" s="178">
        <v>9</v>
      </c>
      <c r="B13" s="188">
        <v>11509</v>
      </c>
      <c r="C13" s="188" t="s">
        <v>7084</v>
      </c>
      <c r="D13" s="189" t="s">
        <v>5525</v>
      </c>
      <c r="E13" s="198">
        <v>6.2410140835961352</v>
      </c>
    </row>
    <row r="14" spans="1:5" ht="15.6">
      <c r="A14" s="178">
        <v>10</v>
      </c>
      <c r="B14" s="188">
        <v>11601</v>
      </c>
      <c r="C14" s="188" t="s">
        <v>264</v>
      </c>
      <c r="D14" s="189" t="s">
        <v>5525</v>
      </c>
      <c r="E14" s="198">
        <v>9.7537473496764893</v>
      </c>
    </row>
    <row r="15" spans="1:5" ht="15.6">
      <c r="A15" s="178">
        <v>11</v>
      </c>
      <c r="B15" s="188">
        <v>11602</v>
      </c>
      <c r="C15" s="188" t="s">
        <v>7085</v>
      </c>
      <c r="D15" s="189" t="s">
        <v>5525</v>
      </c>
      <c r="E15" s="198">
        <v>3.6772343701710142</v>
      </c>
    </row>
    <row r="16" spans="1:5" ht="15.6">
      <c r="A16" s="178">
        <v>12</v>
      </c>
      <c r="B16" s="188">
        <v>11603</v>
      </c>
      <c r="C16" s="188" t="s">
        <v>7086</v>
      </c>
      <c r="D16" s="189" t="s">
        <v>5525</v>
      </c>
      <c r="E16" s="198">
        <v>5.5073467334826427</v>
      </c>
    </row>
    <row r="17" spans="1:5" ht="15.6">
      <c r="A17" s="178">
        <v>13</v>
      </c>
      <c r="B17" s="188">
        <v>11609</v>
      </c>
      <c r="C17" s="188" t="s">
        <v>7087</v>
      </c>
      <c r="D17" s="189" t="s">
        <v>5525</v>
      </c>
      <c r="E17" s="198">
        <v>4.0494429739721998</v>
      </c>
    </row>
    <row r="18" spans="1:5" ht="15.6">
      <c r="A18" s="178">
        <v>14</v>
      </c>
      <c r="B18" s="188">
        <v>12101</v>
      </c>
      <c r="C18" s="188" t="s">
        <v>7088</v>
      </c>
      <c r="D18" s="189" t="s">
        <v>5525</v>
      </c>
      <c r="E18" s="198">
        <v>11.203377779108427</v>
      </c>
    </row>
    <row r="19" spans="1:5" ht="15.6">
      <c r="A19" s="178">
        <v>15</v>
      </c>
      <c r="B19" s="188">
        <v>12102</v>
      </c>
      <c r="C19" s="188" t="s">
        <v>274</v>
      </c>
      <c r="D19" s="189" t="s">
        <v>5525</v>
      </c>
      <c r="E19" s="198">
        <v>7.1959641212606993</v>
      </c>
    </row>
    <row r="20" spans="1:5" ht="15.6">
      <c r="A20" s="178">
        <v>16</v>
      </c>
      <c r="B20" s="188">
        <v>12103</v>
      </c>
      <c r="C20" s="188" t="s">
        <v>275</v>
      </c>
      <c r="D20" s="189" t="s">
        <v>5525</v>
      </c>
      <c r="E20" s="198">
        <v>9.6549356669723121</v>
      </c>
    </row>
    <row r="21" spans="1:5" ht="15.6">
      <c r="A21" s="178">
        <v>17</v>
      </c>
      <c r="B21" s="188">
        <v>12104</v>
      </c>
      <c r="C21" s="188" t="s">
        <v>276</v>
      </c>
      <c r="D21" s="189" t="s">
        <v>5525</v>
      </c>
      <c r="E21" s="198">
        <v>8.9207393570849582</v>
      </c>
    </row>
    <row r="22" spans="1:5" ht="15.6">
      <c r="A22" s="178">
        <v>18</v>
      </c>
      <c r="B22" s="188">
        <v>12105</v>
      </c>
      <c r="C22" s="188" t="s">
        <v>277</v>
      </c>
      <c r="D22" s="189" t="s">
        <v>5525</v>
      </c>
      <c r="E22" s="198">
        <v>14.296409677447478</v>
      </c>
    </row>
    <row r="23" spans="1:5" ht="15.6">
      <c r="A23" s="178">
        <v>19</v>
      </c>
      <c r="B23" s="188">
        <v>12109</v>
      </c>
      <c r="C23" s="188" t="s">
        <v>7089</v>
      </c>
      <c r="D23" s="189" t="s">
        <v>5525</v>
      </c>
      <c r="E23" s="198">
        <v>4.3973818885940279</v>
      </c>
    </row>
    <row r="24" spans="1:5" ht="15.6">
      <c r="A24" s="178">
        <v>20</v>
      </c>
      <c r="B24" s="188">
        <v>13101</v>
      </c>
      <c r="C24" s="188" t="s">
        <v>7090</v>
      </c>
      <c r="D24" s="189" t="s">
        <v>5525</v>
      </c>
      <c r="E24" s="198">
        <v>1.5864661832207183</v>
      </c>
    </row>
    <row r="25" spans="1:5" ht="15.6">
      <c r="A25" s="178">
        <v>21</v>
      </c>
      <c r="B25" s="188">
        <v>13102</v>
      </c>
      <c r="C25" s="188" t="s">
        <v>7091</v>
      </c>
      <c r="D25" s="189" t="s">
        <v>5525</v>
      </c>
      <c r="E25" s="198">
        <v>3.5276498212316834</v>
      </c>
    </row>
    <row r="26" spans="1:5" ht="15.6">
      <c r="A26" s="178">
        <v>22</v>
      </c>
      <c r="B26" s="188">
        <v>21101</v>
      </c>
      <c r="C26" s="188" t="s">
        <v>7092</v>
      </c>
      <c r="D26" s="189" t="s">
        <v>5525</v>
      </c>
      <c r="E26" s="198">
        <v>0.50832026261598151</v>
      </c>
    </row>
    <row r="27" spans="1:5" ht="15.6">
      <c r="A27" s="178">
        <v>23</v>
      </c>
      <c r="B27" s="188">
        <v>21201</v>
      </c>
      <c r="C27" s="188" t="s">
        <v>7093</v>
      </c>
      <c r="D27" s="189" t="s">
        <v>5525</v>
      </c>
      <c r="E27" s="198">
        <v>1.9626151162608787</v>
      </c>
    </row>
    <row r="28" spans="1:5" ht="15.6">
      <c r="A28" s="178">
        <v>24</v>
      </c>
      <c r="B28" s="188">
        <v>21301</v>
      </c>
      <c r="C28" s="188" t="s">
        <v>7094</v>
      </c>
      <c r="D28" s="189" t="s">
        <v>5525</v>
      </c>
      <c r="E28" s="198">
        <v>4.4959699058385683</v>
      </c>
    </row>
    <row r="29" spans="1:5" ht="15.6">
      <c r="A29" s="178">
        <v>25</v>
      </c>
      <c r="B29" s="188">
        <v>31101</v>
      </c>
      <c r="C29" s="188" t="s">
        <v>7095</v>
      </c>
      <c r="D29" s="189" t="s">
        <v>5525</v>
      </c>
      <c r="E29" s="198">
        <v>7.4142684188121697</v>
      </c>
    </row>
    <row r="30" spans="1:5" ht="15.6">
      <c r="A30" s="178">
        <v>26</v>
      </c>
      <c r="B30" s="188">
        <v>31104</v>
      </c>
      <c r="C30" s="188" t="s">
        <v>7096</v>
      </c>
      <c r="D30" s="189" t="s">
        <v>5525</v>
      </c>
      <c r="E30" s="198">
        <v>4.0632154489127785</v>
      </c>
    </row>
    <row r="31" spans="1:5" ht="15.6">
      <c r="A31" s="178">
        <v>27</v>
      </c>
      <c r="B31" s="188">
        <v>31201</v>
      </c>
      <c r="C31" s="188" t="s">
        <v>7097</v>
      </c>
      <c r="D31" s="189" t="s">
        <v>5525</v>
      </c>
      <c r="E31" s="198">
        <v>4.3786704493490394</v>
      </c>
    </row>
    <row r="32" spans="1:5" ht="15.6">
      <c r="A32" s="178">
        <v>28</v>
      </c>
      <c r="B32" s="188">
        <v>61101</v>
      </c>
      <c r="C32" s="188" t="s">
        <v>7098</v>
      </c>
      <c r="D32" s="189" t="s">
        <v>5525</v>
      </c>
      <c r="E32" s="198">
        <v>7.2886877870924165</v>
      </c>
    </row>
    <row r="33" spans="1:5" ht="15.6">
      <c r="A33" s="178">
        <v>29</v>
      </c>
      <c r="B33" s="188">
        <v>62101</v>
      </c>
      <c r="C33" s="188" t="s">
        <v>7099</v>
      </c>
      <c r="D33" s="189" t="s">
        <v>5525</v>
      </c>
      <c r="E33" s="198">
        <v>7.0973859487545443</v>
      </c>
    </row>
    <row r="34" spans="1:5" ht="15.6">
      <c r="A34" s="178">
        <v>30</v>
      </c>
      <c r="B34" s="188">
        <v>62201</v>
      </c>
      <c r="C34" s="188" t="s">
        <v>7100</v>
      </c>
      <c r="D34" s="189" t="s">
        <v>5525</v>
      </c>
      <c r="E34" s="198">
        <v>4.8433957509465877</v>
      </c>
    </row>
    <row r="35" spans="1:5" ht="15.6">
      <c r="A35" s="178">
        <v>31</v>
      </c>
      <c r="B35" s="188">
        <v>62202</v>
      </c>
      <c r="C35" s="188" t="s">
        <v>1264</v>
      </c>
      <c r="D35" s="189" t="s">
        <v>5525</v>
      </c>
      <c r="E35" s="198">
        <v>4.8931453995178984</v>
      </c>
    </row>
    <row r="36" spans="1:5" ht="15.6">
      <c r="A36" s="178">
        <v>32</v>
      </c>
      <c r="B36" s="188">
        <v>62909</v>
      </c>
      <c r="C36" s="188" t="s">
        <v>414</v>
      </c>
      <c r="D36" s="189" t="s">
        <v>5525</v>
      </c>
      <c r="E36" s="198">
        <v>8.4745630187092775</v>
      </c>
    </row>
    <row r="37" spans="1:5" ht="15.6">
      <c r="A37" s="178">
        <v>33</v>
      </c>
      <c r="B37" s="188">
        <v>71101</v>
      </c>
      <c r="C37" s="188" t="s">
        <v>7101</v>
      </c>
      <c r="D37" s="189" t="s">
        <v>5525</v>
      </c>
      <c r="E37" s="198">
        <v>7.7431325998825358</v>
      </c>
    </row>
    <row r="38" spans="1:5" ht="15.6">
      <c r="A38" s="178">
        <v>34</v>
      </c>
      <c r="B38" s="188">
        <v>111101</v>
      </c>
      <c r="C38" s="188" t="s">
        <v>7102</v>
      </c>
      <c r="D38" s="189" t="s">
        <v>5525</v>
      </c>
      <c r="E38" s="198">
        <v>7.8365210334848614</v>
      </c>
    </row>
    <row r="39" spans="1:5" ht="15.6">
      <c r="A39" s="178">
        <v>35</v>
      </c>
      <c r="B39" s="188">
        <v>111201</v>
      </c>
      <c r="C39" s="188" t="s">
        <v>7103</v>
      </c>
      <c r="D39" s="189" t="s">
        <v>5525</v>
      </c>
      <c r="E39" s="198">
        <v>5.4679218043355968</v>
      </c>
    </row>
    <row r="40" spans="1:5" ht="15.6">
      <c r="A40" s="178">
        <v>36</v>
      </c>
      <c r="B40" s="188">
        <v>111202</v>
      </c>
      <c r="C40" s="188" t="s">
        <v>7104</v>
      </c>
      <c r="D40" s="189" t="s">
        <v>5525</v>
      </c>
      <c r="E40" s="198">
        <v>3.1604721945568754</v>
      </c>
    </row>
    <row r="41" spans="1:5" ht="15.6">
      <c r="A41" s="178">
        <v>37</v>
      </c>
      <c r="B41" s="188">
        <v>111203</v>
      </c>
      <c r="C41" s="188" t="s">
        <v>7105</v>
      </c>
      <c r="D41" s="189" t="s">
        <v>5525</v>
      </c>
      <c r="E41" s="198">
        <v>6.3075244246272506</v>
      </c>
    </row>
    <row r="42" spans="1:5" ht="15.6">
      <c r="A42" s="178">
        <v>38</v>
      </c>
      <c r="B42" s="188">
        <v>111301</v>
      </c>
      <c r="C42" s="188" t="s">
        <v>7106</v>
      </c>
      <c r="D42" s="189" t="s">
        <v>5525</v>
      </c>
      <c r="E42" s="198">
        <v>4.6879719246802649</v>
      </c>
    </row>
    <row r="43" spans="1:5" ht="15.6">
      <c r="A43" s="178">
        <v>39</v>
      </c>
      <c r="B43" s="188">
        <v>111302</v>
      </c>
      <c r="C43" s="188" t="s">
        <v>7107</v>
      </c>
      <c r="D43" s="189" t="s">
        <v>5525</v>
      </c>
      <c r="E43" s="198">
        <v>3.8751636071786351</v>
      </c>
    </row>
    <row r="44" spans="1:5" ht="15.6">
      <c r="A44" s="178">
        <v>40</v>
      </c>
      <c r="B44" s="188">
        <v>111303</v>
      </c>
      <c r="C44" s="188" t="s">
        <v>7108</v>
      </c>
      <c r="D44" s="189" t="s">
        <v>5525</v>
      </c>
      <c r="E44" s="198">
        <v>3.6372286419801663</v>
      </c>
    </row>
    <row r="45" spans="1:5" ht="15.6">
      <c r="A45" s="178">
        <v>41</v>
      </c>
      <c r="B45" s="188">
        <v>111304</v>
      </c>
      <c r="C45" s="188" t="s">
        <v>7109</v>
      </c>
      <c r="D45" s="189" t="s">
        <v>5525</v>
      </c>
      <c r="E45" s="198">
        <v>3.8044692734940502</v>
      </c>
    </row>
    <row r="46" spans="1:5" ht="15.6">
      <c r="A46" s="178">
        <v>42</v>
      </c>
      <c r="B46" s="188">
        <v>111309</v>
      </c>
      <c r="C46" s="188" t="s">
        <v>7110</v>
      </c>
      <c r="D46" s="189" t="s">
        <v>5525</v>
      </c>
      <c r="E46" s="198">
        <v>3.3937997417336865</v>
      </c>
    </row>
    <row r="47" spans="1:5" ht="15.6">
      <c r="A47" s="178">
        <v>43</v>
      </c>
      <c r="B47" s="188">
        <v>111401</v>
      </c>
      <c r="C47" s="188" t="s">
        <v>7111</v>
      </c>
      <c r="D47" s="189" t="s">
        <v>5525</v>
      </c>
      <c r="E47" s="198">
        <v>4.3602116380362688</v>
      </c>
    </row>
    <row r="48" spans="1:5" ht="15.6">
      <c r="A48" s="178">
        <v>44</v>
      </c>
      <c r="B48" s="188">
        <v>111402</v>
      </c>
      <c r="C48" s="188" t="s">
        <v>7112</v>
      </c>
      <c r="D48" s="189" t="s">
        <v>5525</v>
      </c>
      <c r="E48" s="198">
        <v>8.823730563955424</v>
      </c>
    </row>
    <row r="49" spans="1:5" ht="15.6">
      <c r="A49" s="178">
        <v>45</v>
      </c>
      <c r="B49" s="188">
        <v>111501</v>
      </c>
      <c r="C49" s="188" t="s">
        <v>7113</v>
      </c>
      <c r="D49" s="189" t="s">
        <v>5525</v>
      </c>
      <c r="E49" s="198">
        <v>4.2274144942292322</v>
      </c>
    </row>
    <row r="50" spans="1:5" ht="15.6">
      <c r="A50" s="178">
        <v>46</v>
      </c>
      <c r="B50" s="188">
        <v>111502</v>
      </c>
      <c r="C50" s="188" t="s">
        <v>7114</v>
      </c>
      <c r="D50" s="189" t="s">
        <v>5525</v>
      </c>
      <c r="E50" s="198">
        <v>3.6418528734594693</v>
      </c>
    </row>
    <row r="51" spans="1:5" ht="15.6">
      <c r="A51" s="178">
        <v>47</v>
      </c>
      <c r="B51" s="188">
        <v>111503</v>
      </c>
      <c r="C51" s="188" t="s">
        <v>7115</v>
      </c>
      <c r="D51" s="189" t="s">
        <v>5525</v>
      </c>
      <c r="E51" s="198">
        <v>3.4146174740469659</v>
      </c>
    </row>
    <row r="52" spans="1:5" ht="15.6">
      <c r="A52" s="178">
        <v>48</v>
      </c>
      <c r="B52" s="188">
        <v>111601</v>
      </c>
      <c r="C52" s="188" t="s">
        <v>7116</v>
      </c>
      <c r="D52" s="189" t="s">
        <v>5525</v>
      </c>
      <c r="E52" s="198">
        <v>3.4460472898675296</v>
      </c>
    </row>
    <row r="53" spans="1:5" ht="15.6">
      <c r="A53" s="178">
        <v>49</v>
      </c>
      <c r="B53" s="188">
        <v>111602</v>
      </c>
      <c r="C53" s="188" t="s">
        <v>7117</v>
      </c>
      <c r="D53" s="189" t="s">
        <v>5525</v>
      </c>
      <c r="E53" s="198">
        <v>2.6367999989959396</v>
      </c>
    </row>
    <row r="54" spans="1:5" ht="15.6">
      <c r="A54" s="178">
        <v>50</v>
      </c>
      <c r="B54" s="188">
        <v>111701</v>
      </c>
      <c r="C54" s="188" t="s">
        <v>7118</v>
      </c>
      <c r="D54" s="189" t="s">
        <v>5525</v>
      </c>
      <c r="E54" s="198">
        <v>6.2294152526650697</v>
      </c>
    </row>
    <row r="55" spans="1:5" ht="15.6">
      <c r="A55" s="178">
        <v>51</v>
      </c>
      <c r="B55" s="188">
        <v>111702</v>
      </c>
      <c r="C55" s="188" t="s">
        <v>7119</v>
      </c>
      <c r="D55" s="189" t="s">
        <v>5525</v>
      </c>
      <c r="E55" s="198">
        <v>9.5618393466208964</v>
      </c>
    </row>
    <row r="56" spans="1:5" ht="15.6">
      <c r="A56" s="178">
        <v>52</v>
      </c>
      <c r="B56" s="188">
        <v>111703</v>
      </c>
      <c r="C56" s="188" t="s">
        <v>7120</v>
      </c>
      <c r="D56" s="189" t="s">
        <v>5525</v>
      </c>
      <c r="E56" s="198">
        <v>9.2097493911596615</v>
      </c>
    </row>
    <row r="57" spans="1:5" ht="15.6">
      <c r="A57" s="178">
        <v>53</v>
      </c>
      <c r="B57" s="188">
        <v>111704</v>
      </c>
      <c r="C57" s="188" t="s">
        <v>7121</v>
      </c>
      <c r="D57" s="189" t="s">
        <v>5525</v>
      </c>
      <c r="E57" s="198">
        <v>9.4193520788112863</v>
      </c>
    </row>
    <row r="58" spans="1:5" ht="15.6">
      <c r="A58" s="178">
        <v>54</v>
      </c>
      <c r="B58" s="188">
        <v>111705</v>
      </c>
      <c r="C58" s="188" t="s">
        <v>7122</v>
      </c>
      <c r="D58" s="189" t="s">
        <v>5525</v>
      </c>
      <c r="E58" s="198">
        <v>7.4210732782090867</v>
      </c>
    </row>
    <row r="59" spans="1:5" ht="15.6">
      <c r="A59" s="178">
        <v>55</v>
      </c>
      <c r="B59" s="188">
        <v>111706</v>
      </c>
      <c r="C59" s="188" t="s">
        <v>7123</v>
      </c>
      <c r="D59" s="189" t="s">
        <v>5525</v>
      </c>
      <c r="E59" s="198">
        <v>3.5523898743103786</v>
      </c>
    </row>
    <row r="60" spans="1:5" ht="15.6">
      <c r="A60" s="178">
        <v>56</v>
      </c>
      <c r="B60" s="188">
        <v>111901</v>
      </c>
      <c r="C60" s="188" t="s">
        <v>521</v>
      </c>
      <c r="D60" s="189" t="s">
        <v>5525</v>
      </c>
      <c r="E60" s="198">
        <v>4.0259109289021682</v>
      </c>
    </row>
    <row r="61" spans="1:5" ht="15.6">
      <c r="A61" s="178">
        <v>57</v>
      </c>
      <c r="B61" s="188">
        <v>111902</v>
      </c>
      <c r="C61" s="188" t="s">
        <v>7124</v>
      </c>
      <c r="D61" s="189" t="s">
        <v>5525</v>
      </c>
      <c r="E61" s="198">
        <v>3.9645453275921425</v>
      </c>
    </row>
    <row r="62" spans="1:5" ht="15.6">
      <c r="A62" s="178">
        <v>58</v>
      </c>
      <c r="B62" s="188">
        <v>111903</v>
      </c>
      <c r="C62" s="188" t="s">
        <v>7125</v>
      </c>
      <c r="D62" s="189" t="s">
        <v>5525</v>
      </c>
      <c r="E62" s="198">
        <v>3.6334979672149395</v>
      </c>
    </row>
    <row r="63" spans="1:5" ht="15.6">
      <c r="A63" s="178">
        <v>59</v>
      </c>
      <c r="B63" s="188">
        <v>111904</v>
      </c>
      <c r="C63" s="188" t="s">
        <v>5526</v>
      </c>
      <c r="D63" s="189" t="s">
        <v>5525</v>
      </c>
      <c r="E63" s="198" t="s">
        <v>5528</v>
      </c>
    </row>
    <row r="64" spans="1:5" ht="15.6">
      <c r="A64" s="178">
        <v>60</v>
      </c>
      <c r="B64" s="188">
        <v>111905</v>
      </c>
      <c r="C64" s="188" t="s">
        <v>5527</v>
      </c>
      <c r="D64" s="189" t="s">
        <v>5525</v>
      </c>
      <c r="E64" s="198" t="s">
        <v>5528</v>
      </c>
    </row>
    <row r="65" spans="1:5" ht="15.6">
      <c r="A65" s="178">
        <v>61</v>
      </c>
      <c r="B65" s="188">
        <v>111909</v>
      </c>
      <c r="C65" s="188" t="s">
        <v>7126</v>
      </c>
      <c r="D65" s="189" t="s">
        <v>5525</v>
      </c>
      <c r="E65" s="198">
        <v>4.3297826897756915</v>
      </c>
    </row>
    <row r="66" spans="1:5" ht="15.6">
      <c r="A66" s="178">
        <v>62</v>
      </c>
      <c r="B66" s="188">
        <v>112101</v>
      </c>
      <c r="C66" s="188" t="s">
        <v>530</v>
      </c>
      <c r="D66" s="189" t="s">
        <v>5525</v>
      </c>
      <c r="E66" s="198">
        <v>2.4217382592027739</v>
      </c>
    </row>
    <row r="67" spans="1:5" ht="15.6">
      <c r="A67" s="178">
        <v>63</v>
      </c>
      <c r="B67" s="188">
        <v>112102</v>
      </c>
      <c r="C67" s="188" t="s">
        <v>529</v>
      </c>
      <c r="D67" s="189" t="s">
        <v>5525</v>
      </c>
      <c r="E67" s="198">
        <v>1.7743032877930685</v>
      </c>
    </row>
    <row r="68" spans="1:5" ht="15.6">
      <c r="A68" s="178">
        <v>64</v>
      </c>
      <c r="B68" s="188">
        <v>112103</v>
      </c>
      <c r="C68" s="188" t="s">
        <v>7127</v>
      </c>
      <c r="D68" s="189" t="s">
        <v>5525</v>
      </c>
      <c r="E68" s="198">
        <v>1.981903843440092</v>
      </c>
    </row>
    <row r="69" spans="1:5" ht="15.6">
      <c r="A69" s="178">
        <v>65</v>
      </c>
      <c r="B69" s="188">
        <v>112109</v>
      </c>
      <c r="C69" s="188" t="s">
        <v>7128</v>
      </c>
      <c r="D69" s="189" t="s">
        <v>5525</v>
      </c>
      <c r="E69" s="198">
        <v>2.2820938974875977</v>
      </c>
    </row>
    <row r="70" spans="1:5" ht="15.6">
      <c r="A70" s="178">
        <v>66</v>
      </c>
      <c r="B70" s="188">
        <v>112901</v>
      </c>
      <c r="C70" s="188" t="s">
        <v>7129</v>
      </c>
      <c r="D70" s="189" t="s">
        <v>5525</v>
      </c>
      <c r="E70" s="198">
        <v>3.631738351515136</v>
      </c>
    </row>
    <row r="71" spans="1:5" ht="15.6">
      <c r="A71" s="178">
        <v>67</v>
      </c>
      <c r="B71" s="188">
        <v>112902</v>
      </c>
      <c r="C71" s="188" t="s">
        <v>7130</v>
      </c>
      <c r="D71" s="189" t="s">
        <v>5525</v>
      </c>
      <c r="E71" s="198">
        <v>2.8291055426041707</v>
      </c>
    </row>
    <row r="72" spans="1:5" ht="15.6">
      <c r="A72" s="178">
        <v>68</v>
      </c>
      <c r="B72" s="188">
        <v>112903</v>
      </c>
      <c r="C72" s="188" t="s">
        <v>7131</v>
      </c>
      <c r="D72" s="189" t="s">
        <v>5525</v>
      </c>
      <c r="E72" s="198">
        <v>4.168291703752522</v>
      </c>
    </row>
    <row r="73" spans="1:5" ht="15.6">
      <c r="A73" s="178">
        <v>69</v>
      </c>
      <c r="B73" s="188">
        <v>113101</v>
      </c>
      <c r="C73" s="188" t="s">
        <v>7132</v>
      </c>
      <c r="D73" s="189" t="s">
        <v>5525</v>
      </c>
      <c r="E73" s="198">
        <v>8.2402792585689202</v>
      </c>
    </row>
    <row r="74" spans="1:5" ht="15.6">
      <c r="A74" s="178">
        <v>70</v>
      </c>
      <c r="B74" s="188">
        <v>113102</v>
      </c>
      <c r="C74" s="188" t="s">
        <v>7133</v>
      </c>
      <c r="D74" s="189" t="s">
        <v>5525</v>
      </c>
      <c r="E74" s="198">
        <v>4.815242182383618</v>
      </c>
    </row>
    <row r="75" spans="1:5" ht="15.6">
      <c r="A75" s="178">
        <v>71</v>
      </c>
      <c r="B75" s="188">
        <v>114101</v>
      </c>
      <c r="C75" s="188" t="s">
        <v>7134</v>
      </c>
      <c r="D75" s="189" t="s">
        <v>5525</v>
      </c>
      <c r="E75" s="198">
        <v>0.89144228897815214</v>
      </c>
    </row>
    <row r="76" spans="1:5" ht="15.6">
      <c r="A76" s="178">
        <v>72</v>
      </c>
      <c r="B76" s="188">
        <v>151101</v>
      </c>
      <c r="C76" s="188" t="s">
        <v>7135</v>
      </c>
      <c r="D76" s="189" t="s">
        <v>5525</v>
      </c>
      <c r="E76" s="198">
        <v>5.4273114069868074</v>
      </c>
    </row>
    <row r="77" spans="1:5" ht="15.6">
      <c r="A77" s="178">
        <v>73</v>
      </c>
      <c r="B77" s="188">
        <v>151201</v>
      </c>
      <c r="C77" s="188" t="s">
        <v>7136</v>
      </c>
      <c r="D77" s="189" t="s">
        <v>5525</v>
      </c>
      <c r="E77" s="198">
        <v>6.2044458340348347</v>
      </c>
    </row>
    <row r="78" spans="1:5" ht="15.6">
      <c r="A78" s="178">
        <v>74</v>
      </c>
      <c r="B78" s="188">
        <v>151202</v>
      </c>
      <c r="C78" s="188" t="s">
        <v>7137</v>
      </c>
      <c r="D78" s="189" t="s">
        <v>5525</v>
      </c>
      <c r="E78" s="198">
        <v>5.638602218947109</v>
      </c>
    </row>
    <row r="79" spans="1:5" ht="15.6">
      <c r="A79" s="178">
        <v>75</v>
      </c>
      <c r="B79" s="188">
        <v>151203</v>
      </c>
      <c r="C79" s="188" t="s">
        <v>7138</v>
      </c>
      <c r="D79" s="189" t="s">
        <v>5525</v>
      </c>
      <c r="E79" s="198">
        <v>5.5101035441960171</v>
      </c>
    </row>
    <row r="80" spans="1:5" ht="15.6">
      <c r="A80" s="178">
        <v>76</v>
      </c>
      <c r="B80" s="188">
        <v>151301</v>
      </c>
      <c r="C80" s="188" t="s">
        <v>7139</v>
      </c>
      <c r="D80" s="189" t="s">
        <v>5525</v>
      </c>
      <c r="E80" s="198">
        <v>5.0688758166051668</v>
      </c>
    </row>
    <row r="81" spans="1:5" ht="15.6">
      <c r="A81" s="178">
        <v>77</v>
      </c>
      <c r="B81" s="188">
        <v>151401</v>
      </c>
      <c r="C81" s="188" t="s">
        <v>7140</v>
      </c>
      <c r="D81" s="189" t="s">
        <v>5525</v>
      </c>
      <c r="E81" s="198">
        <v>9.4651216433834158</v>
      </c>
    </row>
    <row r="82" spans="1:5" ht="15.6">
      <c r="A82" s="178">
        <v>78</v>
      </c>
      <c r="B82" s="188">
        <v>151901</v>
      </c>
      <c r="C82" s="188" t="s">
        <v>7141</v>
      </c>
      <c r="D82" s="189" t="s">
        <v>5525</v>
      </c>
      <c r="E82" s="198">
        <v>4.5463772585127327</v>
      </c>
    </row>
    <row r="83" spans="1:5" ht="15.6">
      <c r="A83" s="178">
        <v>79</v>
      </c>
      <c r="B83" s="188">
        <v>151902</v>
      </c>
      <c r="C83" s="188" t="s">
        <v>7142</v>
      </c>
      <c r="D83" s="189" t="s">
        <v>5525</v>
      </c>
      <c r="E83" s="198">
        <v>4.8814866058430413</v>
      </c>
    </row>
    <row r="84" spans="1:5" ht="15.6">
      <c r="A84" s="178">
        <v>80</v>
      </c>
      <c r="B84" s="188">
        <v>151903</v>
      </c>
      <c r="C84" s="188" t="s">
        <v>568</v>
      </c>
      <c r="D84" s="189" t="s">
        <v>5525</v>
      </c>
      <c r="E84" s="198">
        <v>3.8923469980165986</v>
      </c>
    </row>
    <row r="85" spans="1:5" ht="15.6">
      <c r="A85" s="178">
        <v>81</v>
      </c>
      <c r="B85" s="188">
        <v>151909</v>
      </c>
      <c r="C85" s="188" t="s">
        <v>7143</v>
      </c>
      <c r="D85" s="189" t="s">
        <v>5525</v>
      </c>
      <c r="E85" s="198">
        <v>5.1965181141614405</v>
      </c>
    </row>
    <row r="86" spans="1:5" ht="15.6">
      <c r="A86" s="178">
        <v>82</v>
      </c>
      <c r="B86" s="188">
        <v>152101</v>
      </c>
      <c r="C86" s="188" t="s">
        <v>7144</v>
      </c>
      <c r="D86" s="189" t="s">
        <v>5525</v>
      </c>
      <c r="E86" s="198">
        <v>3.3542317059233482</v>
      </c>
    </row>
    <row r="87" spans="1:5" ht="15.6">
      <c r="A87" s="178">
        <v>83</v>
      </c>
      <c r="B87" s="188">
        <v>152102</v>
      </c>
      <c r="C87" s="188" t="s">
        <v>7145</v>
      </c>
      <c r="D87" s="189" t="s">
        <v>5525</v>
      </c>
      <c r="E87" s="198">
        <v>3.5802799049348395</v>
      </c>
    </row>
    <row r="88" spans="1:5" ht="15.6">
      <c r="A88" s="178">
        <v>84</v>
      </c>
      <c r="B88" s="188">
        <v>152209</v>
      </c>
      <c r="C88" s="188" t="s">
        <v>7146</v>
      </c>
      <c r="D88" s="189" t="s">
        <v>5525</v>
      </c>
      <c r="E88" s="198">
        <v>3.4676361920470016</v>
      </c>
    </row>
    <row r="89" spans="1:5" ht="15.6">
      <c r="A89" s="178">
        <v>85</v>
      </c>
      <c r="B89" s="188">
        <v>152901</v>
      </c>
      <c r="C89" s="188" t="s">
        <v>7147</v>
      </c>
      <c r="D89" s="189" t="s">
        <v>5525</v>
      </c>
      <c r="E89" s="198">
        <v>3.2650151768349338</v>
      </c>
    </row>
    <row r="90" spans="1:5" ht="15.6">
      <c r="A90" s="178">
        <v>86</v>
      </c>
      <c r="B90" s="188">
        <v>152909</v>
      </c>
      <c r="C90" s="188" t="s">
        <v>7148</v>
      </c>
      <c r="D90" s="189" t="s">
        <v>5525</v>
      </c>
      <c r="E90" s="198">
        <v>3.2503672620328343</v>
      </c>
    </row>
    <row r="91" spans="1:5" ht="15.6">
      <c r="A91" s="178">
        <v>87</v>
      </c>
      <c r="B91" s="188">
        <v>161101</v>
      </c>
      <c r="C91" s="188" t="s">
        <v>7149</v>
      </c>
      <c r="D91" s="189" t="s">
        <v>5525</v>
      </c>
      <c r="E91" s="198">
        <v>3.3906462441472782</v>
      </c>
    </row>
    <row r="92" spans="1:5" ht="15.6">
      <c r="A92" s="178">
        <v>88</v>
      </c>
      <c r="B92" s="188">
        <v>161102</v>
      </c>
      <c r="C92" s="188" t="s">
        <v>7150</v>
      </c>
      <c r="D92" s="189" t="s">
        <v>5525</v>
      </c>
      <c r="E92" s="198">
        <v>3.7682679646218928</v>
      </c>
    </row>
    <row r="93" spans="1:5" ht="15.6">
      <c r="A93" s="178">
        <v>89</v>
      </c>
      <c r="B93" s="188">
        <v>161103</v>
      </c>
      <c r="C93" s="188" t="s">
        <v>605</v>
      </c>
      <c r="D93" s="189" t="s">
        <v>5525</v>
      </c>
      <c r="E93" s="198">
        <v>2.5264276344622285</v>
      </c>
    </row>
    <row r="94" spans="1:5" ht="15.6">
      <c r="A94" s="178">
        <v>90</v>
      </c>
      <c r="B94" s="188">
        <v>161909</v>
      </c>
      <c r="C94" s="188" t="s">
        <v>7151</v>
      </c>
      <c r="D94" s="189" t="s">
        <v>5525</v>
      </c>
      <c r="E94" s="198">
        <v>2.7165503032743041</v>
      </c>
    </row>
    <row r="95" spans="1:5" ht="15.6">
      <c r="A95" s="178">
        <v>91</v>
      </c>
      <c r="B95" s="188">
        <v>171101</v>
      </c>
      <c r="C95" s="188" t="s">
        <v>7152</v>
      </c>
      <c r="D95" s="189" t="s">
        <v>5525</v>
      </c>
      <c r="E95" s="198">
        <v>2.5831914061973551</v>
      </c>
    </row>
    <row r="96" spans="1:5" ht="15.6">
      <c r="A96" s="178">
        <v>92</v>
      </c>
      <c r="B96" s="188">
        <v>171102</v>
      </c>
      <c r="C96" s="188" t="s">
        <v>7153</v>
      </c>
      <c r="D96" s="189" t="s">
        <v>5525</v>
      </c>
      <c r="E96" s="198">
        <v>2.5649928818206824</v>
      </c>
    </row>
    <row r="97" spans="1:5" ht="15.6">
      <c r="A97" s="178">
        <v>93</v>
      </c>
      <c r="B97" s="188">
        <v>171103</v>
      </c>
      <c r="C97" s="188" t="s">
        <v>7154</v>
      </c>
      <c r="D97" s="189" t="s">
        <v>5525</v>
      </c>
      <c r="E97" s="198">
        <v>3.6780514171158574</v>
      </c>
    </row>
    <row r="98" spans="1:5" ht="15.6">
      <c r="A98" s="178">
        <v>94</v>
      </c>
      <c r="B98" s="188">
        <v>181101</v>
      </c>
      <c r="C98" s="188" t="s">
        <v>7155</v>
      </c>
      <c r="D98" s="189" t="s">
        <v>5525</v>
      </c>
      <c r="E98" s="198">
        <v>16.488708742127422</v>
      </c>
    </row>
    <row r="99" spans="1:5" ht="15.6">
      <c r="A99" s="178">
        <v>95</v>
      </c>
      <c r="B99" s="188">
        <v>181201</v>
      </c>
      <c r="C99" s="188" t="s">
        <v>7156</v>
      </c>
      <c r="D99" s="189" t="s">
        <v>5525</v>
      </c>
      <c r="E99" s="198">
        <v>11.399706034992811</v>
      </c>
    </row>
    <row r="100" spans="1:5" ht="15.6">
      <c r="A100" s="178">
        <v>96</v>
      </c>
      <c r="B100" s="188">
        <v>181202</v>
      </c>
      <c r="C100" s="188" t="s">
        <v>7157</v>
      </c>
      <c r="D100" s="189" t="s">
        <v>5525</v>
      </c>
      <c r="E100" s="198">
        <v>10.291203515950183</v>
      </c>
    </row>
    <row r="101" spans="1:5" ht="15.6">
      <c r="A101" s="178">
        <v>97</v>
      </c>
      <c r="B101" s="188">
        <v>181301</v>
      </c>
      <c r="C101" s="188" t="s">
        <v>7158</v>
      </c>
      <c r="D101" s="189" t="s">
        <v>5525</v>
      </c>
      <c r="E101" s="198">
        <v>6.6348962477515103</v>
      </c>
    </row>
    <row r="102" spans="1:5" ht="15.6">
      <c r="A102" s="178">
        <v>98</v>
      </c>
      <c r="B102" s="188">
        <v>181302</v>
      </c>
      <c r="C102" s="188" t="s">
        <v>7159</v>
      </c>
      <c r="D102" s="189" t="s">
        <v>5525</v>
      </c>
      <c r="E102" s="198">
        <v>5.2771486012987276</v>
      </c>
    </row>
    <row r="103" spans="1:5" ht="15.6">
      <c r="A103" s="178">
        <v>99</v>
      </c>
      <c r="B103" s="188">
        <v>182101</v>
      </c>
      <c r="C103" s="188" t="s">
        <v>686</v>
      </c>
      <c r="D103" s="189" t="s">
        <v>5525</v>
      </c>
      <c r="E103" s="198">
        <v>3.5201650303366838</v>
      </c>
    </row>
    <row r="104" spans="1:5" ht="15.6">
      <c r="A104" s="178">
        <v>100</v>
      </c>
      <c r="B104" s="188">
        <v>182109</v>
      </c>
      <c r="C104" s="188" t="s">
        <v>7160</v>
      </c>
      <c r="D104" s="189" t="s">
        <v>5525</v>
      </c>
      <c r="E104" s="198">
        <v>4.3198213397185414</v>
      </c>
    </row>
    <row r="105" spans="1:5" ht="15.6">
      <c r="A105" s="178">
        <v>101</v>
      </c>
      <c r="B105" s="188">
        <v>182901</v>
      </c>
      <c r="C105" s="188" t="s">
        <v>7161</v>
      </c>
      <c r="D105" s="189" t="s">
        <v>5525</v>
      </c>
      <c r="E105" s="198">
        <v>4.2655119337724434</v>
      </c>
    </row>
    <row r="106" spans="1:5" ht="15.6">
      <c r="A106" s="178">
        <v>102</v>
      </c>
      <c r="B106" s="188">
        <v>182909</v>
      </c>
      <c r="C106" s="188" t="s">
        <v>7162</v>
      </c>
      <c r="D106" s="189" t="s">
        <v>5525</v>
      </c>
      <c r="E106" s="198">
        <v>4.0848444423965615</v>
      </c>
    </row>
    <row r="107" spans="1:5" ht="15.6">
      <c r="A107" s="178">
        <v>103</v>
      </c>
      <c r="B107" s="188">
        <v>191101</v>
      </c>
      <c r="C107" s="188" t="s">
        <v>7163</v>
      </c>
      <c r="D107" s="189" t="s">
        <v>5525</v>
      </c>
      <c r="E107" s="198">
        <v>3.1822277713911533</v>
      </c>
    </row>
    <row r="108" spans="1:5" ht="15.6">
      <c r="A108" s="178">
        <v>104</v>
      </c>
      <c r="B108" s="188">
        <v>201101</v>
      </c>
      <c r="C108" s="188" t="s">
        <v>7164</v>
      </c>
      <c r="D108" s="189" t="s">
        <v>5525</v>
      </c>
      <c r="E108" s="198">
        <v>13.308709764073125</v>
      </c>
    </row>
    <row r="109" spans="1:5" ht="15.6">
      <c r="A109" s="178">
        <v>105</v>
      </c>
      <c r="B109" s="188">
        <v>202101</v>
      </c>
      <c r="C109" s="188" t="s">
        <v>7165</v>
      </c>
      <c r="D109" s="189" t="s">
        <v>5525</v>
      </c>
      <c r="E109" s="198">
        <v>18.074478346424986</v>
      </c>
    </row>
    <row r="110" spans="1:5" ht="15.6">
      <c r="A110" s="178">
        <v>106</v>
      </c>
      <c r="B110" s="188">
        <v>202901</v>
      </c>
      <c r="C110" s="188" t="s">
        <v>7166</v>
      </c>
      <c r="D110" s="189" t="s">
        <v>5525</v>
      </c>
      <c r="E110" s="198">
        <v>8.0641397294769934</v>
      </c>
    </row>
    <row r="111" spans="1:5" ht="15.6">
      <c r="A111" s="178">
        <v>107</v>
      </c>
      <c r="B111" s="188">
        <v>202902</v>
      </c>
      <c r="C111" s="188" t="s">
        <v>7167</v>
      </c>
      <c r="D111" s="189" t="s">
        <v>5525</v>
      </c>
      <c r="E111" s="198">
        <v>9.6002959864261506</v>
      </c>
    </row>
    <row r="112" spans="1:5" ht="15.6">
      <c r="A112" s="178">
        <v>108</v>
      </c>
      <c r="B112" s="188">
        <v>202903</v>
      </c>
      <c r="C112" s="188" t="s">
        <v>7168</v>
      </c>
      <c r="D112" s="189" t="s">
        <v>5525</v>
      </c>
      <c r="E112" s="198">
        <v>10.777199698346319</v>
      </c>
    </row>
    <row r="113" spans="1:5" ht="15.6">
      <c r="A113" s="178">
        <v>109</v>
      </c>
      <c r="B113" s="188">
        <v>202909</v>
      </c>
      <c r="C113" s="188" t="s">
        <v>7169</v>
      </c>
      <c r="D113" s="189" t="s">
        <v>5525</v>
      </c>
      <c r="E113" s="198">
        <v>11.646795732419349</v>
      </c>
    </row>
    <row r="114" spans="1:5" ht="15.6">
      <c r="A114" s="178">
        <v>110</v>
      </c>
      <c r="B114" s="188">
        <v>203101</v>
      </c>
      <c r="C114" s="188" t="s">
        <v>7170</v>
      </c>
      <c r="D114" s="189" t="s">
        <v>5525</v>
      </c>
      <c r="E114" s="198">
        <v>10.143411766623286</v>
      </c>
    </row>
    <row r="115" spans="1:5" ht="15.6">
      <c r="A115" s="178">
        <v>111</v>
      </c>
      <c r="B115" s="188">
        <v>203102</v>
      </c>
      <c r="C115" s="188" t="s">
        <v>7171</v>
      </c>
      <c r="D115" s="189" t="s">
        <v>5525</v>
      </c>
      <c r="E115" s="198">
        <v>8.6024121072208377</v>
      </c>
    </row>
    <row r="116" spans="1:5" ht="15.6">
      <c r="A116" s="178">
        <v>112</v>
      </c>
      <c r="B116" s="188">
        <v>203201</v>
      </c>
      <c r="C116" s="188" t="s">
        <v>7172</v>
      </c>
      <c r="D116" s="189" t="s">
        <v>5525</v>
      </c>
      <c r="E116" s="198">
        <v>13.118764053869919</v>
      </c>
    </row>
    <row r="117" spans="1:5" ht="15.6">
      <c r="A117" s="178">
        <v>113</v>
      </c>
      <c r="B117" s="188">
        <v>203202</v>
      </c>
      <c r="C117" s="188" t="s">
        <v>7173</v>
      </c>
      <c r="D117" s="189" t="s">
        <v>5525</v>
      </c>
      <c r="E117" s="198">
        <v>9.9829529458484156</v>
      </c>
    </row>
    <row r="118" spans="1:5" ht="15.6">
      <c r="A118" s="178">
        <v>114</v>
      </c>
      <c r="B118" s="188">
        <v>203301</v>
      </c>
      <c r="C118" s="188" t="s">
        <v>7174</v>
      </c>
      <c r="D118" s="189" t="s">
        <v>5525</v>
      </c>
      <c r="E118" s="198">
        <v>15.97441894755173</v>
      </c>
    </row>
    <row r="119" spans="1:5" ht="15.6">
      <c r="A119" s="178">
        <v>115</v>
      </c>
      <c r="B119" s="188">
        <v>203901</v>
      </c>
      <c r="C119" s="188" t="s">
        <v>7175</v>
      </c>
      <c r="D119" s="189" t="s">
        <v>5525</v>
      </c>
      <c r="E119" s="198">
        <v>13.119240890347694</v>
      </c>
    </row>
    <row r="120" spans="1:5" ht="15.6">
      <c r="A120" s="178">
        <v>116</v>
      </c>
      <c r="B120" s="188">
        <v>203902</v>
      </c>
      <c r="C120" s="188" t="s">
        <v>7176</v>
      </c>
      <c r="D120" s="189" t="s">
        <v>5525</v>
      </c>
      <c r="E120" s="198">
        <v>5.1206737585302751</v>
      </c>
    </row>
    <row r="121" spans="1:5" ht="15.6">
      <c r="A121" s="178">
        <v>117</v>
      </c>
      <c r="B121" s="188">
        <v>203903</v>
      </c>
      <c r="C121" s="188" t="s">
        <v>7177</v>
      </c>
      <c r="D121" s="189" t="s">
        <v>5525</v>
      </c>
      <c r="E121" s="198">
        <v>8.7970871442042107</v>
      </c>
    </row>
    <row r="122" spans="1:5" ht="15.6">
      <c r="A122" s="178">
        <v>118</v>
      </c>
      <c r="B122" s="188">
        <v>203904</v>
      </c>
      <c r="C122" s="188" t="s">
        <v>7178</v>
      </c>
      <c r="D122" s="189" t="s">
        <v>5525</v>
      </c>
      <c r="E122" s="198">
        <v>12.919939680094389</v>
      </c>
    </row>
    <row r="123" spans="1:5" ht="15.6">
      <c r="A123" s="178">
        <v>119</v>
      </c>
      <c r="B123" s="188">
        <v>203909</v>
      </c>
      <c r="C123" s="188" t="s">
        <v>7179</v>
      </c>
      <c r="D123" s="189" t="s">
        <v>5525</v>
      </c>
      <c r="E123" s="198">
        <v>8.3848014503668278</v>
      </c>
    </row>
    <row r="124" spans="1:5" ht="15.6">
      <c r="A124" s="178">
        <v>120</v>
      </c>
      <c r="B124" s="188">
        <v>204101</v>
      </c>
      <c r="C124" s="188" t="s">
        <v>7180</v>
      </c>
      <c r="D124" s="189" t="s">
        <v>5525</v>
      </c>
      <c r="E124" s="198">
        <v>6.9419414743262688</v>
      </c>
    </row>
    <row r="125" spans="1:5" ht="15.6">
      <c r="A125" s="178">
        <v>121</v>
      </c>
      <c r="B125" s="188">
        <v>204102</v>
      </c>
      <c r="C125" s="188" t="s">
        <v>7181</v>
      </c>
      <c r="D125" s="189" t="s">
        <v>5525</v>
      </c>
      <c r="E125" s="198">
        <v>7.8071554980919942</v>
      </c>
    </row>
    <row r="126" spans="1:5" ht="15.6">
      <c r="A126" s="178">
        <v>122</v>
      </c>
      <c r="B126" s="188">
        <v>204103</v>
      </c>
      <c r="C126" s="188" t="s">
        <v>7182</v>
      </c>
      <c r="D126" s="189" t="s">
        <v>5525</v>
      </c>
      <c r="E126" s="198">
        <v>6.8578576750264295</v>
      </c>
    </row>
    <row r="127" spans="1:5" ht="15.6">
      <c r="A127" s="178">
        <v>123</v>
      </c>
      <c r="B127" s="188">
        <v>204109</v>
      </c>
      <c r="C127" s="188" t="s">
        <v>7183</v>
      </c>
      <c r="D127" s="189" t="s">
        <v>5525</v>
      </c>
      <c r="E127" s="198">
        <v>7.7466408343056914</v>
      </c>
    </row>
    <row r="128" spans="1:5" ht="15.6">
      <c r="A128" s="178">
        <v>124</v>
      </c>
      <c r="B128" s="188">
        <v>205101</v>
      </c>
      <c r="C128" s="188" t="s">
        <v>7184</v>
      </c>
      <c r="D128" s="189" t="s">
        <v>5525</v>
      </c>
      <c r="E128" s="198">
        <v>11.841377465244662</v>
      </c>
    </row>
    <row r="129" spans="1:5" ht="15.6">
      <c r="A129" s="178">
        <v>125</v>
      </c>
      <c r="B129" s="188">
        <v>205102</v>
      </c>
      <c r="C129" s="188" t="s">
        <v>7185</v>
      </c>
      <c r="D129" s="189" t="s">
        <v>5525</v>
      </c>
      <c r="E129" s="198">
        <v>9.8977111661227148</v>
      </c>
    </row>
    <row r="130" spans="1:5" ht="15.6">
      <c r="A130" s="178">
        <v>126</v>
      </c>
      <c r="B130" s="188">
        <v>206101</v>
      </c>
      <c r="C130" s="188" t="s">
        <v>7186</v>
      </c>
      <c r="D130" s="189" t="s">
        <v>5525</v>
      </c>
      <c r="E130" s="198">
        <v>2.6751091834211262</v>
      </c>
    </row>
    <row r="131" spans="1:5" ht="15.6">
      <c r="A131" s="178">
        <v>127</v>
      </c>
      <c r="B131" s="188">
        <v>207101</v>
      </c>
      <c r="C131" s="188" t="s">
        <v>7187</v>
      </c>
      <c r="D131" s="189" t="s">
        <v>5525</v>
      </c>
      <c r="E131" s="198">
        <v>4.7375121576017003</v>
      </c>
    </row>
    <row r="132" spans="1:5" ht="15.6">
      <c r="A132" s="178">
        <v>128</v>
      </c>
      <c r="B132" s="188">
        <v>207102</v>
      </c>
      <c r="C132" s="188" t="s">
        <v>7188</v>
      </c>
      <c r="D132" s="189" t="s">
        <v>5525</v>
      </c>
      <c r="E132" s="198">
        <v>3.5530493549512925</v>
      </c>
    </row>
    <row r="133" spans="1:5" ht="15.6">
      <c r="A133" s="178">
        <v>129</v>
      </c>
      <c r="B133" s="188">
        <v>207201</v>
      </c>
      <c r="C133" s="188" t="s">
        <v>7189</v>
      </c>
      <c r="D133" s="189" t="s">
        <v>5525</v>
      </c>
      <c r="E133" s="198">
        <v>5.0498073052211128</v>
      </c>
    </row>
    <row r="134" spans="1:5" ht="15.6">
      <c r="A134" s="178">
        <v>130</v>
      </c>
      <c r="B134" s="188">
        <v>207202</v>
      </c>
      <c r="C134" s="188" t="s">
        <v>7190</v>
      </c>
      <c r="D134" s="189" t="s">
        <v>5525</v>
      </c>
      <c r="E134" s="198">
        <v>4.9796851335058143</v>
      </c>
    </row>
    <row r="135" spans="1:5" ht="15.6">
      <c r="A135" s="178">
        <v>131</v>
      </c>
      <c r="B135" s="188">
        <v>207301</v>
      </c>
      <c r="C135" s="188" t="s">
        <v>7191</v>
      </c>
      <c r="D135" s="189" t="s">
        <v>5525</v>
      </c>
      <c r="E135" s="198">
        <v>5.5589306145574744</v>
      </c>
    </row>
    <row r="136" spans="1:5" ht="15.6">
      <c r="A136" s="178">
        <v>132</v>
      </c>
      <c r="B136" s="188">
        <v>207401</v>
      </c>
      <c r="C136" s="188" t="s">
        <v>7192</v>
      </c>
      <c r="D136" s="189" t="s">
        <v>5525</v>
      </c>
      <c r="E136" s="198">
        <v>5.9448546727429772</v>
      </c>
    </row>
    <row r="137" spans="1:5" ht="15.6">
      <c r="A137" s="178">
        <v>133</v>
      </c>
      <c r="B137" s="188">
        <v>207901</v>
      </c>
      <c r="C137" s="188" t="s">
        <v>7193</v>
      </c>
      <c r="D137" s="189" t="s">
        <v>5525</v>
      </c>
      <c r="E137" s="198">
        <v>5.2348337036688708</v>
      </c>
    </row>
    <row r="138" spans="1:5" ht="15.6">
      <c r="A138" s="178">
        <v>134</v>
      </c>
      <c r="B138" s="188">
        <v>207909</v>
      </c>
      <c r="C138" s="188" t="s">
        <v>7194</v>
      </c>
      <c r="D138" s="189" t="s">
        <v>5525</v>
      </c>
      <c r="E138" s="198">
        <v>6.4540094638874894</v>
      </c>
    </row>
    <row r="139" spans="1:5" ht="15.6">
      <c r="A139" s="178">
        <v>135</v>
      </c>
      <c r="B139" s="188">
        <v>211101</v>
      </c>
      <c r="C139" s="188" t="s">
        <v>7195</v>
      </c>
      <c r="D139" s="189" t="s">
        <v>5525</v>
      </c>
      <c r="E139" s="198">
        <v>7.284452002427118</v>
      </c>
    </row>
    <row r="140" spans="1:5" ht="15.6">
      <c r="A140" s="178">
        <v>136</v>
      </c>
      <c r="B140" s="188">
        <v>212101</v>
      </c>
      <c r="C140" s="188" t="s">
        <v>7196</v>
      </c>
      <c r="D140" s="189" t="s">
        <v>5525</v>
      </c>
      <c r="E140" s="198">
        <v>19.617547744563627</v>
      </c>
    </row>
    <row r="141" spans="1:5" ht="15.6">
      <c r="A141" s="178">
        <v>137</v>
      </c>
      <c r="B141" s="188">
        <v>212102</v>
      </c>
      <c r="C141" s="188" t="s">
        <v>7197</v>
      </c>
      <c r="D141" s="189" t="s">
        <v>5525</v>
      </c>
      <c r="E141" s="198">
        <v>3.8339317595298956</v>
      </c>
    </row>
    <row r="142" spans="1:5" ht="15.6">
      <c r="A142" s="178">
        <v>138</v>
      </c>
      <c r="B142" s="188">
        <v>221101</v>
      </c>
      <c r="C142" s="188" t="s">
        <v>7198</v>
      </c>
      <c r="D142" s="189" t="s">
        <v>5525</v>
      </c>
      <c r="E142" s="198">
        <v>4.1149018636742403</v>
      </c>
    </row>
    <row r="143" spans="1:5" ht="15.6">
      <c r="A143" s="178">
        <v>139</v>
      </c>
      <c r="B143" s="188">
        <v>231101</v>
      </c>
      <c r="C143" s="188" t="s">
        <v>7199</v>
      </c>
      <c r="D143" s="189" t="s">
        <v>5525</v>
      </c>
      <c r="E143" s="198">
        <v>6.2875628043617384</v>
      </c>
    </row>
    <row r="144" spans="1:5" ht="15.6">
      <c r="A144" s="178">
        <v>140</v>
      </c>
      <c r="B144" s="188">
        <v>231901</v>
      </c>
      <c r="C144" s="188" t="s">
        <v>7200</v>
      </c>
      <c r="D144" s="189" t="s">
        <v>5525</v>
      </c>
      <c r="E144" s="198">
        <v>2.7709054855458213</v>
      </c>
    </row>
    <row r="145" spans="1:5" ht="15.6">
      <c r="A145" s="178">
        <v>141</v>
      </c>
      <c r="B145" s="188">
        <v>231902</v>
      </c>
      <c r="C145" s="188" t="s">
        <v>7201</v>
      </c>
      <c r="D145" s="189" t="s">
        <v>5525</v>
      </c>
      <c r="E145" s="198">
        <v>3.4211218294634471</v>
      </c>
    </row>
    <row r="146" spans="1:5" ht="15.6">
      <c r="A146" s="178">
        <v>142</v>
      </c>
      <c r="B146" s="188">
        <v>231909</v>
      </c>
      <c r="C146" s="188" t="s">
        <v>1135</v>
      </c>
      <c r="D146" s="189" t="s">
        <v>5525</v>
      </c>
      <c r="E146" s="198">
        <v>4.1280462987077415</v>
      </c>
    </row>
    <row r="147" spans="1:5" ht="15.6">
      <c r="A147" s="178">
        <v>143</v>
      </c>
      <c r="B147" s="188">
        <v>241101</v>
      </c>
      <c r="C147" s="188" t="s">
        <v>7202</v>
      </c>
      <c r="D147" s="189" t="s">
        <v>5525</v>
      </c>
      <c r="E147" s="198">
        <v>2.6462301836156157</v>
      </c>
    </row>
    <row r="148" spans="1:5" ht="15.6">
      <c r="A148" s="178">
        <v>144</v>
      </c>
      <c r="B148" s="188">
        <v>241201</v>
      </c>
      <c r="C148" s="188" t="s">
        <v>7203</v>
      </c>
      <c r="D148" s="189" t="s">
        <v>5525</v>
      </c>
      <c r="E148" s="198">
        <v>5.5003747841590211</v>
      </c>
    </row>
    <row r="149" spans="1:5" ht="15.6">
      <c r="A149" s="178">
        <v>145</v>
      </c>
      <c r="B149" s="188">
        <v>241202</v>
      </c>
      <c r="C149" s="188" t="s">
        <v>7204</v>
      </c>
      <c r="D149" s="189" t="s">
        <v>5525</v>
      </c>
      <c r="E149" s="198">
        <v>2.8168362098310058</v>
      </c>
    </row>
    <row r="150" spans="1:5" ht="15.6">
      <c r="A150" s="178">
        <v>146</v>
      </c>
      <c r="B150" s="188">
        <v>251101</v>
      </c>
      <c r="C150" s="188" t="s">
        <v>7205</v>
      </c>
      <c r="D150" s="189" t="s">
        <v>5525</v>
      </c>
      <c r="E150" s="198">
        <v>5.1536780573041918</v>
      </c>
    </row>
    <row r="151" spans="1:5" ht="15.6">
      <c r="A151" s="178">
        <v>147</v>
      </c>
      <c r="B151" s="188">
        <v>251201</v>
      </c>
      <c r="C151" s="188" t="s">
        <v>7206</v>
      </c>
      <c r="D151" s="189" t="s">
        <v>5525</v>
      </c>
      <c r="E151" s="198">
        <v>8.1955190767734756</v>
      </c>
    </row>
    <row r="152" spans="1:5" ht="15.6">
      <c r="A152" s="178">
        <v>148</v>
      </c>
      <c r="B152" s="188">
        <v>251909</v>
      </c>
      <c r="C152" s="188" t="s">
        <v>7207</v>
      </c>
      <c r="D152" s="189" t="s">
        <v>5525</v>
      </c>
      <c r="E152" s="198">
        <v>5.6296464052291055</v>
      </c>
    </row>
    <row r="153" spans="1:5" ht="15.6">
      <c r="A153" s="178">
        <v>149</v>
      </c>
      <c r="B153" s="188">
        <v>252101</v>
      </c>
      <c r="C153" s="188" t="s">
        <v>7208</v>
      </c>
      <c r="D153" s="189" t="s">
        <v>5525</v>
      </c>
      <c r="E153" s="198">
        <v>102.37195873673591</v>
      </c>
    </row>
    <row r="154" spans="1:5" ht="15.6">
      <c r="A154" s="178">
        <v>150</v>
      </c>
      <c r="B154" s="188">
        <v>252201</v>
      </c>
      <c r="C154" s="188" t="s">
        <v>1192</v>
      </c>
      <c r="D154" s="189" t="s">
        <v>5525</v>
      </c>
      <c r="E154" s="198">
        <v>19.720154658737446</v>
      </c>
    </row>
    <row r="155" spans="1:5" ht="15.6">
      <c r="A155" s="178">
        <v>151</v>
      </c>
      <c r="B155" s="188">
        <v>252301</v>
      </c>
      <c r="C155" s="188" t="s">
        <v>7209</v>
      </c>
      <c r="D155" s="189" t="s">
        <v>5525</v>
      </c>
      <c r="E155" s="198">
        <v>7.8529561615232826</v>
      </c>
    </row>
    <row r="156" spans="1:5" ht="15.6">
      <c r="A156" s="178">
        <v>152</v>
      </c>
      <c r="B156" s="188">
        <v>253101</v>
      </c>
      <c r="C156" s="188" t="s">
        <v>7210</v>
      </c>
      <c r="D156" s="189" t="s">
        <v>5525</v>
      </c>
      <c r="E156" s="198">
        <v>5.9349740815915091</v>
      </c>
    </row>
    <row r="157" spans="1:5" ht="15.6">
      <c r="A157" s="178">
        <v>153</v>
      </c>
      <c r="B157" s="188">
        <v>259901</v>
      </c>
      <c r="C157" s="188" t="s">
        <v>7211</v>
      </c>
      <c r="D157" s="189" t="s">
        <v>5525</v>
      </c>
      <c r="E157" s="198">
        <v>8.1808861913201341</v>
      </c>
    </row>
    <row r="158" spans="1:5" ht="15.6">
      <c r="A158" s="178">
        <v>154</v>
      </c>
      <c r="B158" s="188">
        <v>259902</v>
      </c>
      <c r="C158" s="188" t="s">
        <v>7212</v>
      </c>
      <c r="D158" s="189" t="s">
        <v>5525</v>
      </c>
      <c r="E158" s="198">
        <v>7.967893047238185</v>
      </c>
    </row>
    <row r="159" spans="1:5" ht="15.6">
      <c r="A159" s="178">
        <v>155</v>
      </c>
      <c r="B159" s="188">
        <v>259903</v>
      </c>
      <c r="C159" s="188" t="s">
        <v>7213</v>
      </c>
      <c r="D159" s="189" t="s">
        <v>5525</v>
      </c>
      <c r="E159" s="198">
        <v>7.4231889255536325</v>
      </c>
    </row>
    <row r="160" spans="1:5" ht="15.6">
      <c r="A160" s="178">
        <v>156</v>
      </c>
      <c r="B160" s="188">
        <v>259904</v>
      </c>
      <c r="C160" s="188" t="s">
        <v>7214</v>
      </c>
      <c r="D160" s="189" t="s">
        <v>5525</v>
      </c>
      <c r="E160" s="198">
        <v>5.2625154755136823</v>
      </c>
    </row>
    <row r="161" spans="1:5" ht="15.6">
      <c r="A161" s="178">
        <v>157</v>
      </c>
      <c r="B161" s="188">
        <v>259909</v>
      </c>
      <c r="C161" s="188" t="s">
        <v>7215</v>
      </c>
      <c r="D161" s="189" t="s">
        <v>5525</v>
      </c>
      <c r="E161" s="198">
        <v>6.1816277246522358</v>
      </c>
    </row>
    <row r="162" spans="1:5" ht="15.6">
      <c r="A162" s="178">
        <v>158</v>
      </c>
      <c r="B162" s="188">
        <v>261101</v>
      </c>
      <c r="C162" s="188" t="s">
        <v>7216</v>
      </c>
      <c r="D162" s="189" t="s">
        <v>5525</v>
      </c>
      <c r="E162" s="198">
        <v>67.19892373426066</v>
      </c>
    </row>
    <row r="163" spans="1:5" ht="15.6">
      <c r="A163" s="178">
        <v>159</v>
      </c>
      <c r="B163" s="188">
        <v>261102</v>
      </c>
      <c r="C163" s="188" t="s">
        <v>7217</v>
      </c>
      <c r="D163" s="189" t="s">
        <v>5525</v>
      </c>
      <c r="E163" s="198">
        <v>17.94026427032615</v>
      </c>
    </row>
    <row r="164" spans="1:5" ht="15.6">
      <c r="A164" s="178">
        <v>160</v>
      </c>
      <c r="B164" s="188">
        <v>261103</v>
      </c>
      <c r="C164" s="188" t="s">
        <v>7218</v>
      </c>
      <c r="D164" s="189" t="s">
        <v>5525</v>
      </c>
      <c r="E164" s="198">
        <v>43.742699535984023</v>
      </c>
    </row>
    <row r="165" spans="1:5" ht="15.6">
      <c r="A165" s="178">
        <v>161</v>
      </c>
      <c r="B165" s="188">
        <v>261104</v>
      </c>
      <c r="C165" s="188" t="s">
        <v>7219</v>
      </c>
      <c r="D165" s="189" t="s">
        <v>5525</v>
      </c>
      <c r="E165" s="198">
        <v>13.780999461884342</v>
      </c>
    </row>
    <row r="166" spans="1:5" ht="15.6">
      <c r="A166" s="178">
        <v>162</v>
      </c>
      <c r="B166" s="188">
        <v>2612011</v>
      </c>
      <c r="C166" s="188" t="s">
        <v>7220</v>
      </c>
      <c r="D166" s="189" t="s">
        <v>5525</v>
      </c>
      <c r="E166" s="198" t="s">
        <v>5528</v>
      </c>
    </row>
    <row r="167" spans="1:5" ht="15.6">
      <c r="A167" s="178">
        <v>163</v>
      </c>
      <c r="B167" s="188">
        <v>262101</v>
      </c>
      <c r="C167" s="188" t="s">
        <v>7221</v>
      </c>
      <c r="D167" s="189" t="s">
        <v>5525</v>
      </c>
      <c r="E167" s="198">
        <v>23.319591347621518</v>
      </c>
    </row>
    <row r="168" spans="1:5" ht="15.6">
      <c r="A168" s="178">
        <v>164</v>
      </c>
      <c r="B168" s="188">
        <v>262201</v>
      </c>
      <c r="C168" s="188" t="s">
        <v>7222</v>
      </c>
      <c r="D168" s="189" t="s">
        <v>5525</v>
      </c>
      <c r="E168" s="198">
        <v>15.208107309217452</v>
      </c>
    </row>
    <row r="169" spans="1:5" ht="15.6">
      <c r="A169" s="178">
        <v>165</v>
      </c>
      <c r="B169" s="188">
        <v>262301</v>
      </c>
      <c r="C169" s="188" t="s">
        <v>7223</v>
      </c>
      <c r="D169" s="189" t="s">
        <v>5525</v>
      </c>
      <c r="E169" s="198">
        <v>17.833976509160969</v>
      </c>
    </row>
    <row r="170" spans="1:5" ht="15.6">
      <c r="A170" s="178">
        <v>166</v>
      </c>
      <c r="B170" s="188">
        <v>262302</v>
      </c>
      <c r="C170" s="188" t="s">
        <v>7224</v>
      </c>
      <c r="D170" s="189" t="s">
        <v>5525</v>
      </c>
      <c r="E170" s="198">
        <v>12.989612253776036</v>
      </c>
    </row>
    <row r="171" spans="1:5" ht="15.6">
      <c r="A171" s="178">
        <v>167</v>
      </c>
      <c r="B171" s="188">
        <v>263101</v>
      </c>
      <c r="C171" s="188" t="s">
        <v>7225</v>
      </c>
      <c r="D171" s="189" t="s">
        <v>5525</v>
      </c>
      <c r="E171" s="198">
        <v>11.328774787434714</v>
      </c>
    </row>
    <row r="172" spans="1:5" ht="15.6">
      <c r="A172" s="178">
        <v>168</v>
      </c>
      <c r="B172" s="188">
        <v>263102</v>
      </c>
      <c r="C172" s="188" t="s">
        <v>1350</v>
      </c>
      <c r="D172" s="189" t="s">
        <v>5525</v>
      </c>
      <c r="E172" s="198">
        <v>11.942030716371031</v>
      </c>
    </row>
    <row r="173" spans="1:5" ht="15.6">
      <c r="A173" s="178">
        <v>169</v>
      </c>
      <c r="B173" s="188">
        <v>263103</v>
      </c>
      <c r="C173" s="188" t="s">
        <v>7226</v>
      </c>
      <c r="D173" s="189" t="s">
        <v>5525</v>
      </c>
      <c r="E173" s="198">
        <v>15.949387037160923</v>
      </c>
    </row>
    <row r="174" spans="1:5" ht="15.6">
      <c r="A174" s="178">
        <v>170</v>
      </c>
      <c r="B174" s="188">
        <v>264901</v>
      </c>
      <c r="C174" s="188" t="s">
        <v>7227</v>
      </c>
      <c r="D174" s="189" t="s">
        <v>5525</v>
      </c>
      <c r="E174" s="198">
        <v>13.607314059139586</v>
      </c>
    </row>
    <row r="175" spans="1:5" ht="15.6">
      <c r="A175" s="178">
        <v>171</v>
      </c>
      <c r="B175" s="188">
        <v>264909</v>
      </c>
      <c r="C175" s="188" t="s">
        <v>7228</v>
      </c>
      <c r="D175" s="189" t="s">
        <v>5525</v>
      </c>
      <c r="E175" s="198">
        <v>9.3887323627022514</v>
      </c>
    </row>
    <row r="176" spans="1:5" ht="15.6">
      <c r="A176" s="178">
        <v>172</v>
      </c>
      <c r="B176" s="188">
        <v>271101</v>
      </c>
      <c r="C176" s="188" t="s">
        <v>7229</v>
      </c>
      <c r="D176" s="189" t="s">
        <v>5525</v>
      </c>
      <c r="E176" s="198">
        <v>9.6027377741700146</v>
      </c>
    </row>
    <row r="177" spans="1:5" ht="15.6">
      <c r="A177" s="178">
        <v>173</v>
      </c>
      <c r="B177" s="188">
        <v>271102</v>
      </c>
      <c r="C177" s="188" t="s">
        <v>7230</v>
      </c>
      <c r="D177" s="189" t="s">
        <v>5525</v>
      </c>
      <c r="E177" s="198">
        <v>8.8740476431263069</v>
      </c>
    </row>
    <row r="178" spans="1:5" ht="15.6">
      <c r="A178" s="178">
        <v>174</v>
      </c>
      <c r="B178" s="188">
        <v>271103</v>
      </c>
      <c r="C178" s="188" t="s">
        <v>7231</v>
      </c>
      <c r="D178" s="189" t="s">
        <v>5525</v>
      </c>
      <c r="E178" s="198">
        <v>6.5868165900876097</v>
      </c>
    </row>
    <row r="179" spans="1:5" ht="15.6">
      <c r="A179" s="178">
        <v>175</v>
      </c>
      <c r="B179" s="188">
        <v>271109</v>
      </c>
      <c r="C179" s="188" t="s">
        <v>7232</v>
      </c>
      <c r="D179" s="189" t="s">
        <v>5525</v>
      </c>
      <c r="E179" s="198">
        <v>7.5511978179896442</v>
      </c>
    </row>
    <row r="180" spans="1:5" ht="15.6">
      <c r="A180" s="178">
        <v>176</v>
      </c>
      <c r="B180" s="188">
        <v>2712011</v>
      </c>
      <c r="C180" s="188" t="s">
        <v>7233</v>
      </c>
      <c r="D180" s="189" t="s">
        <v>5525</v>
      </c>
      <c r="E180" s="198" t="s">
        <v>5528</v>
      </c>
    </row>
    <row r="181" spans="1:5" s="187" customFormat="1" ht="15.6">
      <c r="A181" s="187">
        <v>177</v>
      </c>
      <c r="B181" s="185">
        <v>272101</v>
      </c>
      <c r="C181" s="185" t="s">
        <v>7234</v>
      </c>
      <c r="D181" s="186" t="s">
        <v>5525</v>
      </c>
      <c r="E181" s="198">
        <v>5.7536652047359942</v>
      </c>
    </row>
    <row r="182" spans="1:5" ht="15.6">
      <c r="A182" s="178">
        <v>178</v>
      </c>
      <c r="B182" s="188">
        <v>272102</v>
      </c>
      <c r="C182" s="188" t="s">
        <v>7235</v>
      </c>
      <c r="D182" s="189" t="s">
        <v>5525</v>
      </c>
      <c r="E182" s="198">
        <v>5.7716953668135025</v>
      </c>
    </row>
    <row r="183" spans="1:5" ht="15.6">
      <c r="A183" s="178">
        <v>179</v>
      </c>
      <c r="B183" s="188">
        <v>272201</v>
      </c>
      <c r="C183" s="188" t="s">
        <v>7236</v>
      </c>
      <c r="D183" s="189" t="s">
        <v>5525</v>
      </c>
      <c r="E183" s="198">
        <v>6.1075557729998433</v>
      </c>
    </row>
    <row r="184" spans="1:5" s="187" customFormat="1" ht="15.6">
      <c r="A184" s="187">
        <v>180</v>
      </c>
      <c r="B184" s="185">
        <v>272202</v>
      </c>
      <c r="C184" s="185" t="s">
        <v>7237</v>
      </c>
      <c r="D184" s="186" t="s">
        <v>5525</v>
      </c>
      <c r="E184" s="198">
        <v>9.5018355851212313</v>
      </c>
    </row>
    <row r="185" spans="1:5" ht="15.6">
      <c r="A185" s="178">
        <v>181</v>
      </c>
      <c r="B185" s="188">
        <v>272203</v>
      </c>
      <c r="C185" s="188" t="s">
        <v>7238</v>
      </c>
      <c r="D185" s="189" t="s">
        <v>5525</v>
      </c>
      <c r="E185" s="198">
        <v>7.3465231141467138</v>
      </c>
    </row>
    <row r="186" spans="1:5" ht="15.6">
      <c r="A186" s="178">
        <v>182</v>
      </c>
      <c r="B186" s="188">
        <v>272204</v>
      </c>
      <c r="C186" s="188" t="s">
        <v>1442</v>
      </c>
      <c r="D186" s="189" t="s">
        <v>5525</v>
      </c>
      <c r="E186" s="198" t="s">
        <v>5528</v>
      </c>
    </row>
    <row r="187" spans="1:5" ht="15.6">
      <c r="A187" s="178">
        <v>183</v>
      </c>
      <c r="B187" s="188">
        <v>272209</v>
      </c>
      <c r="C187" s="188" t="s">
        <v>7239</v>
      </c>
      <c r="D187" s="189" t="s">
        <v>5525</v>
      </c>
      <c r="E187" s="198">
        <v>8.3760283550458521</v>
      </c>
    </row>
    <row r="188" spans="1:5" ht="15.6">
      <c r="A188" s="178">
        <v>184</v>
      </c>
      <c r="B188" s="188">
        <v>281101</v>
      </c>
      <c r="C188" s="188" t="s">
        <v>7240</v>
      </c>
      <c r="D188" s="189" t="s">
        <v>5525</v>
      </c>
      <c r="E188" s="198">
        <v>7.8203348874549814</v>
      </c>
    </row>
    <row r="189" spans="1:5" ht="15.6">
      <c r="A189" s="178">
        <v>185</v>
      </c>
      <c r="B189" s="188">
        <v>281201</v>
      </c>
      <c r="C189" s="188" t="s">
        <v>7241</v>
      </c>
      <c r="D189" s="189" t="s">
        <v>5525</v>
      </c>
      <c r="E189" s="198">
        <v>5.4513490921994938</v>
      </c>
    </row>
    <row r="190" spans="1:5" ht="15.6">
      <c r="A190" s="178">
        <v>186</v>
      </c>
      <c r="B190" s="188">
        <v>289101</v>
      </c>
      <c r="C190" s="188" t="s">
        <v>7242</v>
      </c>
      <c r="D190" s="189" t="s">
        <v>5525</v>
      </c>
      <c r="E190" s="198">
        <v>6.0055644423311465</v>
      </c>
    </row>
    <row r="191" spans="1:5" ht="15.6">
      <c r="A191" s="178">
        <v>187</v>
      </c>
      <c r="B191" s="188">
        <v>289901</v>
      </c>
      <c r="C191" s="188" t="s">
        <v>7243</v>
      </c>
      <c r="D191" s="189" t="s">
        <v>5525</v>
      </c>
      <c r="E191" s="198">
        <v>5.7047284145917754</v>
      </c>
    </row>
    <row r="192" spans="1:5" ht="15.6">
      <c r="A192" s="178">
        <v>188</v>
      </c>
      <c r="B192" s="188">
        <v>289902</v>
      </c>
      <c r="C192" s="188" t="s">
        <v>7244</v>
      </c>
      <c r="D192" s="189" t="s">
        <v>5525</v>
      </c>
      <c r="E192" s="198">
        <v>5.9022147786874539</v>
      </c>
    </row>
    <row r="193" spans="1:5" ht="15.6">
      <c r="A193" s="178">
        <v>189</v>
      </c>
      <c r="B193" s="188">
        <v>289903</v>
      </c>
      <c r="C193" s="188" t="s">
        <v>7245</v>
      </c>
      <c r="D193" s="189" t="s">
        <v>5525</v>
      </c>
      <c r="E193" s="198">
        <v>4.650529557296724</v>
      </c>
    </row>
    <row r="194" spans="1:5" ht="15.6">
      <c r="A194" s="178">
        <v>190</v>
      </c>
      <c r="B194" s="188">
        <v>289909</v>
      </c>
      <c r="C194" s="188" t="s">
        <v>7246</v>
      </c>
      <c r="D194" s="189" t="s">
        <v>5525</v>
      </c>
      <c r="E194" s="198">
        <v>5.2728532897355533</v>
      </c>
    </row>
    <row r="195" spans="1:5" ht="15.6">
      <c r="A195" s="178">
        <v>191</v>
      </c>
      <c r="B195" s="188">
        <v>301101</v>
      </c>
      <c r="C195" s="188" t="s">
        <v>7247</v>
      </c>
      <c r="D195" s="189" t="s">
        <v>5525</v>
      </c>
      <c r="E195" s="198">
        <v>2.901834776433152</v>
      </c>
    </row>
    <row r="196" spans="1:5" ht="15.6">
      <c r="A196" s="178">
        <v>192</v>
      </c>
      <c r="B196" s="188">
        <v>301102</v>
      </c>
      <c r="C196" s="188" t="s">
        <v>7248</v>
      </c>
      <c r="D196" s="189" t="s">
        <v>5525</v>
      </c>
      <c r="E196" s="198">
        <v>3.8809800875839318</v>
      </c>
    </row>
    <row r="197" spans="1:5" ht="15.6">
      <c r="A197" s="178">
        <v>193</v>
      </c>
      <c r="B197" s="188">
        <v>301103</v>
      </c>
      <c r="C197" s="188" t="s">
        <v>7249</v>
      </c>
      <c r="D197" s="189" t="s">
        <v>5525</v>
      </c>
      <c r="E197" s="198">
        <v>4.1827901275577117</v>
      </c>
    </row>
    <row r="198" spans="1:5" ht="15.6">
      <c r="A198" s="178">
        <v>194</v>
      </c>
      <c r="B198" s="188">
        <v>301201</v>
      </c>
      <c r="C198" s="188" t="s">
        <v>7250</v>
      </c>
      <c r="D198" s="189" t="s">
        <v>5525</v>
      </c>
      <c r="E198" s="198">
        <v>4.2267098151420237</v>
      </c>
    </row>
    <row r="199" spans="1:5" ht="15.6">
      <c r="A199" s="178">
        <v>195</v>
      </c>
      <c r="B199" s="188">
        <v>301301</v>
      </c>
      <c r="C199" s="188" t="s">
        <v>7251</v>
      </c>
      <c r="D199" s="189" t="s">
        <v>5525</v>
      </c>
      <c r="E199" s="198">
        <v>6.502939486585583</v>
      </c>
    </row>
    <row r="200" spans="1:5" ht="15.6">
      <c r="A200" s="178">
        <v>196</v>
      </c>
      <c r="B200" s="188">
        <v>301901</v>
      </c>
      <c r="C200" s="188" t="s">
        <v>7252</v>
      </c>
      <c r="D200" s="189" t="s">
        <v>5525</v>
      </c>
      <c r="E200" s="198">
        <v>4.3654422510986031</v>
      </c>
    </row>
    <row r="201" spans="1:5" ht="15.6">
      <c r="A201" s="178">
        <v>197</v>
      </c>
      <c r="B201" s="188">
        <v>301902</v>
      </c>
      <c r="C201" s="188" t="s">
        <v>7253</v>
      </c>
      <c r="D201" s="189" t="s">
        <v>5525</v>
      </c>
      <c r="E201" s="198">
        <v>3.9615671246967374</v>
      </c>
    </row>
    <row r="202" spans="1:5" ht="15.6">
      <c r="A202" s="178">
        <v>198</v>
      </c>
      <c r="B202" s="188">
        <v>301909</v>
      </c>
      <c r="C202" s="188" t="s">
        <v>7254</v>
      </c>
      <c r="D202" s="189" t="s">
        <v>5525</v>
      </c>
      <c r="E202" s="198">
        <v>4.371263249062336</v>
      </c>
    </row>
    <row r="203" spans="1:5" ht="15.6">
      <c r="A203" s="178">
        <v>199</v>
      </c>
      <c r="B203" s="188">
        <v>302101</v>
      </c>
      <c r="C203" s="188" t="s">
        <v>7255</v>
      </c>
      <c r="D203" s="189" t="s">
        <v>5525</v>
      </c>
      <c r="E203" s="198">
        <v>4.0961795673998171</v>
      </c>
    </row>
    <row r="204" spans="1:5" ht="15.6">
      <c r="A204" s="178">
        <v>200</v>
      </c>
      <c r="B204" s="188">
        <v>302201</v>
      </c>
      <c r="C204" s="188" t="s">
        <v>7256</v>
      </c>
      <c r="D204" s="189" t="s">
        <v>5525</v>
      </c>
      <c r="E204" s="198">
        <v>3.2924022553989398</v>
      </c>
    </row>
    <row r="205" spans="1:5" ht="15.6">
      <c r="A205" s="178">
        <v>201</v>
      </c>
      <c r="B205" s="188">
        <v>302301</v>
      </c>
      <c r="C205" s="188" t="s">
        <v>7257</v>
      </c>
      <c r="D205" s="189" t="s">
        <v>5525</v>
      </c>
      <c r="E205" s="198">
        <v>3.678195450847412</v>
      </c>
    </row>
    <row r="206" spans="1:5" ht="15.6">
      <c r="A206" s="178">
        <v>202</v>
      </c>
      <c r="B206" s="188">
        <v>302401</v>
      </c>
      <c r="C206" s="188" t="s">
        <v>7258</v>
      </c>
      <c r="D206" s="189" t="s">
        <v>5525</v>
      </c>
      <c r="E206" s="198">
        <v>3.5009923045596301</v>
      </c>
    </row>
    <row r="207" spans="1:5" ht="15.6">
      <c r="A207" s="178">
        <v>203</v>
      </c>
      <c r="B207" s="188">
        <v>302402</v>
      </c>
      <c r="C207" s="188" t="s">
        <v>7259</v>
      </c>
      <c r="D207" s="189" t="s">
        <v>5525</v>
      </c>
      <c r="E207" s="198">
        <v>4.1523849679347595</v>
      </c>
    </row>
    <row r="208" spans="1:5" ht="15.6">
      <c r="A208" s="178">
        <v>204</v>
      </c>
      <c r="B208" s="188">
        <v>302901</v>
      </c>
      <c r="C208" s="188" t="s">
        <v>7260</v>
      </c>
      <c r="D208" s="189" t="s">
        <v>5525</v>
      </c>
      <c r="E208" s="198">
        <v>3.9081078317916362</v>
      </c>
    </row>
    <row r="209" spans="1:5" ht="15.6">
      <c r="A209" s="178">
        <v>205</v>
      </c>
      <c r="B209" s="188">
        <v>302902</v>
      </c>
      <c r="C209" s="188" t="s">
        <v>7261</v>
      </c>
      <c r="D209" s="189" t="s">
        <v>5525</v>
      </c>
      <c r="E209" s="198">
        <v>3.7083636205059292</v>
      </c>
    </row>
    <row r="210" spans="1:5" ht="15.6">
      <c r="A210" s="178">
        <v>206</v>
      </c>
      <c r="B210" s="188">
        <v>302903</v>
      </c>
      <c r="C210" s="188" t="s">
        <v>7262</v>
      </c>
      <c r="D210" s="189" t="s">
        <v>5525</v>
      </c>
      <c r="E210" s="198">
        <v>4.6622186699449371</v>
      </c>
    </row>
    <row r="211" spans="1:5" ht="15.6">
      <c r="A211" s="178">
        <v>207</v>
      </c>
      <c r="B211" s="188">
        <v>302904</v>
      </c>
      <c r="C211" s="188" t="s">
        <v>7263</v>
      </c>
      <c r="D211" s="189" t="s">
        <v>5525</v>
      </c>
      <c r="E211" s="198">
        <v>3.0005660180400926</v>
      </c>
    </row>
    <row r="212" spans="1:5" ht="15.6">
      <c r="A212" s="178">
        <v>208</v>
      </c>
      <c r="B212" s="188">
        <v>302905</v>
      </c>
      <c r="C212" s="188" t="s">
        <v>7264</v>
      </c>
      <c r="D212" s="189" t="s">
        <v>5525</v>
      </c>
      <c r="E212" s="198">
        <v>3.9919978345941831</v>
      </c>
    </row>
    <row r="213" spans="1:5" ht="15.6">
      <c r="A213" s="178">
        <v>209</v>
      </c>
      <c r="B213" s="188">
        <v>302909</v>
      </c>
      <c r="C213" s="188" t="s">
        <v>7265</v>
      </c>
      <c r="D213" s="189" t="s">
        <v>5525</v>
      </c>
      <c r="E213" s="198">
        <v>3.8407555439970427</v>
      </c>
    </row>
    <row r="214" spans="1:5" ht="15.6">
      <c r="A214" s="178">
        <v>210</v>
      </c>
      <c r="B214" s="188">
        <v>303101</v>
      </c>
      <c r="C214" s="188" t="s">
        <v>7266</v>
      </c>
      <c r="D214" s="189" t="s">
        <v>5525</v>
      </c>
      <c r="E214" s="198">
        <v>4.0092039679529821</v>
      </c>
    </row>
    <row r="215" spans="1:5" ht="15.6">
      <c r="A215" s="178">
        <v>211</v>
      </c>
      <c r="B215" s="188">
        <v>303102</v>
      </c>
      <c r="C215" s="188" t="s">
        <v>7267</v>
      </c>
      <c r="D215" s="189" t="s">
        <v>5525</v>
      </c>
      <c r="E215" s="198">
        <v>6.0486140368684893</v>
      </c>
    </row>
    <row r="216" spans="1:5" ht="15.6">
      <c r="A216" s="178">
        <v>212</v>
      </c>
      <c r="B216" s="188">
        <v>303109</v>
      </c>
      <c r="C216" s="188" t="s">
        <v>7268</v>
      </c>
      <c r="D216" s="189" t="s">
        <v>5525</v>
      </c>
      <c r="E216" s="198">
        <v>4.1376983724214194</v>
      </c>
    </row>
    <row r="217" spans="1:5" ht="15.6">
      <c r="A217" s="178">
        <v>213</v>
      </c>
      <c r="B217" s="188">
        <v>311101</v>
      </c>
      <c r="C217" s="188" t="s">
        <v>7269</v>
      </c>
      <c r="D217" s="189" t="s">
        <v>5525</v>
      </c>
      <c r="E217" s="198">
        <v>3.376320471735041</v>
      </c>
    </row>
    <row r="218" spans="1:5" ht="15.6">
      <c r="A218" s="178">
        <v>214</v>
      </c>
      <c r="B218" s="188">
        <v>311109</v>
      </c>
      <c r="C218" s="188" t="s">
        <v>7270</v>
      </c>
      <c r="D218" s="189" t="s">
        <v>5525</v>
      </c>
      <c r="E218" s="198">
        <v>2.7688067562499277</v>
      </c>
    </row>
    <row r="219" spans="1:5" ht="15.6">
      <c r="A219" s="178">
        <v>215</v>
      </c>
      <c r="B219" s="188">
        <v>311201</v>
      </c>
      <c r="C219" s="188" t="s">
        <v>7271</v>
      </c>
      <c r="D219" s="189" t="s">
        <v>5525</v>
      </c>
      <c r="E219" s="198">
        <v>3.5069658902486776</v>
      </c>
    </row>
    <row r="220" spans="1:5" ht="15.6">
      <c r="A220" s="178">
        <v>216</v>
      </c>
      <c r="B220" s="188">
        <v>321101</v>
      </c>
      <c r="C220" s="188" t="s">
        <v>7272</v>
      </c>
      <c r="D220" s="189" t="s">
        <v>5525</v>
      </c>
      <c r="E220" s="198">
        <v>4.6419172230176438</v>
      </c>
    </row>
    <row r="221" spans="1:5" ht="15.6">
      <c r="A221" s="178">
        <v>217</v>
      </c>
      <c r="B221" s="188">
        <v>321102</v>
      </c>
      <c r="C221" s="188" t="s">
        <v>7573</v>
      </c>
      <c r="D221" s="189" t="s">
        <v>5525</v>
      </c>
      <c r="E221" s="198">
        <v>4.7600267559453417</v>
      </c>
    </row>
    <row r="222" spans="1:5" ht="15.6">
      <c r="A222" s="178">
        <v>218</v>
      </c>
      <c r="B222" s="188">
        <v>321103</v>
      </c>
      <c r="C222" s="188" t="s">
        <v>7273</v>
      </c>
      <c r="D222" s="189" t="s">
        <v>5525</v>
      </c>
      <c r="E222" s="198">
        <v>4.1077634069612667</v>
      </c>
    </row>
    <row r="223" spans="1:5" ht="15.6">
      <c r="A223" s="178">
        <v>219</v>
      </c>
      <c r="B223" s="188">
        <v>321104</v>
      </c>
      <c r="C223" s="188" t="s">
        <v>7274</v>
      </c>
      <c r="D223" s="189" t="s">
        <v>5525</v>
      </c>
      <c r="E223" s="198">
        <v>3.4535724178509071</v>
      </c>
    </row>
    <row r="224" spans="1:5" ht="15.6">
      <c r="A224" s="178">
        <v>220</v>
      </c>
      <c r="B224" s="188">
        <v>321105</v>
      </c>
      <c r="C224" s="188" t="s">
        <v>7275</v>
      </c>
      <c r="D224" s="189" t="s">
        <v>5525</v>
      </c>
      <c r="E224" s="198">
        <v>3.4584633301548182</v>
      </c>
    </row>
    <row r="225" spans="1:5" ht="15.6">
      <c r="A225" s="178">
        <v>221</v>
      </c>
      <c r="B225" s="188">
        <v>321109</v>
      </c>
      <c r="C225" s="188" t="s">
        <v>7574</v>
      </c>
      <c r="D225" s="189" t="s">
        <v>5525</v>
      </c>
      <c r="E225" s="198">
        <v>3.6686212407996615</v>
      </c>
    </row>
    <row r="226" spans="1:5" ht="15.6">
      <c r="A226" s="178">
        <v>222</v>
      </c>
      <c r="B226" s="188">
        <v>322101</v>
      </c>
      <c r="C226" s="188" t="s">
        <v>7276</v>
      </c>
      <c r="D226" s="189" t="s">
        <v>5525</v>
      </c>
      <c r="E226" s="198">
        <v>2.7372933616987294</v>
      </c>
    </row>
    <row r="227" spans="1:5" ht="15.6">
      <c r="A227" s="178">
        <v>223</v>
      </c>
      <c r="B227" s="188">
        <v>323101</v>
      </c>
      <c r="C227" s="188" t="s">
        <v>7277</v>
      </c>
      <c r="D227" s="189" t="s">
        <v>5525</v>
      </c>
      <c r="E227" s="198">
        <v>2.5800651575786309</v>
      </c>
    </row>
    <row r="228" spans="1:5" ht="15.6">
      <c r="A228" s="178">
        <v>224</v>
      </c>
      <c r="B228" s="188">
        <v>324101</v>
      </c>
      <c r="C228" s="188" t="s">
        <v>7278</v>
      </c>
      <c r="D228" s="189" t="s">
        <v>5525</v>
      </c>
      <c r="E228" s="198">
        <v>2.6932801400614341</v>
      </c>
    </row>
    <row r="229" spans="1:5" ht="15.6">
      <c r="A229" s="178">
        <v>225</v>
      </c>
      <c r="B229" s="188">
        <v>324102</v>
      </c>
      <c r="C229" s="188" t="s">
        <v>7279</v>
      </c>
      <c r="D229" s="189" t="s">
        <v>5525</v>
      </c>
      <c r="E229" s="198">
        <v>3.1780042902469088</v>
      </c>
    </row>
    <row r="230" spans="1:5" ht="15.6">
      <c r="A230" s="178">
        <v>226</v>
      </c>
      <c r="B230" s="188">
        <v>324103</v>
      </c>
      <c r="C230" s="188" t="s">
        <v>7280</v>
      </c>
      <c r="D230" s="189" t="s">
        <v>5525</v>
      </c>
      <c r="E230" s="198">
        <v>4.1788005401979387</v>
      </c>
    </row>
    <row r="231" spans="1:5" ht="15.6">
      <c r="A231" s="178">
        <v>227</v>
      </c>
      <c r="B231" s="188">
        <v>324109</v>
      </c>
      <c r="C231" s="188" t="s">
        <v>7281</v>
      </c>
      <c r="D231" s="189" t="s">
        <v>5525</v>
      </c>
      <c r="E231" s="198">
        <v>5.0738729410457903</v>
      </c>
    </row>
    <row r="232" spans="1:5" ht="15.6">
      <c r="A232" s="178">
        <v>228</v>
      </c>
      <c r="B232" s="188">
        <v>325101</v>
      </c>
      <c r="C232" s="188" t="s">
        <v>7282</v>
      </c>
      <c r="D232" s="189" t="s">
        <v>5525</v>
      </c>
      <c r="E232" s="198">
        <v>3.4588895571851377</v>
      </c>
    </row>
    <row r="233" spans="1:5" ht="15.6">
      <c r="A233" s="178">
        <v>229</v>
      </c>
      <c r="B233" s="188">
        <v>325102</v>
      </c>
      <c r="C233" s="188" t="s">
        <v>7283</v>
      </c>
      <c r="D233" s="189" t="s">
        <v>5525</v>
      </c>
      <c r="E233" s="198">
        <v>3.1808836494632726</v>
      </c>
    </row>
    <row r="234" spans="1:5" ht="15.6">
      <c r="A234" s="178">
        <v>230</v>
      </c>
      <c r="B234" s="188">
        <v>331101</v>
      </c>
      <c r="C234" s="188" t="s">
        <v>7284</v>
      </c>
      <c r="D234" s="189" t="s">
        <v>5525</v>
      </c>
      <c r="E234" s="198">
        <v>3.0627233632999444</v>
      </c>
    </row>
    <row r="235" spans="1:5" ht="15.6">
      <c r="A235" s="178">
        <v>231</v>
      </c>
      <c r="B235" s="188">
        <v>331102</v>
      </c>
      <c r="C235" s="188" t="s">
        <v>7285</v>
      </c>
      <c r="D235" s="189" t="s">
        <v>5525</v>
      </c>
      <c r="E235" s="198">
        <v>3.2501593999168406</v>
      </c>
    </row>
    <row r="236" spans="1:5" ht="15.6">
      <c r="A236" s="178">
        <v>232</v>
      </c>
      <c r="B236" s="188">
        <v>331103</v>
      </c>
      <c r="C236" s="188" t="s">
        <v>7286</v>
      </c>
      <c r="D236" s="189" t="s">
        <v>5525</v>
      </c>
      <c r="E236" s="198">
        <v>3.4865631376731079</v>
      </c>
    </row>
    <row r="237" spans="1:5" ht="15.6">
      <c r="A237" s="178">
        <v>233</v>
      </c>
      <c r="B237" s="188">
        <v>332101</v>
      </c>
      <c r="C237" s="188" t="s">
        <v>7287</v>
      </c>
      <c r="D237" s="189" t="s">
        <v>5525</v>
      </c>
      <c r="E237" s="198">
        <v>2.8374071504353986</v>
      </c>
    </row>
    <row r="238" spans="1:5" ht="15.6">
      <c r="A238" s="178">
        <v>234</v>
      </c>
      <c r="B238" s="188">
        <v>332102</v>
      </c>
      <c r="C238" s="188" t="s">
        <v>7288</v>
      </c>
      <c r="D238" s="189" t="s">
        <v>5525</v>
      </c>
      <c r="E238" s="198">
        <v>2.5521939766479877</v>
      </c>
    </row>
    <row r="239" spans="1:5" ht="15.6">
      <c r="A239" s="178">
        <v>235</v>
      </c>
      <c r="B239" s="188">
        <v>332103</v>
      </c>
      <c r="C239" s="188" t="s">
        <v>7289</v>
      </c>
      <c r="D239" s="189" t="s">
        <v>5525</v>
      </c>
      <c r="E239" s="198">
        <v>3.1629074486582889</v>
      </c>
    </row>
    <row r="240" spans="1:5" ht="15.6">
      <c r="A240" s="178">
        <v>236</v>
      </c>
      <c r="B240" s="188">
        <v>332109</v>
      </c>
      <c r="C240" s="188" t="s">
        <v>7290</v>
      </c>
      <c r="D240" s="189" t="s">
        <v>5525</v>
      </c>
      <c r="E240" s="198">
        <v>2.7917579270390984</v>
      </c>
    </row>
    <row r="241" spans="1:5" ht="15.6">
      <c r="A241" s="178">
        <v>237</v>
      </c>
      <c r="B241" s="188">
        <v>333101</v>
      </c>
      <c r="C241" s="188" t="s">
        <v>1683</v>
      </c>
      <c r="D241" s="189" t="s">
        <v>5525</v>
      </c>
      <c r="E241" s="198">
        <v>3.3755402562296357</v>
      </c>
    </row>
    <row r="242" spans="1:5" ht="15.6">
      <c r="A242" s="178">
        <v>238</v>
      </c>
      <c r="B242" s="188">
        <v>333102</v>
      </c>
      <c r="C242" s="188" t="s">
        <v>7291</v>
      </c>
      <c r="D242" s="189" t="s">
        <v>5525</v>
      </c>
      <c r="E242" s="198">
        <v>2.7895192940413516</v>
      </c>
    </row>
    <row r="243" spans="1:5" ht="15.6">
      <c r="A243" s="178">
        <v>239</v>
      </c>
      <c r="B243" s="188">
        <v>333103</v>
      </c>
      <c r="C243" s="188" t="s">
        <v>7292</v>
      </c>
      <c r="D243" s="189" t="s">
        <v>5525</v>
      </c>
      <c r="E243" s="198">
        <v>3.1072420015560671</v>
      </c>
    </row>
    <row r="244" spans="1:5" ht="15.6">
      <c r="A244" s="178">
        <v>240</v>
      </c>
      <c r="B244" s="188">
        <v>341101</v>
      </c>
      <c r="C244" s="188" t="s">
        <v>7293</v>
      </c>
      <c r="D244" s="189" t="s">
        <v>5525</v>
      </c>
      <c r="E244" s="198">
        <v>7.9222186593372204</v>
      </c>
    </row>
    <row r="245" spans="1:5" ht="15.6">
      <c r="A245" s="178">
        <v>241</v>
      </c>
      <c r="B245" s="188">
        <v>341102</v>
      </c>
      <c r="C245" s="188" t="s">
        <v>7294</v>
      </c>
      <c r="D245" s="189" t="s">
        <v>5525</v>
      </c>
      <c r="E245" s="198">
        <v>3.9811928224431163</v>
      </c>
    </row>
    <row r="246" spans="1:5" ht="15.6">
      <c r="A246" s="178">
        <v>242</v>
      </c>
      <c r="B246" s="188">
        <v>342101</v>
      </c>
      <c r="C246" s="188" t="s">
        <v>7295</v>
      </c>
      <c r="D246" s="189" t="s">
        <v>5525</v>
      </c>
      <c r="E246" s="198">
        <v>5.3424730935711944</v>
      </c>
    </row>
    <row r="247" spans="1:5" ht="15.6">
      <c r="A247" s="178">
        <v>243</v>
      </c>
      <c r="B247" s="188">
        <v>342102</v>
      </c>
      <c r="C247" s="188" t="s">
        <v>1852</v>
      </c>
      <c r="D247" s="189" t="s">
        <v>5525</v>
      </c>
      <c r="E247" s="198">
        <v>4.1307139351853577</v>
      </c>
    </row>
    <row r="248" spans="1:5" ht="15.6">
      <c r="A248" s="178">
        <v>244</v>
      </c>
      <c r="B248" s="188">
        <v>342103</v>
      </c>
      <c r="C248" s="188" t="s">
        <v>7296</v>
      </c>
      <c r="D248" s="189" t="s">
        <v>5525</v>
      </c>
      <c r="E248" s="198">
        <v>4.0516488821517216</v>
      </c>
    </row>
    <row r="249" spans="1:5" ht="15.6">
      <c r="A249" s="178">
        <v>245</v>
      </c>
      <c r="B249" s="188">
        <v>342109</v>
      </c>
      <c r="C249" s="188" t="s">
        <v>7297</v>
      </c>
      <c r="D249" s="189" t="s">
        <v>5525</v>
      </c>
      <c r="E249" s="198">
        <v>3.8659022543512025</v>
      </c>
    </row>
    <row r="250" spans="1:5" ht="15.6">
      <c r="A250" s="178">
        <v>246</v>
      </c>
      <c r="B250" s="188">
        <v>351101</v>
      </c>
      <c r="C250" s="188" t="s">
        <v>7298</v>
      </c>
      <c r="D250" s="189" t="s">
        <v>5525</v>
      </c>
      <c r="E250" s="198" t="s">
        <v>5528</v>
      </c>
    </row>
    <row r="251" spans="1:5" ht="15.6">
      <c r="A251" s="178">
        <v>247</v>
      </c>
      <c r="B251" s="188">
        <v>352101</v>
      </c>
      <c r="C251" s="188" t="s">
        <v>7299</v>
      </c>
      <c r="D251" s="189" t="s">
        <v>5525</v>
      </c>
      <c r="E251" s="198">
        <v>3.7100758492617234</v>
      </c>
    </row>
    <row r="252" spans="1:5" ht="15.6">
      <c r="A252" s="178">
        <v>248</v>
      </c>
      <c r="B252" s="188">
        <v>353101</v>
      </c>
      <c r="C252" s="188" t="s">
        <v>7300</v>
      </c>
      <c r="D252" s="189" t="s">
        <v>5525</v>
      </c>
      <c r="E252" s="198" t="s">
        <v>5528</v>
      </c>
    </row>
    <row r="253" spans="1:5" ht="15.6">
      <c r="A253" s="178">
        <v>249</v>
      </c>
      <c r="B253" s="188">
        <v>354101</v>
      </c>
      <c r="C253" s="188" t="s">
        <v>7301</v>
      </c>
      <c r="D253" s="189" t="s">
        <v>5525</v>
      </c>
      <c r="E253" s="198">
        <v>5.9718911076845114</v>
      </c>
    </row>
    <row r="254" spans="1:5" ht="15.6">
      <c r="A254" s="178">
        <v>250</v>
      </c>
      <c r="B254" s="188">
        <v>354102</v>
      </c>
      <c r="C254" s="188" t="s">
        <v>7302</v>
      </c>
      <c r="D254" s="189" t="s">
        <v>5525</v>
      </c>
      <c r="E254" s="198">
        <v>4.7503675843856934</v>
      </c>
    </row>
    <row r="255" spans="1:5" ht="15.6">
      <c r="A255" s="178">
        <v>251</v>
      </c>
      <c r="B255" s="188">
        <v>354103</v>
      </c>
      <c r="C255" s="188" t="s">
        <v>7303</v>
      </c>
      <c r="D255" s="189" t="s">
        <v>5525</v>
      </c>
      <c r="E255" s="198">
        <v>4.580058334637938</v>
      </c>
    </row>
    <row r="256" spans="1:5" ht="15.6">
      <c r="A256" s="178">
        <v>252</v>
      </c>
      <c r="B256" s="188">
        <v>361101</v>
      </c>
      <c r="C256" s="188" t="s">
        <v>7304</v>
      </c>
      <c r="D256" s="189" t="s">
        <v>5525</v>
      </c>
      <c r="E256" s="198">
        <v>6.9625908190289589</v>
      </c>
    </row>
    <row r="257" spans="1:5" ht="15.6">
      <c r="A257" s="178">
        <v>253</v>
      </c>
      <c r="B257" s="188">
        <v>361102</v>
      </c>
      <c r="C257" s="188" t="s">
        <v>7305</v>
      </c>
      <c r="D257" s="189" t="s">
        <v>5525</v>
      </c>
      <c r="E257" s="198">
        <v>3.317457810959124</v>
      </c>
    </row>
    <row r="258" spans="1:5" ht="15.6">
      <c r="A258" s="178">
        <v>254</v>
      </c>
      <c r="B258" s="188">
        <v>361103</v>
      </c>
      <c r="C258" s="188" t="s">
        <v>7306</v>
      </c>
      <c r="D258" s="189" t="s">
        <v>5525</v>
      </c>
      <c r="E258" s="198">
        <v>5.9829937740613444</v>
      </c>
    </row>
    <row r="259" spans="1:5" ht="15.6">
      <c r="A259" s="178">
        <v>255</v>
      </c>
      <c r="B259" s="188">
        <v>361110</v>
      </c>
      <c r="C259" s="188" t="s">
        <v>7307</v>
      </c>
      <c r="D259" s="189" t="s">
        <v>5525</v>
      </c>
      <c r="E259" s="198">
        <v>4.4343934295205516</v>
      </c>
    </row>
    <row r="260" spans="1:5" ht="15.6">
      <c r="A260" s="178">
        <v>256</v>
      </c>
      <c r="B260" s="188">
        <v>362101</v>
      </c>
      <c r="C260" s="188" t="s">
        <v>7308</v>
      </c>
      <c r="D260" s="189" t="s">
        <v>5525</v>
      </c>
      <c r="E260" s="198">
        <v>5.3115514442839853</v>
      </c>
    </row>
    <row r="261" spans="1:5" ht="15.6">
      <c r="A261" s="178">
        <v>257</v>
      </c>
      <c r="B261" s="188">
        <v>362110</v>
      </c>
      <c r="C261" s="188" t="s">
        <v>7309</v>
      </c>
      <c r="D261" s="189" t="s">
        <v>5525</v>
      </c>
      <c r="E261" s="198">
        <v>7.8216091124083658</v>
      </c>
    </row>
    <row r="262" spans="1:5" ht="15.6">
      <c r="A262" s="178">
        <v>258</v>
      </c>
      <c r="B262" s="188">
        <v>362201</v>
      </c>
      <c r="C262" s="188" t="s">
        <v>7310</v>
      </c>
      <c r="D262" s="189" t="s">
        <v>5525</v>
      </c>
      <c r="E262" s="198">
        <v>2.9896447386161507</v>
      </c>
    </row>
    <row r="263" spans="1:5" ht="15.6">
      <c r="A263" s="178">
        <v>259</v>
      </c>
      <c r="B263" s="188">
        <v>362210</v>
      </c>
      <c r="C263" s="188" t="s">
        <v>7311</v>
      </c>
      <c r="D263" s="189" t="s">
        <v>5525</v>
      </c>
      <c r="E263" s="198">
        <v>2.8637859452070806</v>
      </c>
    </row>
    <row r="264" spans="1:5" ht="15.6">
      <c r="A264" s="178">
        <v>260</v>
      </c>
      <c r="B264" s="188">
        <v>362901</v>
      </c>
      <c r="C264" s="188" t="s">
        <v>7312</v>
      </c>
      <c r="D264" s="189" t="s">
        <v>5525</v>
      </c>
      <c r="E264" s="198">
        <v>6.480132792933488</v>
      </c>
    </row>
    <row r="265" spans="1:5" ht="15.6">
      <c r="A265" s="178">
        <v>261</v>
      </c>
      <c r="B265" s="188">
        <v>362909</v>
      </c>
      <c r="C265" s="188" t="s">
        <v>7313</v>
      </c>
      <c r="D265" s="189" t="s">
        <v>5525</v>
      </c>
      <c r="E265" s="198">
        <v>4.6015703058763222</v>
      </c>
    </row>
    <row r="266" spans="1:5" ht="15.6">
      <c r="A266" s="178">
        <v>262</v>
      </c>
      <c r="B266" s="188">
        <v>371101</v>
      </c>
      <c r="C266" s="188" t="s">
        <v>7314</v>
      </c>
      <c r="D266" s="189" t="s">
        <v>5525</v>
      </c>
      <c r="E266" s="198">
        <v>2.7807069064737866</v>
      </c>
    </row>
    <row r="267" spans="1:5" ht="15.6">
      <c r="A267" s="178">
        <v>263</v>
      </c>
      <c r="B267" s="188">
        <v>371109</v>
      </c>
      <c r="C267" s="188" t="s">
        <v>7315</v>
      </c>
      <c r="D267" s="189" t="s">
        <v>5525</v>
      </c>
      <c r="E267" s="198">
        <v>3.2711937488914398</v>
      </c>
    </row>
    <row r="268" spans="1:5" ht="15.6">
      <c r="A268" s="178">
        <v>264</v>
      </c>
      <c r="B268" s="188">
        <v>371201</v>
      </c>
      <c r="C268" s="188" t="s">
        <v>7316</v>
      </c>
      <c r="D268" s="189" t="s">
        <v>5525</v>
      </c>
      <c r="E268" s="198">
        <v>3.193649756850812</v>
      </c>
    </row>
    <row r="269" spans="1:5" ht="15.6">
      <c r="A269" s="178">
        <v>265</v>
      </c>
      <c r="B269" s="188">
        <v>371901</v>
      </c>
      <c r="C269" s="188" t="s">
        <v>1909</v>
      </c>
      <c r="D269" s="189" t="s">
        <v>5525</v>
      </c>
      <c r="E269" s="198">
        <v>2.4609385781434088</v>
      </c>
    </row>
    <row r="270" spans="1:5" ht="15.6">
      <c r="A270" s="178">
        <v>266</v>
      </c>
      <c r="B270" s="188">
        <v>371902</v>
      </c>
      <c r="C270" s="188" t="s">
        <v>7317</v>
      </c>
      <c r="D270" s="189" t="s">
        <v>5525</v>
      </c>
      <c r="E270" s="198">
        <v>2.4817686665552001</v>
      </c>
    </row>
    <row r="271" spans="1:5" ht="15.6">
      <c r="A271" s="178">
        <v>267</v>
      </c>
      <c r="B271" s="188">
        <v>371903</v>
      </c>
      <c r="C271" s="188" t="s">
        <v>7318</v>
      </c>
      <c r="D271" s="189" t="s">
        <v>5525</v>
      </c>
      <c r="E271" s="198">
        <v>2.5376645840689234</v>
      </c>
    </row>
    <row r="272" spans="1:5" ht="15.6">
      <c r="A272" s="178">
        <v>268</v>
      </c>
      <c r="B272" s="188">
        <v>391101</v>
      </c>
      <c r="C272" s="188" t="s">
        <v>7319</v>
      </c>
      <c r="D272" s="189" t="s">
        <v>5525</v>
      </c>
      <c r="E272" s="198">
        <v>2.7804153080974325</v>
      </c>
    </row>
    <row r="273" spans="1:5" ht="15.6">
      <c r="A273" s="178">
        <v>269</v>
      </c>
      <c r="B273" s="188">
        <v>391102</v>
      </c>
      <c r="C273" s="188" t="s">
        <v>7320</v>
      </c>
      <c r="D273" s="189" t="s">
        <v>5525</v>
      </c>
      <c r="E273" s="198">
        <v>3.4384707575360309</v>
      </c>
    </row>
    <row r="274" spans="1:5" ht="15.6">
      <c r="A274" s="178">
        <v>270</v>
      </c>
      <c r="B274" s="188">
        <v>391901</v>
      </c>
      <c r="C274" s="188" t="s">
        <v>7321</v>
      </c>
      <c r="D274" s="189" t="s">
        <v>5525</v>
      </c>
      <c r="E274" s="198">
        <v>2.5746665615225801</v>
      </c>
    </row>
    <row r="275" spans="1:5" ht="15.6">
      <c r="A275" s="178">
        <v>271</v>
      </c>
      <c r="B275" s="188">
        <v>391902</v>
      </c>
      <c r="C275" s="188" t="s">
        <v>7322</v>
      </c>
      <c r="D275" s="189" t="s">
        <v>5525</v>
      </c>
      <c r="E275" s="198">
        <v>2.5240510984905136</v>
      </c>
    </row>
    <row r="276" spans="1:5" ht="15.6">
      <c r="A276" s="178">
        <v>272</v>
      </c>
      <c r="B276" s="188">
        <v>391903</v>
      </c>
      <c r="C276" s="188" t="s">
        <v>7323</v>
      </c>
      <c r="D276" s="189" t="s">
        <v>5525</v>
      </c>
      <c r="E276" s="198">
        <v>2.8091562282194489</v>
      </c>
    </row>
    <row r="277" spans="1:5" ht="15.6">
      <c r="A277" s="178">
        <v>273</v>
      </c>
      <c r="B277" s="188">
        <v>391904</v>
      </c>
      <c r="C277" s="188" t="s">
        <v>7324</v>
      </c>
      <c r="D277" s="189" t="s">
        <v>5525</v>
      </c>
      <c r="E277" s="198">
        <v>3.1516153679841894</v>
      </c>
    </row>
    <row r="278" spans="1:5" ht="15.6">
      <c r="A278" s="178">
        <v>274</v>
      </c>
      <c r="B278" s="188">
        <v>391905</v>
      </c>
      <c r="C278" s="188" t="s">
        <v>7325</v>
      </c>
      <c r="D278" s="189" t="s">
        <v>5525</v>
      </c>
      <c r="E278" s="198">
        <v>3.608872475614632</v>
      </c>
    </row>
    <row r="279" spans="1:5" ht="15.6">
      <c r="A279" s="178">
        <v>275</v>
      </c>
      <c r="B279" s="188">
        <v>391906</v>
      </c>
      <c r="C279" s="188" t="s">
        <v>1950</v>
      </c>
      <c r="D279" s="189" t="s">
        <v>5525</v>
      </c>
      <c r="E279" s="198">
        <v>3.8686222761127143</v>
      </c>
    </row>
    <row r="280" spans="1:5" ht="15.6">
      <c r="A280" s="178">
        <v>276</v>
      </c>
      <c r="B280" s="188">
        <v>391909</v>
      </c>
      <c r="C280" s="188" t="s">
        <v>7326</v>
      </c>
      <c r="D280" s="189" t="s">
        <v>5525</v>
      </c>
      <c r="E280" s="198">
        <v>2.846174778691644</v>
      </c>
    </row>
    <row r="281" spans="1:5" ht="15.6">
      <c r="A281" s="178">
        <v>277</v>
      </c>
      <c r="B281" s="188">
        <v>392101</v>
      </c>
      <c r="C281" s="188" t="s">
        <v>7327</v>
      </c>
      <c r="D281" s="189" t="s">
        <v>5525</v>
      </c>
      <c r="E281" s="198">
        <v>3.4934424319609123</v>
      </c>
    </row>
    <row r="282" spans="1:5" ht="15.6">
      <c r="A282" s="178">
        <v>278</v>
      </c>
      <c r="B282" s="188">
        <v>411101</v>
      </c>
      <c r="C282" s="188" t="s">
        <v>7328</v>
      </c>
      <c r="D282" s="189" t="s">
        <v>5525</v>
      </c>
      <c r="E282" s="198" t="s">
        <v>5528</v>
      </c>
    </row>
    <row r="283" spans="1:5" ht="15.6">
      <c r="A283" s="178">
        <v>279</v>
      </c>
      <c r="B283" s="188">
        <v>411102</v>
      </c>
      <c r="C283" s="188" t="s">
        <v>7329</v>
      </c>
      <c r="D283" s="189" t="s">
        <v>5525</v>
      </c>
      <c r="E283" s="198" t="s">
        <v>5528</v>
      </c>
    </row>
    <row r="284" spans="1:5" ht="15.6">
      <c r="A284" s="178">
        <v>280</v>
      </c>
      <c r="B284" s="188">
        <v>411201</v>
      </c>
      <c r="C284" s="188" t="s">
        <v>7330</v>
      </c>
      <c r="D284" s="189" t="s">
        <v>5525</v>
      </c>
      <c r="E284" s="198" t="s">
        <v>5528</v>
      </c>
    </row>
    <row r="285" spans="1:5" ht="15.6">
      <c r="A285" s="178">
        <v>281</v>
      </c>
      <c r="B285" s="188">
        <v>411202</v>
      </c>
      <c r="C285" s="188" t="s">
        <v>7331</v>
      </c>
      <c r="D285" s="189" t="s">
        <v>5525</v>
      </c>
      <c r="E285" s="198" t="s">
        <v>5528</v>
      </c>
    </row>
    <row r="286" spans="1:5" ht="15.6">
      <c r="A286" s="178">
        <v>282</v>
      </c>
      <c r="B286" s="188">
        <v>412101</v>
      </c>
      <c r="C286" s="188" t="s">
        <v>457</v>
      </c>
      <c r="D286" s="189" t="s">
        <v>5525</v>
      </c>
      <c r="E286" s="198">
        <v>3.7266328232922716</v>
      </c>
    </row>
    <row r="287" spans="1:5" ht="15.6">
      <c r="A287" s="178">
        <v>283</v>
      </c>
      <c r="B287" s="188">
        <v>413101</v>
      </c>
      <c r="C287" s="188" t="s">
        <v>7332</v>
      </c>
      <c r="D287" s="189" t="s">
        <v>5525</v>
      </c>
      <c r="E287" s="198" t="s">
        <v>5528</v>
      </c>
    </row>
    <row r="288" spans="1:5" ht="15.6">
      <c r="A288" s="178">
        <v>284</v>
      </c>
      <c r="B288" s="188">
        <v>413102</v>
      </c>
      <c r="C288" s="188" t="s">
        <v>7333</v>
      </c>
      <c r="D288" s="189" t="s">
        <v>5525</v>
      </c>
      <c r="E288" s="198" t="s">
        <v>5528</v>
      </c>
    </row>
    <row r="289" spans="1:5" ht="15.6">
      <c r="A289" s="178">
        <v>285</v>
      </c>
      <c r="B289" s="188">
        <v>413103</v>
      </c>
      <c r="C289" s="188" t="s">
        <v>451</v>
      </c>
      <c r="D289" s="189" t="s">
        <v>5525</v>
      </c>
      <c r="E289" s="198" t="s">
        <v>5528</v>
      </c>
    </row>
    <row r="290" spans="1:5" ht="15.6">
      <c r="A290" s="178">
        <v>286</v>
      </c>
      <c r="B290" s="188">
        <v>413201</v>
      </c>
      <c r="C290" s="188" t="s">
        <v>452</v>
      </c>
      <c r="D290" s="189" t="s">
        <v>5525</v>
      </c>
      <c r="E290" s="198" t="s">
        <v>5528</v>
      </c>
    </row>
    <row r="291" spans="1:5" ht="15.6">
      <c r="A291" s="178">
        <v>287</v>
      </c>
      <c r="B291" s="188">
        <v>413202</v>
      </c>
      <c r="C291" s="188" t="s">
        <v>453</v>
      </c>
      <c r="D291" s="189" t="s">
        <v>5525</v>
      </c>
      <c r="E291" s="198" t="s">
        <v>5528</v>
      </c>
    </row>
    <row r="292" spans="1:5" ht="15.6">
      <c r="A292" s="178">
        <v>288</v>
      </c>
      <c r="B292" s="188">
        <v>413203</v>
      </c>
      <c r="C292" s="188" t="s">
        <v>454</v>
      </c>
      <c r="D292" s="189" t="s">
        <v>5525</v>
      </c>
      <c r="E292" s="198" t="s">
        <v>5528</v>
      </c>
    </row>
    <row r="293" spans="1:5" ht="15.6">
      <c r="A293" s="178">
        <v>289</v>
      </c>
      <c r="B293" s="188">
        <v>413209</v>
      </c>
      <c r="C293" s="188" t="s">
        <v>7334</v>
      </c>
      <c r="D293" s="189" t="s">
        <v>5525</v>
      </c>
      <c r="E293" s="198" t="s">
        <v>5528</v>
      </c>
    </row>
    <row r="294" spans="1:5" ht="15.6">
      <c r="A294" s="178">
        <v>290</v>
      </c>
      <c r="B294" s="188">
        <v>511101</v>
      </c>
      <c r="C294" s="188" t="s">
        <v>7335</v>
      </c>
      <c r="D294" s="189" t="s">
        <v>5525</v>
      </c>
      <c r="E294" s="198">
        <v>29.076703052995168</v>
      </c>
    </row>
    <row r="295" spans="1:5" ht="15.6">
      <c r="A295" s="178">
        <v>291</v>
      </c>
      <c r="B295" s="188">
        <v>511104</v>
      </c>
      <c r="C295" s="188" t="s">
        <v>7336</v>
      </c>
      <c r="D295" s="189" t="s">
        <v>5525</v>
      </c>
      <c r="E295" s="198">
        <v>68.821397936039475</v>
      </c>
    </row>
    <row r="296" spans="1:5" s="187" customFormat="1" ht="15.6">
      <c r="A296" s="187">
        <v>292</v>
      </c>
      <c r="B296" s="185">
        <v>512101</v>
      </c>
      <c r="C296" s="185" t="s">
        <v>118</v>
      </c>
      <c r="D296" s="186" t="s">
        <v>5525</v>
      </c>
      <c r="E296" s="198">
        <v>5.5698399908418326</v>
      </c>
    </row>
    <row r="297" spans="1:5" ht="15.6">
      <c r="A297" s="178">
        <v>293</v>
      </c>
      <c r="B297" s="188">
        <v>512201</v>
      </c>
      <c r="C297" s="188" t="s">
        <v>7337</v>
      </c>
      <c r="D297" s="189" t="s">
        <v>5525</v>
      </c>
      <c r="E297" s="198">
        <v>15.979149504142587</v>
      </c>
    </row>
    <row r="298" spans="1:5" ht="15.6">
      <c r="A298" s="178">
        <v>294</v>
      </c>
      <c r="B298" s="188">
        <v>521101</v>
      </c>
      <c r="C298" s="188" t="s">
        <v>7338</v>
      </c>
      <c r="D298" s="189" t="s">
        <v>5525</v>
      </c>
      <c r="E298" s="198">
        <v>1.5024310838161312</v>
      </c>
    </row>
    <row r="299" spans="1:5" ht="15.6">
      <c r="A299" s="178">
        <v>295</v>
      </c>
      <c r="B299" s="188">
        <v>521102</v>
      </c>
      <c r="C299" s="188" t="s">
        <v>7339</v>
      </c>
      <c r="D299" s="189" t="s">
        <v>5525</v>
      </c>
      <c r="E299" s="198">
        <v>1.6336369339565964</v>
      </c>
    </row>
    <row r="300" spans="1:5" ht="15.6">
      <c r="A300" s="178">
        <v>296</v>
      </c>
      <c r="B300" s="188">
        <v>521103</v>
      </c>
      <c r="C300" s="188" t="s">
        <v>5529</v>
      </c>
      <c r="D300" s="189" t="s">
        <v>5525</v>
      </c>
      <c r="E300" s="198">
        <v>12.273547236764845</v>
      </c>
    </row>
    <row r="301" spans="1:5" ht="15.6">
      <c r="A301" s="178">
        <v>297</v>
      </c>
      <c r="B301" s="188">
        <v>521201</v>
      </c>
      <c r="C301" s="188" t="s">
        <v>5530</v>
      </c>
      <c r="D301" s="189" t="s">
        <v>5525</v>
      </c>
      <c r="E301" s="198">
        <v>16.369117006447304</v>
      </c>
    </row>
    <row r="302" spans="1:5" ht="15.6">
      <c r="A302" s="178">
        <v>298</v>
      </c>
      <c r="B302" s="188">
        <v>521202</v>
      </c>
      <c r="C302" s="188" t="s">
        <v>7340</v>
      </c>
      <c r="D302" s="189" t="s">
        <v>5525</v>
      </c>
      <c r="E302" s="198">
        <v>7.8121934843359009</v>
      </c>
    </row>
    <row r="303" spans="1:5" ht="15.6">
      <c r="A303" s="178">
        <v>299</v>
      </c>
      <c r="B303" s="188">
        <v>611101</v>
      </c>
      <c r="C303" s="188" t="s">
        <v>7341</v>
      </c>
      <c r="D303" s="189" t="s">
        <v>5525</v>
      </c>
      <c r="E303" s="198">
        <v>1.2354483333544266</v>
      </c>
    </row>
    <row r="304" spans="1:5" ht="15.6">
      <c r="A304" s="178">
        <v>300</v>
      </c>
      <c r="B304" s="188">
        <v>611201</v>
      </c>
      <c r="C304" s="188" t="s">
        <v>7342</v>
      </c>
      <c r="D304" s="189" t="s">
        <v>5525</v>
      </c>
      <c r="E304" s="198" t="s">
        <v>5528</v>
      </c>
    </row>
    <row r="305" spans="1:5" ht="15.6">
      <c r="A305" s="178">
        <v>301</v>
      </c>
      <c r="B305" s="188">
        <v>621101</v>
      </c>
      <c r="C305" s="188" t="s">
        <v>7343</v>
      </c>
      <c r="D305" s="189" t="s">
        <v>5525</v>
      </c>
      <c r="E305" s="198">
        <v>0.69072538591648802</v>
      </c>
    </row>
    <row r="306" spans="1:5" ht="15.6">
      <c r="A306" s="178">
        <v>302</v>
      </c>
      <c r="B306" s="188">
        <v>621201</v>
      </c>
      <c r="C306" s="188" t="s">
        <v>7344</v>
      </c>
      <c r="D306" s="189" t="s">
        <v>5525</v>
      </c>
      <c r="E306" s="198" t="s">
        <v>5528</v>
      </c>
    </row>
    <row r="307" spans="1:5" ht="15.6">
      <c r="A307" s="178">
        <v>303</v>
      </c>
      <c r="B307" s="188">
        <v>621202</v>
      </c>
      <c r="C307" s="188" t="s">
        <v>7345</v>
      </c>
      <c r="D307" s="189" t="s">
        <v>5525</v>
      </c>
      <c r="E307" s="198">
        <v>0.72590858115126833</v>
      </c>
    </row>
    <row r="308" spans="1:5" ht="15.6">
      <c r="A308" s="178">
        <v>304</v>
      </c>
      <c r="B308" s="188">
        <v>641101</v>
      </c>
      <c r="C308" s="188" t="s">
        <v>7346</v>
      </c>
      <c r="D308" s="189" t="s">
        <v>5525</v>
      </c>
      <c r="E308" s="198">
        <v>1.1498312393782926</v>
      </c>
    </row>
    <row r="309" spans="1:5" ht="15.6">
      <c r="A309" s="178">
        <v>305</v>
      </c>
      <c r="B309" s="188">
        <v>641102</v>
      </c>
      <c r="C309" s="188" t="s">
        <v>7347</v>
      </c>
      <c r="D309" s="189" t="s">
        <v>5525</v>
      </c>
      <c r="E309" s="198">
        <v>1.068451693309294</v>
      </c>
    </row>
    <row r="310" spans="1:5" ht="15.6">
      <c r="A310" s="178">
        <v>306</v>
      </c>
      <c r="B310" s="188">
        <v>642101</v>
      </c>
      <c r="C310" s="188" t="s">
        <v>7348</v>
      </c>
      <c r="D310" s="189" t="s">
        <v>5525</v>
      </c>
      <c r="E310" s="198" t="s">
        <v>5528</v>
      </c>
    </row>
    <row r="311" spans="1:5" ht="15.6">
      <c r="A311" s="178">
        <v>307</v>
      </c>
      <c r="B311" s="188">
        <v>642201</v>
      </c>
      <c r="C311" s="188" t="s">
        <v>7349</v>
      </c>
      <c r="D311" s="189" t="s">
        <v>5525</v>
      </c>
      <c r="E311" s="198" t="s">
        <v>5528</v>
      </c>
    </row>
    <row r="312" spans="1:5" ht="15.6">
      <c r="A312" s="178">
        <v>308</v>
      </c>
      <c r="B312" s="188">
        <v>711101</v>
      </c>
      <c r="C312" s="188" t="s">
        <v>7350</v>
      </c>
      <c r="D312" s="189" t="s">
        <v>5525</v>
      </c>
      <c r="E312" s="198">
        <v>3.0188414988963199</v>
      </c>
    </row>
    <row r="313" spans="1:5" ht="15.6">
      <c r="A313" s="178">
        <v>309</v>
      </c>
      <c r="B313" s="188">
        <v>711201</v>
      </c>
      <c r="C313" s="188" t="s">
        <v>7351</v>
      </c>
      <c r="D313" s="189" t="s">
        <v>5525</v>
      </c>
      <c r="E313" s="198">
        <v>4.8964686274918634</v>
      </c>
    </row>
    <row r="314" spans="1:5" ht="15.6">
      <c r="A314" s="178">
        <v>310</v>
      </c>
      <c r="B314" s="188">
        <v>712101</v>
      </c>
      <c r="C314" s="188" t="s">
        <v>1855</v>
      </c>
      <c r="D314" s="189" t="s">
        <v>5525</v>
      </c>
      <c r="E314" s="198">
        <v>3.2752820337345159</v>
      </c>
    </row>
    <row r="315" spans="1:5" ht="15.6">
      <c r="A315" s="178">
        <v>311</v>
      </c>
      <c r="B315" s="188">
        <v>712102</v>
      </c>
      <c r="C315" s="188" t="s">
        <v>7352</v>
      </c>
      <c r="D315" s="189" t="s">
        <v>5525</v>
      </c>
      <c r="E315" s="198">
        <v>3.3666334358954031</v>
      </c>
    </row>
    <row r="316" spans="1:5" ht="15.6">
      <c r="A316" s="178">
        <v>312</v>
      </c>
      <c r="B316" s="188">
        <v>712201</v>
      </c>
      <c r="C316" s="188" t="s">
        <v>7353</v>
      </c>
      <c r="D316" s="189" t="s">
        <v>5525</v>
      </c>
      <c r="E316" s="198">
        <v>3.9311421339520116</v>
      </c>
    </row>
    <row r="317" spans="1:5" ht="15.6">
      <c r="A317" s="178">
        <v>313</v>
      </c>
      <c r="B317" s="188">
        <v>713101</v>
      </c>
      <c r="C317" s="188" t="s">
        <v>7354</v>
      </c>
      <c r="D317" s="189" t="s">
        <v>5525</v>
      </c>
      <c r="E317" s="198">
        <v>12.211152565720207</v>
      </c>
    </row>
    <row r="318" spans="1:5" ht="15.6">
      <c r="A318" s="178">
        <v>314</v>
      </c>
      <c r="B318" s="188">
        <v>713201</v>
      </c>
      <c r="C318" s="188" t="s">
        <v>7355</v>
      </c>
      <c r="D318" s="189" t="s">
        <v>5525</v>
      </c>
      <c r="E318" s="198">
        <v>11.79312139493398</v>
      </c>
    </row>
    <row r="319" spans="1:5" ht="15.6">
      <c r="A319" s="178">
        <v>315</v>
      </c>
      <c r="B319" s="188">
        <v>714101</v>
      </c>
      <c r="C319" s="188" t="s">
        <v>7356</v>
      </c>
      <c r="D319" s="189" t="s">
        <v>5525</v>
      </c>
      <c r="E319" s="198">
        <v>27.331349888092991</v>
      </c>
    </row>
    <row r="320" spans="1:5" ht="15.6">
      <c r="A320" s="178">
        <v>316</v>
      </c>
      <c r="B320" s="188">
        <v>714201</v>
      </c>
      <c r="C320" s="188" t="s">
        <v>7357</v>
      </c>
      <c r="D320" s="189" t="s">
        <v>5525</v>
      </c>
      <c r="E320" s="198">
        <v>13.301800691753407</v>
      </c>
    </row>
    <row r="321" spans="1:5" ht="15.6">
      <c r="A321" s="178">
        <v>317</v>
      </c>
      <c r="B321" s="188">
        <v>714301</v>
      </c>
      <c r="C321" s="188" t="s">
        <v>7358</v>
      </c>
      <c r="D321" s="189" t="s">
        <v>5525</v>
      </c>
      <c r="E321" s="198">
        <v>1.73773354389571</v>
      </c>
    </row>
    <row r="322" spans="1:5" ht="15.6">
      <c r="A322" s="178">
        <v>318</v>
      </c>
      <c r="B322" s="188">
        <v>715101</v>
      </c>
      <c r="C322" s="188" t="s">
        <v>7359</v>
      </c>
      <c r="D322" s="189" t="s">
        <v>5525</v>
      </c>
      <c r="E322" s="198">
        <v>12.141840587356292</v>
      </c>
    </row>
    <row r="323" spans="1:5" ht="15.6">
      <c r="A323" s="178">
        <v>319</v>
      </c>
      <c r="B323" s="188">
        <v>716101</v>
      </c>
      <c r="C323" s="188" t="s">
        <v>7360</v>
      </c>
      <c r="D323" s="189" t="s">
        <v>5525</v>
      </c>
      <c r="E323" s="198">
        <v>1.5637287937450957</v>
      </c>
    </row>
    <row r="324" spans="1:5" ht="15.6">
      <c r="A324" s="178">
        <v>320</v>
      </c>
      <c r="B324" s="188">
        <v>717101</v>
      </c>
      <c r="C324" s="188" t="s">
        <v>7361</v>
      </c>
      <c r="D324" s="189" t="s">
        <v>5525</v>
      </c>
      <c r="E324" s="198">
        <v>2.3298461185867421</v>
      </c>
    </row>
    <row r="325" spans="1:5" ht="15.6">
      <c r="A325" s="178">
        <v>321</v>
      </c>
      <c r="B325" s="188">
        <v>718101</v>
      </c>
      <c r="C325" s="188" t="s">
        <v>7362</v>
      </c>
      <c r="D325" s="189" t="s">
        <v>5525</v>
      </c>
      <c r="E325" s="198">
        <v>2.4290501473210839</v>
      </c>
    </row>
    <row r="326" spans="1:5" ht="15.6">
      <c r="A326" s="178">
        <v>322</v>
      </c>
      <c r="B326" s="188">
        <v>718901</v>
      </c>
      <c r="C326" s="188" t="s">
        <v>7363</v>
      </c>
      <c r="D326" s="189" t="s">
        <v>5525</v>
      </c>
      <c r="E326" s="198">
        <v>1.3795729715325498</v>
      </c>
    </row>
    <row r="327" spans="1:5" ht="15.6">
      <c r="A327" s="178">
        <v>323</v>
      </c>
      <c r="B327" s="188">
        <v>718902</v>
      </c>
      <c r="C327" s="188" t="s">
        <v>5531</v>
      </c>
      <c r="D327" s="189" t="s">
        <v>5525</v>
      </c>
      <c r="E327" s="198">
        <v>1.9473374338875418</v>
      </c>
    </row>
    <row r="328" spans="1:5" ht="15.6">
      <c r="A328" s="178">
        <v>324</v>
      </c>
      <c r="B328" s="188">
        <v>718903</v>
      </c>
      <c r="C328" s="188" t="s">
        <v>7364</v>
      </c>
      <c r="D328" s="189" t="s">
        <v>5525</v>
      </c>
      <c r="E328" s="198">
        <v>0.75835511731710126</v>
      </c>
    </row>
    <row r="329" spans="1:5" ht="15.6">
      <c r="A329" s="178">
        <v>325</v>
      </c>
      <c r="B329" s="188">
        <v>718904</v>
      </c>
      <c r="C329" s="188" t="s">
        <v>5532</v>
      </c>
      <c r="D329" s="189" t="s">
        <v>5525</v>
      </c>
      <c r="E329" s="198">
        <v>2.0747596460343583</v>
      </c>
    </row>
    <row r="330" spans="1:5" ht="15.6">
      <c r="A330" s="178">
        <v>326</v>
      </c>
      <c r="B330" s="188">
        <v>718905</v>
      </c>
      <c r="C330" s="188" t="s">
        <v>7365</v>
      </c>
      <c r="D330" s="189" t="s">
        <v>5525</v>
      </c>
      <c r="E330" s="198">
        <v>2.6241786962110338</v>
      </c>
    </row>
    <row r="331" spans="1:5" ht="15.6">
      <c r="A331" s="178">
        <v>327</v>
      </c>
      <c r="B331" s="188">
        <v>718906</v>
      </c>
      <c r="C331" s="188" t="s">
        <v>7366</v>
      </c>
      <c r="D331" s="189" t="s">
        <v>5525</v>
      </c>
      <c r="E331" s="198">
        <v>1.3196991519399037</v>
      </c>
    </row>
    <row r="332" spans="1:5" ht="15.6">
      <c r="A332" s="178">
        <v>328</v>
      </c>
      <c r="B332" s="188">
        <v>718909</v>
      </c>
      <c r="C332" s="188" t="s">
        <v>7367</v>
      </c>
      <c r="D332" s="189" t="s">
        <v>5525</v>
      </c>
      <c r="E332" s="198">
        <v>0.95710144089501037</v>
      </c>
    </row>
    <row r="333" spans="1:5" ht="15.6">
      <c r="A333" s="178">
        <v>329</v>
      </c>
      <c r="B333" s="188">
        <v>731101</v>
      </c>
      <c r="C333" s="188" t="s">
        <v>7368</v>
      </c>
      <c r="D333" s="189" t="s">
        <v>5525</v>
      </c>
      <c r="E333" s="198">
        <v>1.1894559213991822</v>
      </c>
    </row>
    <row r="334" spans="1:5" ht="15.6">
      <c r="A334" s="178">
        <v>330</v>
      </c>
      <c r="B334" s="188">
        <v>731201</v>
      </c>
      <c r="C334" s="188" t="s">
        <v>7369</v>
      </c>
      <c r="D334" s="189" t="s">
        <v>5525</v>
      </c>
      <c r="E334" s="198">
        <v>1.1585475768571725</v>
      </c>
    </row>
    <row r="335" spans="1:5" ht="15.6">
      <c r="A335" s="178">
        <v>331</v>
      </c>
      <c r="B335" s="188">
        <v>731202</v>
      </c>
      <c r="C335" s="188" t="s">
        <v>7370</v>
      </c>
      <c r="D335" s="189" t="s">
        <v>5525</v>
      </c>
      <c r="E335" s="198">
        <v>0.84764622496813313</v>
      </c>
    </row>
    <row r="336" spans="1:5" ht="15.6">
      <c r="A336" s="178">
        <v>332</v>
      </c>
      <c r="B336" s="188">
        <v>731203</v>
      </c>
      <c r="C336" s="188" t="s">
        <v>7371</v>
      </c>
      <c r="D336" s="189" t="s">
        <v>5525</v>
      </c>
      <c r="E336" s="198">
        <v>1.4779998992799472</v>
      </c>
    </row>
    <row r="337" spans="1:5" ht="15.6">
      <c r="A337" s="178">
        <v>333</v>
      </c>
      <c r="B337" s="188">
        <v>731909</v>
      </c>
      <c r="C337" s="188" t="s">
        <v>7372</v>
      </c>
      <c r="D337" s="189" t="s">
        <v>5525</v>
      </c>
      <c r="E337" s="198">
        <v>1.4240705516847525</v>
      </c>
    </row>
    <row r="338" spans="1:5" ht="15.6">
      <c r="A338" s="178">
        <v>334</v>
      </c>
      <c r="B338" s="188">
        <v>732101</v>
      </c>
      <c r="C338" s="188" t="s">
        <v>7373</v>
      </c>
      <c r="D338" s="189" t="s">
        <v>5525</v>
      </c>
      <c r="E338" s="198">
        <v>1.6812611042290353</v>
      </c>
    </row>
    <row r="339" spans="1:5" ht="15.6">
      <c r="A339" s="178">
        <v>335</v>
      </c>
      <c r="B339" s="188">
        <v>732102</v>
      </c>
      <c r="C339" s="188" t="s">
        <v>7374</v>
      </c>
      <c r="D339" s="189" t="s">
        <v>5525</v>
      </c>
      <c r="E339" s="198">
        <v>1.4684336354759346</v>
      </c>
    </row>
    <row r="340" spans="1:5" ht="15.6">
      <c r="A340" s="178">
        <v>336</v>
      </c>
      <c r="B340" s="188">
        <v>732103</v>
      </c>
      <c r="C340" s="188" t="s">
        <v>7375</v>
      </c>
      <c r="D340" s="189" t="s">
        <v>5525</v>
      </c>
      <c r="E340" s="198">
        <v>1.2762464820759885</v>
      </c>
    </row>
    <row r="341" spans="1:5" ht="15.6">
      <c r="A341" s="178">
        <v>337</v>
      </c>
      <c r="B341" s="188">
        <v>733101</v>
      </c>
      <c r="C341" s="188" t="s">
        <v>7376</v>
      </c>
      <c r="D341" s="189" t="s">
        <v>5525</v>
      </c>
      <c r="E341" s="198">
        <v>1.0210772650344393</v>
      </c>
    </row>
    <row r="342" spans="1:5" ht="15.6">
      <c r="A342" s="178">
        <v>338</v>
      </c>
      <c r="B342" s="188">
        <v>734101</v>
      </c>
      <c r="C342" s="188" t="s">
        <v>7377</v>
      </c>
      <c r="D342" s="189" t="s">
        <v>5525</v>
      </c>
      <c r="E342" s="198">
        <v>1.3735119067981292</v>
      </c>
    </row>
    <row r="343" spans="1:5" ht="15.6">
      <c r="A343" s="178">
        <v>339</v>
      </c>
      <c r="B343" s="188">
        <v>735101</v>
      </c>
      <c r="C343" s="188" t="s">
        <v>7378</v>
      </c>
      <c r="D343" s="189" t="s">
        <v>5525</v>
      </c>
      <c r="E343" s="198">
        <v>2.1430562914871167</v>
      </c>
    </row>
    <row r="344" spans="1:5" ht="15.6">
      <c r="A344" s="178">
        <v>340</v>
      </c>
      <c r="B344" s="188">
        <v>735102</v>
      </c>
      <c r="C344" s="188" t="s">
        <v>7379</v>
      </c>
      <c r="D344" s="189" t="s">
        <v>5525</v>
      </c>
      <c r="E344" s="198">
        <v>3.3514974544831602</v>
      </c>
    </row>
    <row r="345" spans="1:5" ht="15.6">
      <c r="A345" s="178">
        <v>341</v>
      </c>
      <c r="B345" s="188">
        <v>735103</v>
      </c>
      <c r="C345" s="188" t="s">
        <v>7380</v>
      </c>
      <c r="D345" s="189" t="s">
        <v>5525</v>
      </c>
      <c r="E345" s="198">
        <v>2.7401608755648272</v>
      </c>
    </row>
    <row r="346" spans="1:5" ht="15.6">
      <c r="A346" s="178">
        <v>342</v>
      </c>
      <c r="B346" s="188">
        <v>735104</v>
      </c>
      <c r="C346" s="188" t="s">
        <v>7381</v>
      </c>
      <c r="D346" s="189" t="s">
        <v>5525</v>
      </c>
      <c r="E346" s="198">
        <v>1.0098356440961371</v>
      </c>
    </row>
    <row r="347" spans="1:5" ht="15.6">
      <c r="A347" s="178">
        <v>343</v>
      </c>
      <c r="B347" s="188">
        <v>811101</v>
      </c>
      <c r="C347" s="188" t="s">
        <v>5533</v>
      </c>
      <c r="D347" s="189" t="s">
        <v>5525</v>
      </c>
      <c r="E347" s="198">
        <v>1.7419078141819977</v>
      </c>
    </row>
    <row r="348" spans="1:5" ht="15.6">
      <c r="A348" s="178">
        <v>344</v>
      </c>
      <c r="B348" s="188">
        <v>811201</v>
      </c>
      <c r="C348" s="188" t="s">
        <v>5534</v>
      </c>
      <c r="D348" s="189" t="s">
        <v>5525</v>
      </c>
      <c r="E348" s="198">
        <v>1.4483073935243029</v>
      </c>
    </row>
    <row r="349" spans="1:5" ht="15.6">
      <c r="A349" s="178">
        <v>345</v>
      </c>
      <c r="B349" s="188">
        <v>821101</v>
      </c>
      <c r="C349" s="188" t="s">
        <v>5535</v>
      </c>
      <c r="D349" s="189" t="s">
        <v>5525</v>
      </c>
      <c r="E349" s="198" t="s">
        <v>5528</v>
      </c>
    </row>
    <row r="350" spans="1:5" ht="15.6">
      <c r="A350" s="178">
        <v>346</v>
      </c>
      <c r="B350" s="188">
        <v>821102</v>
      </c>
      <c r="C350" s="188" t="s">
        <v>5536</v>
      </c>
      <c r="D350" s="189" t="s">
        <v>5525</v>
      </c>
      <c r="E350" s="198" t="s">
        <v>5528</v>
      </c>
    </row>
    <row r="351" spans="1:5" ht="15.6">
      <c r="A351" s="178">
        <v>347</v>
      </c>
      <c r="B351" s="188">
        <v>821301</v>
      </c>
      <c r="C351" s="188" t="s">
        <v>5537</v>
      </c>
      <c r="D351" s="189" t="s">
        <v>5525</v>
      </c>
      <c r="E351" s="198" t="s">
        <v>5528</v>
      </c>
    </row>
    <row r="352" spans="1:5" ht="15.6">
      <c r="A352" s="178">
        <v>348</v>
      </c>
      <c r="B352" s="188">
        <v>821302</v>
      </c>
      <c r="C352" s="188" t="s">
        <v>5538</v>
      </c>
      <c r="D352" s="189" t="s">
        <v>5525</v>
      </c>
      <c r="E352" s="198" t="s">
        <v>5528</v>
      </c>
    </row>
    <row r="353" spans="1:5" ht="15.6">
      <c r="A353" s="178">
        <v>349</v>
      </c>
      <c r="B353" s="188">
        <v>821303</v>
      </c>
      <c r="C353" s="188" t="s">
        <v>5539</v>
      </c>
      <c r="D353" s="189" t="s">
        <v>5525</v>
      </c>
      <c r="E353" s="198" t="s">
        <v>5528</v>
      </c>
    </row>
    <row r="354" spans="1:5" ht="15.6">
      <c r="A354" s="178">
        <v>350</v>
      </c>
      <c r="B354" s="188">
        <v>821304</v>
      </c>
      <c r="C354" s="188" t="s">
        <v>7382</v>
      </c>
      <c r="D354" s="189" t="s">
        <v>5525</v>
      </c>
      <c r="E354" s="198">
        <v>2.7271633295378748</v>
      </c>
    </row>
    <row r="355" spans="1:5" ht="15.6">
      <c r="A355" s="178">
        <v>351</v>
      </c>
      <c r="B355" s="188">
        <v>822101</v>
      </c>
      <c r="C355" s="188" t="s">
        <v>5540</v>
      </c>
      <c r="D355" s="189" t="s">
        <v>5525</v>
      </c>
      <c r="E355" s="198">
        <v>3.7105361345518553</v>
      </c>
    </row>
    <row r="356" spans="1:5" ht="15.6">
      <c r="A356" s="178">
        <v>352</v>
      </c>
      <c r="B356" s="188">
        <v>822102</v>
      </c>
      <c r="C356" s="188" t="s">
        <v>5541</v>
      </c>
      <c r="D356" s="189" t="s">
        <v>5525</v>
      </c>
      <c r="E356" s="198">
        <v>2.9300406989751688</v>
      </c>
    </row>
    <row r="357" spans="1:5" ht="15.6">
      <c r="A357" s="178">
        <v>353</v>
      </c>
      <c r="B357" s="188">
        <v>822103</v>
      </c>
      <c r="C357" s="188" t="s">
        <v>5542</v>
      </c>
      <c r="D357" s="189" t="s">
        <v>5525</v>
      </c>
      <c r="E357" s="198">
        <v>2.5731032494460715</v>
      </c>
    </row>
    <row r="358" spans="1:5" ht="15.6">
      <c r="A358" s="178">
        <v>354</v>
      </c>
      <c r="B358" s="188">
        <v>822104</v>
      </c>
      <c r="C358" s="188" t="s">
        <v>5543</v>
      </c>
      <c r="D358" s="189" t="s">
        <v>5525</v>
      </c>
      <c r="E358" s="198">
        <v>1.5403495828558853</v>
      </c>
    </row>
    <row r="359" spans="1:5" ht="15.6">
      <c r="A359" s="178">
        <v>355</v>
      </c>
      <c r="B359" s="188">
        <v>822105</v>
      </c>
      <c r="C359" s="188" t="s">
        <v>7383</v>
      </c>
      <c r="D359" s="189" t="s">
        <v>5525</v>
      </c>
      <c r="E359" s="198">
        <v>5.498619630453482</v>
      </c>
    </row>
    <row r="360" spans="1:5" ht="15.6">
      <c r="A360" s="178">
        <v>356</v>
      </c>
      <c r="B360" s="188">
        <v>822106</v>
      </c>
      <c r="C360" s="188" t="s">
        <v>7384</v>
      </c>
      <c r="D360" s="189" t="s">
        <v>5525</v>
      </c>
      <c r="E360" s="198">
        <v>1.3966189803195532</v>
      </c>
    </row>
    <row r="361" spans="1:5" ht="15.6">
      <c r="A361" s="178">
        <v>357</v>
      </c>
      <c r="B361" s="188">
        <v>822201</v>
      </c>
      <c r="C361" s="188" t="s">
        <v>7385</v>
      </c>
      <c r="D361" s="189" t="s">
        <v>5525</v>
      </c>
      <c r="E361" s="198">
        <v>2.6300940229993164</v>
      </c>
    </row>
    <row r="362" spans="1:5" ht="15.6">
      <c r="A362" s="178">
        <v>358</v>
      </c>
      <c r="B362" s="188">
        <v>831101</v>
      </c>
      <c r="C362" s="188" t="s">
        <v>7386</v>
      </c>
      <c r="D362" s="189" t="s">
        <v>5525</v>
      </c>
      <c r="E362" s="198" t="s">
        <v>5528</v>
      </c>
    </row>
    <row r="363" spans="1:5" ht="15.6">
      <c r="A363" s="178">
        <v>359</v>
      </c>
      <c r="B363" s="188">
        <v>831102</v>
      </c>
      <c r="C363" s="188" t="s">
        <v>7387</v>
      </c>
      <c r="D363" s="189" t="s">
        <v>5525</v>
      </c>
      <c r="E363" s="198" t="s">
        <v>5528</v>
      </c>
    </row>
    <row r="364" spans="1:5" ht="15.6">
      <c r="A364" s="178">
        <v>360</v>
      </c>
      <c r="B364" s="188">
        <v>831103</v>
      </c>
      <c r="C364" s="188" t="s">
        <v>7388</v>
      </c>
      <c r="D364" s="189" t="s">
        <v>5525</v>
      </c>
      <c r="E364" s="198">
        <v>1.8713127476279683</v>
      </c>
    </row>
    <row r="365" spans="1:5" ht="15.6">
      <c r="A365" s="178">
        <v>361</v>
      </c>
      <c r="B365" s="188">
        <v>831201</v>
      </c>
      <c r="C365" s="188" t="s">
        <v>5544</v>
      </c>
      <c r="D365" s="189" t="s">
        <v>5525</v>
      </c>
      <c r="E365" s="198">
        <v>1.5970035858366523</v>
      </c>
    </row>
    <row r="366" spans="1:5" ht="15.6">
      <c r="A366" s="178">
        <v>362</v>
      </c>
      <c r="B366" s="188">
        <v>831202</v>
      </c>
      <c r="C366" s="188" t="s">
        <v>7389</v>
      </c>
      <c r="D366" s="189" t="s">
        <v>5525</v>
      </c>
      <c r="E366" s="198">
        <v>2.0116866402535081</v>
      </c>
    </row>
    <row r="367" spans="1:5" ht="15.6">
      <c r="A367" s="178">
        <v>363</v>
      </c>
      <c r="B367" s="188">
        <v>831301</v>
      </c>
      <c r="C367" s="188" t="s">
        <v>5545</v>
      </c>
      <c r="D367" s="189" t="s">
        <v>5525</v>
      </c>
      <c r="E367" s="198" t="s">
        <v>5528</v>
      </c>
    </row>
    <row r="368" spans="1:5" ht="15.6">
      <c r="A368" s="178">
        <v>364</v>
      </c>
      <c r="B368" s="188">
        <v>831302</v>
      </c>
      <c r="C368" s="188" t="s">
        <v>5546</v>
      </c>
      <c r="D368" s="189" t="s">
        <v>5525</v>
      </c>
      <c r="E368" s="198" t="s">
        <v>5528</v>
      </c>
    </row>
    <row r="369" spans="1:5" ht="15.6">
      <c r="A369" s="178">
        <v>365</v>
      </c>
      <c r="B369" s="188">
        <v>831303</v>
      </c>
      <c r="C369" s="188" t="s">
        <v>5547</v>
      </c>
      <c r="D369" s="189" t="s">
        <v>5525</v>
      </c>
      <c r="E369" s="198" t="s">
        <v>5528</v>
      </c>
    </row>
    <row r="370" spans="1:5" ht="15.6">
      <c r="A370" s="178">
        <v>366</v>
      </c>
      <c r="B370" s="188">
        <v>831304</v>
      </c>
      <c r="C370" s="188" t="s">
        <v>5548</v>
      </c>
      <c r="D370" s="189" t="s">
        <v>5525</v>
      </c>
      <c r="E370" s="198" t="s">
        <v>5528</v>
      </c>
    </row>
    <row r="371" spans="1:5" ht="15.6">
      <c r="A371" s="178">
        <v>367</v>
      </c>
      <c r="B371" s="188">
        <v>831305</v>
      </c>
      <c r="C371" s="188" t="s">
        <v>7390</v>
      </c>
      <c r="D371" s="189" t="s">
        <v>5525</v>
      </c>
      <c r="E371" s="198" t="s">
        <v>5528</v>
      </c>
    </row>
    <row r="372" spans="1:5" ht="15.6">
      <c r="A372" s="178">
        <v>368</v>
      </c>
      <c r="B372" s="188">
        <v>831401</v>
      </c>
      <c r="C372" s="188" t="s">
        <v>7391</v>
      </c>
      <c r="D372" s="189" t="s">
        <v>5525</v>
      </c>
      <c r="E372" s="198" t="s">
        <v>5528</v>
      </c>
    </row>
    <row r="373" spans="1:5" ht="15.6">
      <c r="A373" s="178">
        <v>369</v>
      </c>
      <c r="B373" s="188">
        <v>831402</v>
      </c>
      <c r="C373" s="188" t="s">
        <v>7392</v>
      </c>
      <c r="D373" s="189" t="s">
        <v>5525</v>
      </c>
      <c r="E373" s="198" t="s">
        <v>5528</v>
      </c>
    </row>
    <row r="374" spans="1:5" ht="15.6">
      <c r="A374" s="178">
        <v>370</v>
      </c>
      <c r="B374" s="188">
        <v>841101</v>
      </c>
      <c r="C374" s="188" t="s">
        <v>7393</v>
      </c>
      <c r="D374" s="189" t="s">
        <v>5525</v>
      </c>
      <c r="E374" s="198">
        <v>1.8356505081953369</v>
      </c>
    </row>
    <row r="375" spans="1:5" ht="15.6">
      <c r="A375" s="178">
        <v>371</v>
      </c>
      <c r="B375" s="188">
        <v>841102</v>
      </c>
      <c r="C375" s="188" t="s">
        <v>5549</v>
      </c>
      <c r="D375" s="189" t="s">
        <v>5525</v>
      </c>
      <c r="E375" s="198" t="s">
        <v>5528</v>
      </c>
    </row>
    <row r="376" spans="1:5" ht="15.6">
      <c r="A376" s="178">
        <v>372</v>
      </c>
      <c r="B376" s="188">
        <v>851101</v>
      </c>
      <c r="C376" s="188" t="s">
        <v>7394</v>
      </c>
      <c r="D376" s="189" t="s">
        <v>5525</v>
      </c>
      <c r="E376" s="198">
        <v>1.858253600715708</v>
      </c>
    </row>
    <row r="377" spans="1:5" ht="15.6">
      <c r="A377" s="178">
        <v>373</v>
      </c>
      <c r="B377" s="188">
        <v>851201</v>
      </c>
      <c r="C377" s="188" t="s">
        <v>7395</v>
      </c>
      <c r="D377" s="189" t="s">
        <v>5525</v>
      </c>
      <c r="E377" s="198">
        <v>0.89176550365961105</v>
      </c>
    </row>
    <row r="378" spans="1:5" ht="15.6">
      <c r="A378" s="178">
        <v>374</v>
      </c>
      <c r="B378" s="188">
        <v>851301</v>
      </c>
      <c r="C378" s="188" t="s">
        <v>7396</v>
      </c>
      <c r="D378" s="189" t="s">
        <v>5525</v>
      </c>
      <c r="E378" s="198">
        <v>1.040952898663104</v>
      </c>
    </row>
    <row r="379" spans="1:5" ht="15.6">
      <c r="A379" s="178">
        <v>375</v>
      </c>
      <c r="B379" s="188">
        <v>851410</v>
      </c>
      <c r="C379" s="188" t="s">
        <v>7397</v>
      </c>
      <c r="D379" s="189" t="s">
        <v>5525</v>
      </c>
      <c r="E379" s="198">
        <v>2.6461737132622227</v>
      </c>
    </row>
    <row r="380" spans="1:5" ht="15.6">
      <c r="A380" s="178">
        <v>376</v>
      </c>
      <c r="B380" s="188">
        <v>851510</v>
      </c>
      <c r="C380" s="188" t="s">
        <v>7398</v>
      </c>
      <c r="D380" s="189" t="s">
        <v>5525</v>
      </c>
      <c r="E380" s="198">
        <v>3.1812322678136917</v>
      </c>
    </row>
    <row r="381" spans="1:5" ht="15.6">
      <c r="A381" s="178">
        <v>377</v>
      </c>
      <c r="B381" s="188">
        <v>851901</v>
      </c>
      <c r="C381" s="188" t="s">
        <v>7399</v>
      </c>
      <c r="D381" s="189" t="s">
        <v>5525</v>
      </c>
      <c r="E381" s="198">
        <v>0.83131928914734476</v>
      </c>
    </row>
    <row r="382" spans="1:5" ht="15.6">
      <c r="A382" s="178">
        <v>378</v>
      </c>
      <c r="B382" s="188">
        <v>851902</v>
      </c>
      <c r="C382" s="188" t="s">
        <v>7400</v>
      </c>
      <c r="D382" s="189" t="s">
        <v>5525</v>
      </c>
      <c r="E382" s="198">
        <v>0.63964018290322222</v>
      </c>
    </row>
    <row r="383" spans="1:5" ht="15.6">
      <c r="A383" s="178">
        <v>379</v>
      </c>
      <c r="B383" s="188">
        <v>851903</v>
      </c>
      <c r="C383" s="188" t="s">
        <v>7401</v>
      </c>
      <c r="D383" s="189" t="s">
        <v>5525</v>
      </c>
      <c r="E383" s="198">
        <v>1.2956478264728291</v>
      </c>
    </row>
    <row r="384" spans="1:5" ht="15.6">
      <c r="A384" s="178">
        <v>380</v>
      </c>
      <c r="B384" s="188">
        <v>851904</v>
      </c>
      <c r="C384" s="188" t="s">
        <v>7402</v>
      </c>
      <c r="D384" s="189" t="s">
        <v>5525</v>
      </c>
      <c r="E384" s="198">
        <v>0.147931692951313</v>
      </c>
    </row>
    <row r="385" spans="1:5" ht="15.6">
      <c r="A385" s="178">
        <v>381</v>
      </c>
      <c r="B385" s="188">
        <v>851909</v>
      </c>
      <c r="C385" s="188" t="s">
        <v>7403</v>
      </c>
      <c r="D385" s="189" t="s">
        <v>5525</v>
      </c>
      <c r="E385" s="198">
        <v>0.69488862377959792</v>
      </c>
    </row>
    <row r="386" spans="1:5" ht="15.6">
      <c r="A386" s="178">
        <v>382</v>
      </c>
      <c r="B386" s="188">
        <v>861101</v>
      </c>
      <c r="C386" s="188" t="s">
        <v>7404</v>
      </c>
      <c r="D386" s="189" t="s">
        <v>5525</v>
      </c>
      <c r="E386" s="198" t="s">
        <v>5528</v>
      </c>
    </row>
    <row r="387" spans="1:5" ht="15.6">
      <c r="A387" s="178">
        <v>383</v>
      </c>
      <c r="B387" s="188">
        <v>861102</v>
      </c>
      <c r="C387" s="188" t="s">
        <v>7405</v>
      </c>
      <c r="D387" s="189" t="s">
        <v>5525</v>
      </c>
      <c r="E387" s="198">
        <v>1.4545296264485155</v>
      </c>
    </row>
    <row r="388" spans="1:5" ht="15.6">
      <c r="A388" s="178">
        <v>384</v>
      </c>
      <c r="B388" s="188">
        <v>861103</v>
      </c>
      <c r="C388" s="188" t="s">
        <v>7406</v>
      </c>
      <c r="D388" s="189" t="s">
        <v>5525</v>
      </c>
      <c r="E388" s="198" t="s">
        <v>5528</v>
      </c>
    </row>
    <row r="389" spans="1:5" ht="15.6">
      <c r="A389" s="178">
        <v>385</v>
      </c>
      <c r="B389" s="188">
        <v>861104</v>
      </c>
      <c r="C389" s="188" t="s">
        <v>7407</v>
      </c>
      <c r="D389" s="189" t="s">
        <v>5525</v>
      </c>
      <c r="E389" s="198" t="s">
        <v>5528</v>
      </c>
    </row>
    <row r="390" spans="1:5" ht="15.6">
      <c r="A390" s="178">
        <v>386</v>
      </c>
      <c r="B390" s="188">
        <v>861105</v>
      </c>
      <c r="C390" s="188" t="s">
        <v>7408</v>
      </c>
      <c r="D390" s="189" t="s">
        <v>5525</v>
      </c>
      <c r="E390" s="198" t="s">
        <v>5528</v>
      </c>
    </row>
    <row r="391" spans="1:5" ht="15.6">
      <c r="A391" s="178">
        <v>387</v>
      </c>
      <c r="B391" s="188">
        <v>861109</v>
      </c>
      <c r="C391" s="188" t="s">
        <v>7409</v>
      </c>
      <c r="D391" s="189" t="s">
        <v>5525</v>
      </c>
      <c r="E391" s="198">
        <v>1.9104230126285755</v>
      </c>
    </row>
    <row r="392" spans="1:5" ht="15.6">
      <c r="A392" s="178">
        <v>388</v>
      </c>
      <c r="B392" s="188">
        <v>861201</v>
      </c>
      <c r="C392" s="188" t="s">
        <v>7410</v>
      </c>
      <c r="D392" s="189" t="s">
        <v>5525</v>
      </c>
      <c r="E392" s="198" t="s">
        <v>5528</v>
      </c>
    </row>
    <row r="393" spans="1:5" ht="15.6">
      <c r="A393" s="178">
        <v>389</v>
      </c>
      <c r="B393" s="188">
        <v>861202</v>
      </c>
      <c r="C393" s="188" t="s">
        <v>7411</v>
      </c>
      <c r="D393" s="189" t="s">
        <v>5525</v>
      </c>
      <c r="E393" s="198" t="s">
        <v>5528</v>
      </c>
    </row>
    <row r="394" spans="1:5" ht="15.6">
      <c r="A394" s="178">
        <v>390</v>
      </c>
      <c r="B394" s="188">
        <v>861203</v>
      </c>
      <c r="C394" s="188" t="s">
        <v>7412</v>
      </c>
      <c r="D394" s="189" t="s">
        <v>5525</v>
      </c>
      <c r="E394" s="198" t="s">
        <v>5528</v>
      </c>
    </row>
    <row r="395" spans="1:5" ht="15.6">
      <c r="A395" s="178">
        <v>391</v>
      </c>
      <c r="B395" s="188">
        <v>861301</v>
      </c>
      <c r="C395" s="188" t="s">
        <v>7413</v>
      </c>
      <c r="D395" s="189" t="s">
        <v>5525</v>
      </c>
      <c r="E395" s="198" t="s">
        <v>5528</v>
      </c>
    </row>
    <row r="396" spans="1:5" ht="15.6">
      <c r="A396" s="178">
        <v>392</v>
      </c>
      <c r="B396" s="188">
        <v>861401</v>
      </c>
      <c r="C396" s="188" t="s">
        <v>7414</v>
      </c>
      <c r="D396" s="189" t="s">
        <v>5525</v>
      </c>
      <c r="E396" s="198">
        <v>2.3046510600074455</v>
      </c>
    </row>
    <row r="397" spans="1:5" ht="15.6">
      <c r="A397" s="178">
        <v>393</v>
      </c>
      <c r="B397" s="188">
        <v>861402</v>
      </c>
      <c r="C397" s="188" t="s">
        <v>7415</v>
      </c>
      <c r="D397" s="189" t="s">
        <v>5525</v>
      </c>
      <c r="E397" s="198" t="s">
        <v>5528</v>
      </c>
    </row>
    <row r="398" spans="1:5" ht="15.6">
      <c r="A398" s="178">
        <v>394</v>
      </c>
      <c r="B398" s="188">
        <v>861403</v>
      </c>
      <c r="C398" s="188" t="s">
        <v>7416</v>
      </c>
      <c r="D398" s="189" t="s">
        <v>5525</v>
      </c>
      <c r="E398" s="198">
        <v>1.2117455303747484</v>
      </c>
    </row>
    <row r="399" spans="1:5" ht="15.6">
      <c r="A399" s="178">
        <v>395</v>
      </c>
      <c r="B399" s="188">
        <v>861404</v>
      </c>
      <c r="C399" s="188" t="s">
        <v>7417</v>
      </c>
      <c r="D399" s="189" t="s">
        <v>5525</v>
      </c>
      <c r="E399" s="198" t="s">
        <v>5528</v>
      </c>
    </row>
    <row r="400" spans="1:5" ht="15.6">
      <c r="A400" s="178">
        <v>396</v>
      </c>
      <c r="B400" s="188">
        <v>861409</v>
      </c>
      <c r="C400" s="188" t="s">
        <v>7418</v>
      </c>
      <c r="D400" s="189" t="s">
        <v>5525</v>
      </c>
      <c r="E400" s="198">
        <v>1.833035741123421</v>
      </c>
    </row>
    <row r="401" spans="1:5" ht="15.6">
      <c r="A401" s="178">
        <v>397</v>
      </c>
      <c r="B401" s="188">
        <v>861901</v>
      </c>
      <c r="C401" s="188" t="s">
        <v>7419</v>
      </c>
      <c r="D401" s="189" t="s">
        <v>5525</v>
      </c>
      <c r="E401" s="198">
        <v>1.4591173509334356</v>
      </c>
    </row>
    <row r="402" spans="1:5" ht="15.6">
      <c r="A402" s="178">
        <v>398</v>
      </c>
      <c r="B402" s="188">
        <v>861902</v>
      </c>
      <c r="C402" s="188" t="s">
        <v>7420</v>
      </c>
      <c r="D402" s="189" t="s">
        <v>5525</v>
      </c>
      <c r="E402" s="198">
        <v>2.7848741842866653</v>
      </c>
    </row>
    <row r="403" spans="1:5" ht="15.6">
      <c r="A403" s="178">
        <v>399</v>
      </c>
      <c r="B403" s="188">
        <v>861903</v>
      </c>
      <c r="C403" s="188" t="s">
        <v>7421</v>
      </c>
      <c r="D403" s="189" t="s">
        <v>5525</v>
      </c>
      <c r="E403" s="198">
        <v>2.1862055797568982</v>
      </c>
    </row>
    <row r="404" spans="1:5" ht="15.6">
      <c r="A404" s="178">
        <v>400</v>
      </c>
      <c r="B404" s="188">
        <v>861904</v>
      </c>
      <c r="C404" s="188" t="s">
        <v>7422</v>
      </c>
      <c r="D404" s="189" t="s">
        <v>5525</v>
      </c>
      <c r="E404" s="198">
        <v>1.2524281821961005</v>
      </c>
    </row>
    <row r="405" spans="1:5" ht="15.6">
      <c r="A405" s="178">
        <v>401</v>
      </c>
      <c r="B405" s="188">
        <v>861909</v>
      </c>
      <c r="C405" s="188" t="s">
        <v>7423</v>
      </c>
      <c r="D405" s="189" t="s">
        <v>5525</v>
      </c>
      <c r="E405" s="198">
        <v>1.2850186746655852</v>
      </c>
    </row>
    <row r="406" spans="1:5" ht="15.6">
      <c r="A406" s="178">
        <v>402</v>
      </c>
      <c r="B406" s="188">
        <v>890000</v>
      </c>
      <c r="C406" s="188" t="s">
        <v>7424</v>
      </c>
      <c r="D406" s="189" t="s">
        <v>5525</v>
      </c>
      <c r="E406" s="198">
        <v>5.4030343955960518</v>
      </c>
    </row>
    <row r="407" spans="1:5" ht="15.6">
      <c r="A407" s="178">
        <v>403</v>
      </c>
      <c r="B407" s="188">
        <v>900000</v>
      </c>
      <c r="C407" s="188" t="s">
        <v>7425</v>
      </c>
      <c r="D407" s="189" t="s">
        <v>5525</v>
      </c>
      <c r="E407" s="198">
        <v>3.2546323360350629</v>
      </c>
    </row>
    <row r="408" spans="1:5">
      <c r="B408" s="188"/>
      <c r="C408" s="188"/>
      <c r="D408" s="190"/>
    </row>
    <row r="409" spans="1:5">
      <c r="B409" s="188"/>
      <c r="C409" s="188"/>
      <c r="D409" s="190"/>
    </row>
    <row r="410" spans="1:5">
      <c r="B410" s="188"/>
      <c r="C410" s="188"/>
      <c r="D410" s="188"/>
    </row>
    <row r="411" spans="1:5">
      <c r="B411" s="188"/>
      <c r="C411" s="188"/>
      <c r="D411" s="188"/>
    </row>
    <row r="412" spans="1:5">
      <c r="B412" s="188"/>
      <c r="C412" s="188"/>
      <c r="D412" s="188"/>
    </row>
    <row r="413" spans="1:5">
      <c r="B413" s="188"/>
      <c r="C413" s="188"/>
      <c r="D413" s="188"/>
    </row>
    <row r="414" spans="1:5">
      <c r="B414" s="188"/>
      <c r="C414" s="188"/>
      <c r="D414" s="188"/>
    </row>
    <row r="415" spans="1:5">
      <c r="B415" s="188"/>
      <c r="C415" s="188"/>
      <c r="D415" s="188"/>
    </row>
    <row r="416" spans="1:5">
      <c r="B416" s="188"/>
      <c r="C416" s="188"/>
      <c r="D416" s="188"/>
    </row>
    <row r="417" spans="2:4">
      <c r="B417" s="188"/>
      <c r="C417" s="188"/>
      <c r="D417" s="188"/>
    </row>
    <row r="418" spans="2:4">
      <c r="B418" s="188"/>
      <c r="C418" s="188"/>
      <c r="D418" s="188"/>
    </row>
    <row r="419" spans="2:4">
      <c r="B419" s="188"/>
      <c r="C419" s="188"/>
      <c r="D419" s="188"/>
    </row>
    <row r="420" spans="2:4">
      <c r="B420" s="188"/>
      <c r="C420" s="188"/>
      <c r="D420" s="188"/>
    </row>
    <row r="421" spans="2:4">
      <c r="B421" s="188"/>
      <c r="C421" s="188"/>
      <c r="D421" s="188"/>
    </row>
  </sheetData>
  <sheetProtection algorithmName="SHA-512" hashValue="tdKP/TgG3/+SmxCIkKj4vFRWhn6rqFWJfPdJx8ukXrLBXX7FuSjFhIYWVt7NDfRZLUGs+riPWN0eqL17XGJs5w==" saltValue="2YJW21rvjZeBYUwJFhDUXg==" spinCount="100000" sheet="1" objects="1" scenarios="1"/>
  <autoFilter ref="A4:E4"/>
  <phoneticPr fontId="33"/>
  <conditionalFormatting sqref="E5:E407">
    <cfRule type="cellIs" dxfId="1" priority="2" operator="equal">
      <formula>0</formula>
    </cfRule>
  </conditionalFormatting>
  <conditionalFormatting sqref="E5:E407">
    <cfRule type="cellIs" dxfId="0" priority="1" operator="equal">
      <formula>0</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0" tint="-0.14999847407452621"/>
  </sheetPr>
  <dimension ref="A1:D36"/>
  <sheetViews>
    <sheetView workbookViewId="0"/>
  </sheetViews>
  <sheetFormatPr defaultRowHeight="13.8"/>
  <cols>
    <col min="1" max="2" width="18.8984375" bestFit="1" customWidth="1"/>
    <col min="3" max="3" width="20.5" bestFit="1" customWidth="1"/>
    <col min="4" max="4" width="20" bestFit="1" customWidth="1"/>
  </cols>
  <sheetData>
    <row r="1" spans="1:4">
      <c r="A1" t="s">
        <v>5509</v>
      </c>
    </row>
    <row r="3" spans="1:4">
      <c r="A3" s="122" t="s">
        <v>5508</v>
      </c>
      <c r="B3" s="129" t="s">
        <v>5439</v>
      </c>
      <c r="C3" s="129" t="s">
        <v>5440</v>
      </c>
      <c r="D3" s="129" t="s">
        <v>5507</v>
      </c>
    </row>
    <row r="4" spans="1:4">
      <c r="A4" s="122" t="s">
        <v>5510</v>
      </c>
      <c r="B4" s="129" t="s">
        <v>5441</v>
      </c>
      <c r="C4" s="129" t="s">
        <v>5442</v>
      </c>
      <c r="D4" s="129">
        <v>1</v>
      </c>
    </row>
    <row r="5" spans="1:4">
      <c r="A5" s="122" t="s">
        <v>5511</v>
      </c>
      <c r="B5" s="129" t="s">
        <v>5443</v>
      </c>
      <c r="C5" s="129" t="s">
        <v>5444</v>
      </c>
      <c r="D5" s="129">
        <v>28</v>
      </c>
    </row>
    <row r="6" spans="1:4">
      <c r="A6" s="122" t="s">
        <v>5512</v>
      </c>
      <c r="B6" s="129" t="s">
        <v>5445</v>
      </c>
      <c r="C6" s="129" t="s">
        <v>5446</v>
      </c>
      <c r="D6" s="129">
        <v>265</v>
      </c>
    </row>
    <row r="7" spans="1:4">
      <c r="A7" s="122" t="s">
        <v>5447</v>
      </c>
      <c r="B7" s="129" t="s">
        <v>5447</v>
      </c>
      <c r="C7" s="129" t="s">
        <v>5448</v>
      </c>
      <c r="D7" s="176">
        <v>12400</v>
      </c>
    </row>
    <row r="8" spans="1:4">
      <c r="A8" s="122" t="s">
        <v>5449</v>
      </c>
      <c r="B8" s="129" t="s">
        <v>5449</v>
      </c>
      <c r="C8" s="129" t="s">
        <v>5450</v>
      </c>
      <c r="D8" s="129">
        <v>677</v>
      </c>
    </row>
    <row r="9" spans="1:4">
      <c r="A9" s="122" t="s">
        <v>5451</v>
      </c>
      <c r="B9" s="129" t="s">
        <v>5451</v>
      </c>
      <c r="C9" s="129" t="s">
        <v>5452</v>
      </c>
      <c r="D9" s="129">
        <v>116</v>
      </c>
    </row>
    <row r="10" spans="1:4">
      <c r="A10" s="122" t="s">
        <v>5453</v>
      </c>
      <c r="B10" s="129" t="s">
        <v>5453</v>
      </c>
      <c r="C10" s="129" t="s">
        <v>5454</v>
      </c>
      <c r="D10" s="176">
        <v>3170</v>
      </c>
    </row>
    <row r="11" spans="1:4">
      <c r="A11" s="122" t="s">
        <v>5455</v>
      </c>
      <c r="B11" s="129" t="s">
        <v>5455</v>
      </c>
      <c r="C11" s="129" t="s">
        <v>5456</v>
      </c>
      <c r="D11" s="176">
        <v>1120</v>
      </c>
    </row>
    <row r="12" spans="1:4">
      <c r="A12" s="122" t="s">
        <v>5457</v>
      </c>
      <c r="B12" s="129" t="s">
        <v>5457</v>
      </c>
      <c r="C12" s="129" t="s">
        <v>5458</v>
      </c>
      <c r="D12" s="176">
        <v>1300</v>
      </c>
    </row>
    <row r="13" spans="1:4">
      <c r="A13" s="122" t="s">
        <v>5459</v>
      </c>
      <c r="B13" s="129" t="s">
        <v>5459</v>
      </c>
      <c r="C13" s="129" t="s">
        <v>5460</v>
      </c>
      <c r="D13" s="129">
        <v>328</v>
      </c>
    </row>
    <row r="14" spans="1:4">
      <c r="A14" s="122" t="s">
        <v>5461</v>
      </c>
      <c r="B14" s="129" t="s">
        <v>5461</v>
      </c>
      <c r="C14" s="129" t="s">
        <v>5462</v>
      </c>
      <c r="D14" s="176">
        <v>4800</v>
      </c>
    </row>
    <row r="15" spans="1:4">
      <c r="A15" s="122" t="s">
        <v>5463</v>
      </c>
      <c r="B15" s="129" t="s">
        <v>5463</v>
      </c>
      <c r="C15" s="129" t="s">
        <v>5464</v>
      </c>
      <c r="D15" s="129">
        <v>16</v>
      </c>
    </row>
    <row r="16" spans="1:4">
      <c r="A16" s="122" t="s">
        <v>5465</v>
      </c>
      <c r="B16" s="129" t="s">
        <v>5465</v>
      </c>
      <c r="C16" s="129" t="s">
        <v>5466</v>
      </c>
      <c r="D16" s="129">
        <v>138</v>
      </c>
    </row>
    <row r="17" spans="1:4">
      <c r="A17" s="122" t="s">
        <v>5467</v>
      </c>
      <c r="B17" s="129" t="s">
        <v>5467</v>
      </c>
      <c r="C17" s="129" t="s">
        <v>5468</v>
      </c>
      <c r="D17" s="129">
        <v>4</v>
      </c>
    </row>
    <row r="18" spans="1:4">
      <c r="A18" s="122" t="s">
        <v>5469</v>
      </c>
      <c r="B18" s="129" t="s">
        <v>5469</v>
      </c>
      <c r="C18" s="129" t="s">
        <v>5470</v>
      </c>
      <c r="D18" s="176">
        <v>3350</v>
      </c>
    </row>
    <row r="19" spans="1:4">
      <c r="A19" s="122" t="s">
        <v>5471</v>
      </c>
      <c r="B19" s="129" t="s">
        <v>5471</v>
      </c>
      <c r="C19" s="129" t="s">
        <v>5472</v>
      </c>
      <c r="D19" s="176">
        <v>1210</v>
      </c>
    </row>
    <row r="20" spans="1:4">
      <c r="A20" s="122" t="s">
        <v>5473</v>
      </c>
      <c r="B20" s="129" t="s">
        <v>5473</v>
      </c>
      <c r="C20" s="129" t="s">
        <v>5474</v>
      </c>
      <c r="D20" s="176">
        <v>1330</v>
      </c>
    </row>
    <row r="21" spans="1:4">
      <c r="A21" s="122" t="s">
        <v>5475</v>
      </c>
      <c r="B21" s="129" t="s">
        <v>5475</v>
      </c>
      <c r="C21" s="129" t="s">
        <v>5476</v>
      </c>
      <c r="D21" s="176">
        <v>8060</v>
      </c>
    </row>
    <row r="22" spans="1:4">
      <c r="A22" s="122" t="s">
        <v>5477</v>
      </c>
      <c r="B22" s="129" t="s">
        <v>5477</v>
      </c>
      <c r="C22" s="129" t="s">
        <v>5478</v>
      </c>
      <c r="D22" s="129">
        <v>716</v>
      </c>
    </row>
    <row r="23" spans="1:4">
      <c r="A23" s="122" t="s">
        <v>5479</v>
      </c>
      <c r="B23" s="129" t="s">
        <v>5479</v>
      </c>
      <c r="C23" s="129" t="s">
        <v>5480</v>
      </c>
      <c r="D23" s="129">
        <v>858</v>
      </c>
    </row>
    <row r="24" spans="1:4">
      <c r="A24" s="122" t="s">
        <v>5481</v>
      </c>
      <c r="B24" s="129" t="s">
        <v>5481</v>
      </c>
      <c r="C24" s="129" t="s">
        <v>5482</v>
      </c>
      <c r="D24" s="129">
        <v>804</v>
      </c>
    </row>
    <row r="25" spans="1:4">
      <c r="A25" s="122" t="s">
        <v>5483</v>
      </c>
      <c r="B25" s="129" t="s">
        <v>5483</v>
      </c>
      <c r="C25" s="129" t="s">
        <v>5484</v>
      </c>
      <c r="D25" s="176">
        <v>1650</v>
      </c>
    </row>
    <row r="26" spans="1:4">
      <c r="A26" s="122" t="s">
        <v>5513</v>
      </c>
      <c r="B26" s="129" t="s">
        <v>5485</v>
      </c>
      <c r="C26" s="129" t="s">
        <v>5486</v>
      </c>
      <c r="D26" s="129">
        <v>16100</v>
      </c>
    </row>
    <row r="27" spans="1:4">
      <c r="A27" s="122" t="s">
        <v>5514</v>
      </c>
      <c r="B27" s="129" t="s">
        <v>5487</v>
      </c>
      <c r="C27" s="129" t="s">
        <v>5488</v>
      </c>
      <c r="D27" s="129">
        <v>23500</v>
      </c>
    </row>
    <row r="28" spans="1:4">
      <c r="A28" s="129" t="s">
        <v>5489</v>
      </c>
      <c r="B28" s="129" t="s">
        <v>5489</v>
      </c>
      <c r="C28" s="129" t="s">
        <v>5490</v>
      </c>
      <c r="D28" s="129">
        <v>6630</v>
      </c>
    </row>
    <row r="29" spans="1:4">
      <c r="A29" s="129" t="s">
        <v>5491</v>
      </c>
      <c r="B29" s="129" t="s">
        <v>5491</v>
      </c>
      <c r="C29" s="129" t="s">
        <v>5492</v>
      </c>
      <c r="D29" s="129">
        <v>11100</v>
      </c>
    </row>
    <row r="30" spans="1:4">
      <c r="A30" s="129" t="s">
        <v>5493</v>
      </c>
      <c r="B30" s="129" t="s">
        <v>5493</v>
      </c>
      <c r="C30" s="129" t="s">
        <v>5494</v>
      </c>
      <c r="D30" s="129">
        <v>9200</v>
      </c>
    </row>
    <row r="31" spans="1:4">
      <c r="A31" s="129" t="s">
        <v>5495</v>
      </c>
      <c r="B31" s="129" t="s">
        <v>5495</v>
      </c>
      <c r="C31" s="129" t="s">
        <v>5496</v>
      </c>
      <c r="D31" s="129">
        <v>8900</v>
      </c>
    </row>
    <row r="32" spans="1:4">
      <c r="A32" s="129" t="s">
        <v>5497</v>
      </c>
      <c r="B32" s="129" t="s">
        <v>5497</v>
      </c>
      <c r="C32" s="129" t="s">
        <v>5498</v>
      </c>
      <c r="D32" s="129">
        <v>9540</v>
      </c>
    </row>
    <row r="33" spans="1:4">
      <c r="A33" s="129" t="s">
        <v>5499</v>
      </c>
      <c r="B33" s="129" t="s">
        <v>5499</v>
      </c>
      <c r="C33" s="129" t="s">
        <v>5500</v>
      </c>
      <c r="D33" s="129">
        <v>9200</v>
      </c>
    </row>
    <row r="34" spans="1:4">
      <c r="A34" s="129" t="s">
        <v>5501</v>
      </c>
      <c r="B34" s="129" t="s">
        <v>5501</v>
      </c>
      <c r="C34" s="129" t="s">
        <v>5502</v>
      </c>
      <c r="D34" s="129">
        <v>8550</v>
      </c>
    </row>
    <row r="35" spans="1:4">
      <c r="A35" s="129" t="s">
        <v>5503</v>
      </c>
      <c r="B35" s="129" t="s">
        <v>5503</v>
      </c>
      <c r="C35" s="129" t="s">
        <v>5504</v>
      </c>
      <c r="D35" s="129">
        <v>7910</v>
      </c>
    </row>
    <row r="36" spans="1:4">
      <c r="A36" s="129" t="s">
        <v>5505</v>
      </c>
      <c r="B36" s="129" t="s">
        <v>5505</v>
      </c>
      <c r="C36" s="129" t="s">
        <v>5506</v>
      </c>
      <c r="D36" s="129">
        <v>7190</v>
      </c>
    </row>
  </sheetData>
  <sheetProtection algorithmName="SHA-512" hashValue="jl78h010v1WYKxq6QNfokpRg9dx18c1OLMEiH6x2lHqq24irXcnrXoqw/iom5vdbT0ocm1ugL8UGsQadC55+Sw==" saltValue="QDZQEcayqukvAS0+72jbnQ==" spinCount="100000" sheet="1" objects="1" scenarios="1"/>
  <phoneticPr fontId="3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K27"/>
  <sheetViews>
    <sheetView workbookViewId="0">
      <selection activeCell="E25" sqref="E25"/>
    </sheetView>
  </sheetViews>
  <sheetFormatPr defaultColWidth="9" defaultRowHeight="13.8"/>
  <cols>
    <col min="1" max="1" width="19" style="269" bestFit="1" customWidth="1"/>
    <col min="2" max="2" width="16.59765625" style="269" bestFit="1" customWidth="1"/>
    <col min="3" max="3" width="13.8984375" style="269" bestFit="1" customWidth="1"/>
    <col min="4" max="4" width="10" style="269" bestFit="1" customWidth="1"/>
    <col min="5" max="5" width="18.59765625" style="269" bestFit="1" customWidth="1"/>
    <col min="6" max="16384" width="9" style="269"/>
  </cols>
  <sheetData>
    <row r="1" spans="1:11">
      <c r="A1" s="7" t="s">
        <v>7008</v>
      </c>
      <c r="B1" s="7" t="s">
        <v>234</v>
      </c>
      <c r="C1" s="7" t="s">
        <v>7006</v>
      </c>
      <c r="D1" s="7"/>
      <c r="E1" s="7" t="s">
        <v>7016</v>
      </c>
      <c r="K1" s="36" t="s">
        <v>7044</v>
      </c>
    </row>
    <row r="2" spans="1:11">
      <c r="A2" s="7" t="s">
        <v>106</v>
      </c>
      <c r="B2" s="270" t="s">
        <v>7034</v>
      </c>
      <c r="C2" s="7">
        <v>34.6</v>
      </c>
      <c r="D2" s="7" t="s">
        <v>7013</v>
      </c>
      <c r="E2" s="7">
        <v>1.83E-2</v>
      </c>
      <c r="K2" s="269">
        <v>36</v>
      </c>
    </row>
    <row r="3" spans="1:11">
      <c r="A3" s="7" t="s">
        <v>45</v>
      </c>
      <c r="B3" s="270" t="s">
        <v>7034</v>
      </c>
      <c r="C3" s="7">
        <v>38.200000000000003</v>
      </c>
      <c r="D3" s="7" t="s">
        <v>7014</v>
      </c>
      <c r="E3" s="7">
        <v>1.8700000000000001E-2</v>
      </c>
      <c r="K3" s="269">
        <v>42</v>
      </c>
    </row>
    <row r="4" spans="1:11">
      <c r="A4" s="7" t="s">
        <v>109</v>
      </c>
      <c r="B4" s="270" t="s">
        <v>7034</v>
      </c>
      <c r="C4" s="7">
        <v>39.1</v>
      </c>
      <c r="D4" s="7" t="s">
        <v>7014</v>
      </c>
      <c r="E4" s="7">
        <v>1.89E-2</v>
      </c>
      <c r="K4" s="269">
        <v>52</v>
      </c>
    </row>
    <row r="5" spans="1:11">
      <c r="A5" s="7" t="s">
        <v>7009</v>
      </c>
      <c r="B5" s="270" t="s">
        <v>7034</v>
      </c>
      <c r="C5" s="7">
        <v>41.7</v>
      </c>
      <c r="D5" s="7" t="s">
        <v>7014</v>
      </c>
      <c r="E5" s="7">
        <v>1.95E-2</v>
      </c>
      <c r="K5" s="269">
        <v>58</v>
      </c>
    </row>
    <row r="6" spans="1:11">
      <c r="A6" s="7" t="s">
        <v>7011</v>
      </c>
      <c r="B6" s="7" t="s">
        <v>2158</v>
      </c>
      <c r="C6" s="7">
        <v>50.2</v>
      </c>
      <c r="D6" s="7" t="s">
        <v>7007</v>
      </c>
      <c r="E6" s="7">
        <v>1.6299999999999999E-2</v>
      </c>
      <c r="K6" s="269">
        <v>62</v>
      </c>
    </row>
    <row r="7" spans="1:11">
      <c r="A7" s="7" t="s">
        <v>1045</v>
      </c>
      <c r="B7" s="270" t="s">
        <v>7034</v>
      </c>
      <c r="C7" s="7">
        <v>36.700000000000003</v>
      </c>
      <c r="D7" s="7" t="s">
        <v>7014</v>
      </c>
      <c r="E7" s="7">
        <v>1.83E-2</v>
      </c>
    </row>
    <row r="8" spans="1:11">
      <c r="A8" s="7" t="s">
        <v>118</v>
      </c>
      <c r="B8" s="7" t="s">
        <v>7012</v>
      </c>
      <c r="C8" s="7">
        <v>41.1</v>
      </c>
      <c r="D8" s="7" t="s">
        <v>7015</v>
      </c>
      <c r="E8" s="7">
        <v>1.38E-2</v>
      </c>
    </row>
    <row r="9" spans="1:11">
      <c r="A9" s="36" t="s">
        <v>7010</v>
      </c>
      <c r="B9" s="7" t="s">
        <v>7005</v>
      </c>
      <c r="C9" s="7"/>
      <c r="D9" s="7"/>
    </row>
    <row r="12" spans="1:11" ht="15">
      <c r="A12" s="271"/>
      <c r="B12" s="271"/>
      <c r="C12" s="271"/>
    </row>
    <row r="13" spans="1:11" ht="15">
      <c r="A13" s="271"/>
      <c r="B13" s="271"/>
      <c r="C13" s="271"/>
    </row>
    <row r="14" spans="1:11" ht="15">
      <c r="A14" s="271"/>
      <c r="C14" s="271"/>
    </row>
    <row r="15" spans="1:11" ht="15">
      <c r="A15" s="271" t="s">
        <v>7021</v>
      </c>
      <c r="B15" s="272" t="s">
        <v>7031</v>
      </c>
      <c r="C15" s="36" t="s">
        <v>2054</v>
      </c>
      <c r="E15" s="272" t="s">
        <v>7045</v>
      </c>
      <c r="F15" s="36" t="s">
        <v>7048</v>
      </c>
    </row>
    <row r="16" spans="1:11" ht="15">
      <c r="A16" s="271" t="s">
        <v>7022</v>
      </c>
      <c r="B16" s="271" t="s">
        <v>7023</v>
      </c>
      <c r="C16" s="271">
        <v>4.96</v>
      </c>
    </row>
    <row r="17" spans="1:6" ht="15">
      <c r="A17" s="271" t="s">
        <v>7024</v>
      </c>
      <c r="B17" s="271" t="s">
        <v>7025</v>
      </c>
      <c r="C17" s="271">
        <v>4.58</v>
      </c>
      <c r="E17" s="269">
        <v>3000</v>
      </c>
      <c r="F17" s="269">
        <v>58</v>
      </c>
    </row>
    <row r="18" spans="1:6" ht="15">
      <c r="A18" s="271"/>
      <c r="B18" s="271" t="s">
        <v>7026</v>
      </c>
      <c r="C18" s="271">
        <v>3.79</v>
      </c>
      <c r="E18" s="269">
        <v>5000</v>
      </c>
      <c r="F18" s="269">
        <v>62</v>
      </c>
    </row>
    <row r="19" spans="1:6" ht="15">
      <c r="A19" s="271"/>
      <c r="B19" s="271" t="s">
        <v>7027</v>
      </c>
      <c r="C19" s="271">
        <v>3.38</v>
      </c>
      <c r="E19" s="269">
        <v>7000</v>
      </c>
      <c r="F19" s="269">
        <v>62</v>
      </c>
    </row>
    <row r="20" spans="1:6" ht="15">
      <c r="A20" s="271"/>
      <c r="B20" s="271" t="s">
        <v>7028</v>
      </c>
      <c r="C20" s="271">
        <v>3.09</v>
      </c>
      <c r="E20" s="269">
        <v>9000</v>
      </c>
      <c r="F20" s="269">
        <v>62</v>
      </c>
    </row>
    <row r="21" spans="1:6" ht="15">
      <c r="A21" s="271"/>
      <c r="B21" s="271" t="s">
        <v>7029</v>
      </c>
      <c r="C21" s="271">
        <v>2.89</v>
      </c>
      <c r="E21" s="269">
        <v>11000</v>
      </c>
      <c r="F21" s="269">
        <v>62</v>
      </c>
    </row>
    <row r="22" spans="1:6" ht="15">
      <c r="A22" s="271"/>
      <c r="B22" s="271" t="s">
        <v>7030</v>
      </c>
      <c r="C22" s="271">
        <v>2.62</v>
      </c>
      <c r="E22" s="269">
        <v>14500</v>
      </c>
      <c r="F22" s="269">
        <v>62</v>
      </c>
    </row>
    <row r="23" spans="1:6" ht="15">
      <c r="A23" s="271"/>
      <c r="B23" s="271"/>
      <c r="C23" s="271"/>
    </row>
    <row r="24" spans="1:6" ht="15">
      <c r="A24" s="271"/>
      <c r="B24" s="271"/>
      <c r="C24" s="271"/>
    </row>
    <row r="25" spans="1:6" ht="14.4">
      <c r="A25" s="272" t="s">
        <v>7043</v>
      </c>
    </row>
    <row r="26" spans="1:6">
      <c r="A26" s="36" t="s">
        <v>7035</v>
      </c>
    </row>
    <row r="27" spans="1:6">
      <c r="A27" s="36" t="s">
        <v>7039</v>
      </c>
    </row>
  </sheetData>
  <phoneticPr fontId="3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A1DE"/>
    <pageSetUpPr fitToPage="1"/>
  </sheetPr>
  <dimension ref="A1:AY248"/>
  <sheetViews>
    <sheetView view="pageBreakPreview" zoomScale="80" zoomScaleNormal="60" zoomScaleSheetLayoutView="80" workbookViewId="0">
      <selection activeCell="B1" sqref="B1:D1"/>
    </sheetView>
  </sheetViews>
  <sheetFormatPr defaultColWidth="8.8984375" defaultRowHeight="13.2"/>
  <cols>
    <col min="1" max="1" width="4.09765625" style="59" customWidth="1"/>
    <col min="2" max="2" width="9.19921875" style="59" customWidth="1"/>
    <col min="3" max="3" width="6.8984375" style="59" customWidth="1"/>
    <col min="4" max="4" width="14.8984375" style="59" customWidth="1"/>
    <col min="5" max="5" width="15.19921875" style="59" bestFit="1" customWidth="1"/>
    <col min="6" max="10" width="10" style="221" customWidth="1"/>
    <col min="11" max="11" width="11.3984375" style="59" bestFit="1" customWidth="1"/>
    <col min="12" max="12" width="9" style="59" customWidth="1"/>
    <col min="13" max="13" width="23.69921875" style="59" customWidth="1"/>
    <col min="14" max="14" width="9.69921875" style="326" customWidth="1"/>
    <col min="15" max="15" width="13.3984375" style="59" bestFit="1" customWidth="1"/>
    <col min="16" max="16" width="8.8984375" style="59"/>
    <col min="17" max="18" width="13.3984375" style="59" customWidth="1"/>
    <col min="19" max="19" width="13" style="221" bestFit="1" customWidth="1"/>
    <col min="20" max="24" width="11.3984375" style="221" bestFit="1" customWidth="1"/>
    <col min="25" max="26" width="6.8984375" style="224" bestFit="1" customWidth="1"/>
    <col min="27" max="29" width="5" style="224" customWidth="1"/>
    <col min="30" max="30" width="7.69921875" style="224" bestFit="1" customWidth="1"/>
    <col min="31" max="31" width="17.09765625" style="224" bestFit="1" customWidth="1"/>
    <col min="32" max="32" width="5" style="224" customWidth="1"/>
    <col min="33" max="33" width="8.8984375" style="235" customWidth="1"/>
    <col min="34" max="34" width="14.09765625" style="235" customWidth="1"/>
    <col min="35" max="35" width="15" style="235" customWidth="1"/>
    <col min="36" max="36" width="13.19921875" style="206" customWidth="1"/>
    <col min="37" max="37" width="15.19921875" style="235" customWidth="1"/>
    <col min="38" max="38" width="10.19921875" style="235" customWidth="1"/>
    <col min="39" max="39" width="8.8984375" style="235" customWidth="1"/>
    <col min="40" max="42" width="8.8984375" style="59" customWidth="1"/>
    <col min="43" max="43" width="1.69921875" style="59" customWidth="1"/>
    <col min="44" max="16384" width="8.8984375" style="59"/>
  </cols>
  <sheetData>
    <row r="1" spans="1:44" ht="15.6" thickTop="1" thickBot="1">
      <c r="B1" s="843" t="s">
        <v>7074</v>
      </c>
      <c r="C1" s="844"/>
      <c r="D1" s="845"/>
      <c r="E1" s="149"/>
      <c r="F1" s="220"/>
      <c r="G1" s="220"/>
      <c r="H1" s="220"/>
      <c r="I1" s="220"/>
      <c r="J1" s="220"/>
      <c r="K1" s="149"/>
      <c r="L1" s="149"/>
      <c r="M1" s="149"/>
      <c r="N1" s="320"/>
      <c r="O1" s="149"/>
      <c r="P1" s="149"/>
      <c r="Q1" s="149"/>
      <c r="R1" s="149"/>
      <c r="S1" s="220"/>
      <c r="T1" s="220"/>
      <c r="U1" s="220"/>
      <c r="V1" s="220"/>
      <c r="W1" s="220"/>
      <c r="X1" s="220"/>
      <c r="Y1" s="222"/>
      <c r="Z1" s="222"/>
      <c r="AA1" s="222"/>
      <c r="AB1" s="222"/>
      <c r="AC1" s="222"/>
      <c r="AD1" s="222"/>
      <c r="AE1" s="222"/>
      <c r="AF1" s="222"/>
      <c r="AG1" s="59"/>
      <c r="AH1" s="59"/>
      <c r="AJ1" s="535"/>
      <c r="AK1" s="153"/>
      <c r="AM1" s="59"/>
    </row>
    <row r="2" spans="1:44" s="143" customFormat="1" ht="15" thickTop="1">
      <c r="B2" s="386"/>
      <c r="C2" s="386"/>
      <c r="D2" s="386"/>
      <c r="F2" s="385"/>
      <c r="G2" s="385"/>
      <c r="H2" s="385"/>
      <c r="I2" s="385"/>
      <c r="J2" s="385"/>
      <c r="N2" s="387"/>
      <c r="S2" s="385"/>
      <c r="T2" s="385"/>
      <c r="U2" s="385"/>
      <c r="V2" s="385"/>
      <c r="W2" s="385"/>
      <c r="X2" s="385"/>
      <c r="Y2" s="388"/>
      <c r="Z2" s="388"/>
      <c r="AA2" s="388"/>
      <c r="AB2" s="388"/>
      <c r="AC2" s="388"/>
      <c r="AD2" s="388"/>
      <c r="AE2" s="388"/>
      <c r="AF2" s="388"/>
      <c r="AI2" s="263"/>
      <c r="AJ2" s="546"/>
      <c r="AK2" s="263"/>
      <c r="AL2" s="263"/>
      <c r="AR2" s="149"/>
    </row>
    <row r="3" spans="1:44">
      <c r="B3" s="915" t="s">
        <v>7813</v>
      </c>
      <c r="C3" s="915"/>
      <c r="D3" s="915"/>
      <c r="E3" s="915"/>
      <c r="F3" s="390"/>
      <c r="G3" s="915" t="s">
        <v>7836</v>
      </c>
      <c r="H3" s="915"/>
      <c r="I3" s="915"/>
      <c r="J3" s="915"/>
      <c r="K3" s="915"/>
      <c r="L3" s="915"/>
      <c r="M3" s="149"/>
      <c r="N3" s="320"/>
      <c r="O3" s="143"/>
      <c r="P3" s="143"/>
      <c r="Q3" s="143"/>
      <c r="R3" s="143"/>
      <c r="S3" s="143"/>
      <c r="T3" s="385"/>
      <c r="U3" s="385"/>
      <c r="V3" s="385"/>
      <c r="W3" s="220"/>
      <c r="X3" s="220"/>
      <c r="Y3" s="222"/>
      <c r="Z3" s="222"/>
      <c r="AA3" s="222"/>
      <c r="AB3" s="222"/>
      <c r="AC3" s="222"/>
      <c r="AD3" s="222"/>
      <c r="AE3" s="222"/>
      <c r="AF3" s="222"/>
      <c r="AG3" s="59"/>
      <c r="AH3" s="59"/>
      <c r="AJ3" s="535"/>
      <c r="AK3" s="153"/>
      <c r="AM3" s="59"/>
      <c r="AR3" s="149"/>
    </row>
    <row r="4" spans="1:44">
      <c r="B4" s="149"/>
      <c r="C4" s="149"/>
      <c r="D4" s="149"/>
      <c r="E4" s="149"/>
      <c r="F4" s="149"/>
      <c r="G4" s="149"/>
      <c r="H4" s="149"/>
      <c r="I4" s="149"/>
      <c r="J4" s="149"/>
      <c r="K4" s="916" t="s">
        <v>7841</v>
      </c>
      <c r="L4" s="916"/>
      <c r="M4" s="149"/>
      <c r="N4" s="320"/>
      <c r="O4" s="143"/>
      <c r="P4" s="143"/>
      <c r="Q4" s="143"/>
      <c r="R4" s="143"/>
      <c r="S4" s="143"/>
      <c r="T4" s="385"/>
      <c r="U4" s="385"/>
      <c r="V4" s="385"/>
      <c r="W4" s="220"/>
      <c r="X4" s="220"/>
      <c r="Y4" s="222"/>
      <c r="Z4" s="222"/>
      <c r="AA4" s="222"/>
      <c r="AB4" s="222"/>
      <c r="AC4" s="222"/>
      <c r="AD4" s="222"/>
      <c r="AE4" s="222"/>
      <c r="AF4" s="222"/>
      <c r="AG4" s="59"/>
      <c r="AH4" s="59"/>
      <c r="AJ4" s="535"/>
      <c r="AK4" s="153"/>
      <c r="AM4" s="59"/>
      <c r="AR4" s="149"/>
    </row>
    <row r="5" spans="1:44" ht="13.8" thickBot="1">
      <c r="B5" s="969" t="s">
        <v>7814</v>
      </c>
      <c r="C5" s="959"/>
      <c r="D5" s="633" t="s">
        <v>7817</v>
      </c>
      <c r="E5" s="391" t="s">
        <v>136</v>
      </c>
      <c r="F5" s="149"/>
      <c r="G5" s="914" t="s">
        <v>6965</v>
      </c>
      <c r="H5" s="914"/>
      <c r="I5" s="914"/>
      <c r="J5" s="685" t="s">
        <v>7809</v>
      </c>
      <c r="K5" s="917" t="s">
        <v>7848</v>
      </c>
      <c r="L5" s="918"/>
      <c r="M5" s="149"/>
      <c r="N5" s="320"/>
      <c r="O5" s="143"/>
      <c r="P5" s="143"/>
      <c r="Q5" s="143"/>
      <c r="R5" s="143"/>
      <c r="S5" s="143"/>
      <c r="T5" s="385"/>
      <c r="U5" s="385"/>
      <c r="V5" s="385"/>
      <c r="W5" s="220"/>
      <c r="X5" s="220"/>
      <c r="Y5" s="222"/>
      <c r="Z5" s="222"/>
      <c r="AA5" s="222"/>
      <c r="AB5" s="222"/>
      <c r="AC5" s="222"/>
      <c r="AD5" s="222"/>
      <c r="AE5" s="222"/>
      <c r="AF5" s="222"/>
      <c r="AG5" s="59"/>
      <c r="AH5" s="59"/>
      <c r="AJ5" s="535"/>
      <c r="AK5" s="153"/>
      <c r="AM5" s="59"/>
      <c r="AR5" s="149"/>
    </row>
    <row r="6" spans="1:44" ht="13.95" customHeight="1" thickBot="1">
      <c r="B6" s="62" t="s">
        <v>7813</v>
      </c>
      <c r="C6" s="638" t="s">
        <v>2134</v>
      </c>
      <c r="D6" s="688">
        <v>100</v>
      </c>
      <c r="E6" s="639" t="s">
        <v>192</v>
      </c>
      <c r="F6" s="149"/>
      <c r="G6" s="922" t="s">
        <v>7837</v>
      </c>
      <c r="H6" s="922"/>
      <c r="I6" s="922"/>
      <c r="J6" s="685" t="s">
        <v>7834</v>
      </c>
      <c r="K6" s="919" t="s">
        <v>7847</v>
      </c>
      <c r="L6" s="920"/>
      <c r="M6" s="149"/>
      <c r="N6" s="320"/>
      <c r="O6" s="143"/>
      <c r="P6" s="143"/>
      <c r="Q6" s="143"/>
      <c r="R6" s="143"/>
      <c r="S6" s="143"/>
      <c r="T6" s="385"/>
      <c r="U6" s="385"/>
      <c r="V6" s="385"/>
      <c r="W6" s="220"/>
      <c r="X6" s="220"/>
      <c r="Y6" s="222"/>
      <c r="Z6" s="222"/>
      <c r="AA6" s="222"/>
      <c r="AB6" s="222"/>
      <c r="AC6" s="222"/>
      <c r="AD6" s="222"/>
      <c r="AE6" s="222"/>
      <c r="AF6" s="222"/>
      <c r="AG6" s="59"/>
      <c r="AH6" s="59"/>
      <c r="AJ6" s="535"/>
      <c r="AK6" s="153"/>
      <c r="AM6" s="59"/>
      <c r="AR6" s="149"/>
    </row>
    <row r="7" spans="1:44" ht="13.95" customHeight="1">
      <c r="B7" s="149"/>
      <c r="C7" s="149"/>
      <c r="D7" s="149"/>
      <c r="E7" s="149"/>
      <c r="F7" s="149"/>
      <c r="G7" s="914" t="s">
        <v>6967</v>
      </c>
      <c r="H7" s="914"/>
      <c r="I7" s="914"/>
      <c r="J7" s="685" t="s">
        <v>7809</v>
      </c>
      <c r="K7" s="917" t="s">
        <v>7846</v>
      </c>
      <c r="L7" s="921"/>
      <c r="M7" s="149"/>
      <c r="N7" s="320"/>
      <c r="O7" s="143"/>
      <c r="P7" s="143"/>
      <c r="Q7" s="143"/>
      <c r="R7" s="143"/>
      <c r="S7" s="143"/>
      <c r="T7" s="385"/>
      <c r="U7" s="385"/>
      <c r="V7" s="385"/>
      <c r="W7" s="220"/>
      <c r="X7" s="220"/>
      <c r="Y7" s="222"/>
      <c r="Z7" s="222"/>
      <c r="AA7" s="222"/>
      <c r="AB7" s="222"/>
      <c r="AC7" s="222"/>
      <c r="AD7" s="222"/>
      <c r="AE7" s="222"/>
      <c r="AF7" s="222"/>
      <c r="AG7" s="59"/>
      <c r="AH7" s="59"/>
      <c r="AJ7" s="535"/>
      <c r="AK7" s="153"/>
      <c r="AM7" s="59"/>
      <c r="AR7" s="149"/>
    </row>
    <row r="8" spans="1:44">
      <c r="B8" s="960" t="str">
        <f>B6</f>
        <v>製造量</v>
      </c>
      <c r="C8" s="961"/>
      <c r="D8" s="632" t="s">
        <v>7818</v>
      </c>
      <c r="E8" s="149"/>
      <c r="F8" s="149"/>
      <c r="G8" s="914" t="s">
        <v>6973</v>
      </c>
      <c r="H8" s="914"/>
      <c r="I8" s="914"/>
      <c r="J8" s="685" t="s">
        <v>7809</v>
      </c>
      <c r="K8" s="917" t="s">
        <v>7845</v>
      </c>
      <c r="L8" s="921"/>
      <c r="M8" s="320"/>
      <c r="N8" s="143"/>
      <c r="O8" s="143"/>
      <c r="P8" s="143"/>
      <c r="Q8" s="143"/>
      <c r="R8" s="143"/>
      <c r="S8" s="385"/>
      <c r="T8" s="385"/>
      <c r="U8" s="385"/>
      <c r="V8" s="220"/>
      <c r="W8" s="220"/>
      <c r="X8" s="222"/>
      <c r="Y8" s="222"/>
      <c r="Z8" s="222"/>
      <c r="AA8" s="222"/>
      <c r="AB8" s="222"/>
      <c r="AC8" s="222"/>
      <c r="AD8" s="149"/>
      <c r="AE8" s="149"/>
      <c r="AF8" s="149"/>
      <c r="AG8" s="59"/>
      <c r="AI8" s="535"/>
      <c r="AJ8" s="153"/>
      <c r="AL8" s="59"/>
      <c r="AM8" s="59"/>
      <c r="AR8" s="149"/>
    </row>
    <row r="9" spans="1:44">
      <c r="B9" s="960" t="s">
        <v>7547</v>
      </c>
      <c r="C9" s="961"/>
      <c r="D9" s="689">
        <f>IFERROR(IF($C6="[kg]",D6,IF($C6="[t]",D6*1000,IF($C6="[1000Nm3]",D6*共通データ!$C$29*1000,D6*共通データ!$C$29))),"")</f>
        <v>8.99</v>
      </c>
      <c r="E9" s="149"/>
      <c r="F9" s="149"/>
      <c r="G9" s="914" t="s">
        <v>7839</v>
      </c>
      <c r="H9" s="914"/>
      <c r="I9" s="914"/>
      <c r="J9" s="685" t="s">
        <v>7809</v>
      </c>
      <c r="K9" s="917" t="s">
        <v>7842</v>
      </c>
      <c r="L9" s="921"/>
      <c r="M9" s="387"/>
      <c r="N9" s="143"/>
      <c r="O9" s="143"/>
      <c r="P9" s="143"/>
      <c r="Q9" s="143"/>
      <c r="R9" s="143"/>
      <c r="S9" s="385"/>
      <c r="T9" s="385"/>
      <c r="U9" s="385"/>
      <c r="V9" s="220"/>
      <c r="W9" s="220"/>
      <c r="X9" s="222"/>
      <c r="Y9" s="222"/>
      <c r="Z9" s="222"/>
      <c r="AA9" s="222"/>
      <c r="AB9" s="222"/>
      <c r="AC9" s="222"/>
      <c r="AD9" s="149"/>
      <c r="AE9" s="149"/>
      <c r="AF9" s="149"/>
      <c r="AG9" s="59"/>
      <c r="AI9" s="535"/>
      <c r="AJ9" s="153"/>
      <c r="AL9" s="59"/>
      <c r="AM9" s="59"/>
      <c r="AR9" s="149"/>
    </row>
    <row r="10" spans="1:44">
      <c r="B10" s="960" t="s">
        <v>7548</v>
      </c>
      <c r="C10" s="961"/>
      <c r="D10" s="690">
        <f>IFERROR(D9*共通データ!$H$29,"")</f>
        <v>1078.8</v>
      </c>
      <c r="E10" s="149"/>
      <c r="F10" s="149"/>
      <c r="G10" s="914" t="s">
        <v>7838</v>
      </c>
      <c r="H10" s="914"/>
      <c r="I10" s="914"/>
      <c r="J10" s="685" t="s">
        <v>7809</v>
      </c>
      <c r="K10" s="917" t="s">
        <v>7843</v>
      </c>
      <c r="L10" s="921"/>
      <c r="M10" s="387"/>
      <c r="N10" s="143"/>
      <c r="O10" s="143"/>
      <c r="P10" s="143"/>
      <c r="Q10" s="143"/>
      <c r="R10" s="143"/>
      <c r="S10" s="385"/>
      <c r="T10" s="385"/>
      <c r="U10" s="385"/>
      <c r="V10" s="220"/>
      <c r="W10" s="220"/>
      <c r="X10" s="222"/>
      <c r="Y10" s="222"/>
      <c r="Z10" s="222"/>
      <c r="AA10" s="222"/>
      <c r="AB10" s="222"/>
      <c r="AC10" s="222"/>
      <c r="AD10" s="149"/>
      <c r="AE10" s="149"/>
      <c r="AF10" s="149"/>
      <c r="AG10" s="59"/>
      <c r="AI10" s="535"/>
      <c r="AJ10" s="153"/>
      <c r="AL10" s="59"/>
      <c r="AM10" s="59"/>
      <c r="AR10" s="149"/>
    </row>
    <row r="11" spans="1:44">
      <c r="B11" s="958" t="s">
        <v>7549</v>
      </c>
      <c r="C11" s="959"/>
      <c r="D11" s="690">
        <f>IFERROR(D9/共通データ!$C$29,"")</f>
        <v>100.00000000000001</v>
      </c>
      <c r="E11" s="149"/>
      <c r="F11" s="149"/>
      <c r="G11" s="914" t="s">
        <v>7840</v>
      </c>
      <c r="H11" s="914"/>
      <c r="I11" s="914"/>
      <c r="J11" s="685" t="s">
        <v>7809</v>
      </c>
      <c r="K11" s="917" t="s">
        <v>7844</v>
      </c>
      <c r="L11" s="918"/>
      <c r="M11" s="387"/>
      <c r="N11" s="143"/>
      <c r="O11" s="143"/>
      <c r="P11" s="143"/>
      <c r="Q11" s="143"/>
      <c r="R11" s="143"/>
      <c r="S11" s="385"/>
      <c r="T11" s="385"/>
      <c r="U11" s="385"/>
      <c r="V11" s="220"/>
      <c r="W11" s="220"/>
      <c r="X11" s="222"/>
      <c r="Y11" s="222"/>
      <c r="Z11" s="222"/>
      <c r="AA11" s="222"/>
      <c r="AB11" s="222"/>
      <c r="AC11" s="222"/>
      <c r="AD11" s="149"/>
      <c r="AE11" s="149"/>
      <c r="AF11" s="149"/>
      <c r="AG11" s="59"/>
      <c r="AI11" s="535"/>
      <c r="AJ11" s="153"/>
      <c r="AL11" s="59"/>
      <c r="AM11" s="59"/>
      <c r="AR11" s="149"/>
    </row>
    <row r="12" spans="1:44">
      <c r="B12" s="311"/>
      <c r="C12" s="150"/>
      <c r="D12" s="245"/>
      <c r="E12" s="246"/>
      <c r="F12" s="153"/>
      <c r="G12" s="153"/>
      <c r="H12" s="153"/>
      <c r="I12" s="220"/>
      <c r="J12" s="220"/>
      <c r="K12" s="149"/>
      <c r="L12" s="149"/>
      <c r="M12" s="143"/>
      <c r="N12" s="387"/>
      <c r="O12" s="143"/>
      <c r="P12" s="143"/>
      <c r="Q12" s="143"/>
      <c r="R12" s="143"/>
      <c r="S12" s="143"/>
      <c r="T12" s="385"/>
      <c r="U12" s="385"/>
      <c r="V12" s="385"/>
      <c r="W12" s="220"/>
      <c r="X12" s="220"/>
      <c r="Y12" s="222"/>
      <c r="Z12" s="222"/>
      <c r="AA12" s="222"/>
      <c r="AB12" s="222"/>
      <c r="AC12" s="222"/>
      <c r="AD12" s="222"/>
      <c r="AE12" s="222"/>
      <c r="AF12" s="222"/>
      <c r="AG12" s="59"/>
      <c r="AH12" s="59"/>
      <c r="AJ12" s="535"/>
      <c r="AK12" s="153"/>
      <c r="AM12" s="59"/>
      <c r="AR12" s="149"/>
    </row>
    <row r="13" spans="1:44" customFormat="1" ht="13.8">
      <c r="A13" s="89"/>
      <c r="B13" s="989" t="s">
        <v>7656</v>
      </c>
      <c r="C13" s="989"/>
      <c r="D13" s="989"/>
      <c r="E13" s="989"/>
      <c r="F13" s="989"/>
      <c r="G13" s="989"/>
      <c r="H13" s="989"/>
      <c r="I13" s="989"/>
      <c r="J13" s="989"/>
      <c r="K13" s="389"/>
      <c r="L13" s="89"/>
      <c r="M13" s="89"/>
      <c r="N13" s="321"/>
      <c r="O13" s="89"/>
      <c r="P13" s="89"/>
      <c r="Q13" s="89"/>
      <c r="R13" s="89"/>
      <c r="S13" s="89"/>
      <c r="T13" s="89"/>
      <c r="U13" s="89"/>
      <c r="V13" s="89"/>
      <c r="W13" s="89"/>
      <c r="X13" s="89"/>
      <c r="Y13" s="89"/>
      <c r="Z13" s="89"/>
      <c r="AA13" s="89"/>
      <c r="AB13" s="89"/>
      <c r="AC13" s="89"/>
      <c r="AD13" s="89"/>
      <c r="AE13" s="802"/>
      <c r="AF13" s="89"/>
      <c r="AI13" s="360"/>
      <c r="AJ13" s="547"/>
      <c r="AK13" s="360"/>
      <c r="AL13" s="360"/>
      <c r="AR13" s="89"/>
    </row>
    <row r="14" spans="1:44" customFormat="1" ht="13.8">
      <c r="A14" s="89"/>
      <c r="B14" s="89"/>
      <c r="C14" s="89"/>
      <c r="D14" s="89"/>
      <c r="E14" s="89"/>
      <c r="F14" s="89"/>
      <c r="G14" s="89"/>
      <c r="H14" s="89"/>
      <c r="I14" s="89"/>
      <c r="J14" s="89"/>
      <c r="K14" s="89"/>
      <c r="L14" s="89"/>
      <c r="M14" s="89"/>
      <c r="N14" s="321"/>
      <c r="O14" s="89"/>
      <c r="P14" s="89"/>
      <c r="Q14" s="89"/>
      <c r="R14" s="89"/>
      <c r="S14" s="89"/>
      <c r="T14" s="89"/>
      <c r="U14" s="89"/>
      <c r="V14" s="89"/>
      <c r="W14" s="89"/>
      <c r="X14" s="89"/>
      <c r="Y14" s="89"/>
      <c r="Z14" s="89"/>
      <c r="AA14" s="89"/>
      <c r="AB14" s="89"/>
      <c r="AC14" s="89"/>
      <c r="AD14" s="89"/>
      <c r="AE14" s="802"/>
      <c r="AF14" s="89"/>
      <c r="AJ14" s="536"/>
      <c r="AR14" s="89"/>
    </row>
    <row r="15" spans="1:44" customFormat="1" ht="13.8">
      <c r="A15" s="89"/>
      <c r="B15" s="85" t="s">
        <v>181</v>
      </c>
      <c r="C15" s="147"/>
      <c r="D15" s="86"/>
      <c r="E15" s="86"/>
      <c r="F15" s="450" t="s">
        <v>184</v>
      </c>
      <c r="G15" s="450" t="s">
        <v>185</v>
      </c>
      <c r="H15" s="450" t="s">
        <v>186</v>
      </c>
      <c r="I15" s="450" t="s">
        <v>188</v>
      </c>
      <c r="J15" s="450" t="s">
        <v>189</v>
      </c>
      <c r="K15" s="333"/>
      <c r="L15" s="89"/>
      <c r="M15" s="89"/>
      <c r="N15" s="321"/>
      <c r="O15" s="89"/>
      <c r="P15" s="89"/>
      <c r="Q15" s="89"/>
      <c r="R15" s="89"/>
      <c r="S15" s="89"/>
      <c r="T15" s="89"/>
      <c r="U15" s="89"/>
      <c r="V15" s="89"/>
      <c r="W15" s="89"/>
      <c r="X15" s="89"/>
      <c r="Y15" s="89"/>
      <c r="Z15" s="89"/>
      <c r="AA15" s="89"/>
      <c r="AB15" s="89"/>
      <c r="AC15" s="89"/>
      <c r="AD15" s="89"/>
      <c r="AE15" s="802"/>
      <c r="AF15" s="89"/>
      <c r="AJ15" s="536"/>
      <c r="AR15" s="89"/>
    </row>
    <row r="16" spans="1:44" customFormat="1" ht="35.25" customHeight="1">
      <c r="A16" s="89"/>
      <c r="B16" s="983" t="s">
        <v>7657</v>
      </c>
      <c r="C16" s="984"/>
      <c r="D16" s="84"/>
      <c r="E16" s="84"/>
      <c r="F16" s="639" t="s">
        <v>7945</v>
      </c>
      <c r="G16" s="639" t="s">
        <v>192</v>
      </c>
      <c r="H16" s="639" t="s">
        <v>192</v>
      </c>
      <c r="I16" s="639" t="s">
        <v>192</v>
      </c>
      <c r="J16" s="639" t="s">
        <v>192</v>
      </c>
      <c r="K16" s="333"/>
      <c r="L16" s="89"/>
      <c r="M16" s="89"/>
      <c r="N16" s="321"/>
      <c r="O16" s="89"/>
      <c r="P16" s="89"/>
      <c r="Q16" s="89"/>
      <c r="R16" s="89"/>
      <c r="S16" s="89"/>
      <c r="T16" s="89"/>
      <c r="U16" s="89"/>
      <c r="V16" s="89"/>
      <c r="W16" s="89"/>
      <c r="X16" s="89"/>
      <c r="Y16" s="89"/>
      <c r="Z16" s="89"/>
      <c r="AA16" s="89"/>
      <c r="AB16" s="89"/>
      <c r="AC16" s="89"/>
      <c r="AD16" s="89"/>
      <c r="AE16" s="802"/>
      <c r="AF16" s="89"/>
      <c r="AH16" s="360"/>
      <c r="AI16" s="360"/>
      <c r="AJ16" s="547"/>
      <c r="AK16" s="360"/>
      <c r="AL16" s="360"/>
      <c r="AM16" s="360"/>
      <c r="AR16" s="89"/>
    </row>
    <row r="17" spans="1:44" customFormat="1" ht="30.75" customHeight="1">
      <c r="A17" s="89"/>
      <c r="B17" s="983" t="s">
        <v>7658</v>
      </c>
      <c r="C17" s="984"/>
      <c r="D17" s="84"/>
      <c r="E17" s="84"/>
      <c r="F17" s="639" t="s">
        <v>192</v>
      </c>
      <c r="G17" s="639" t="s">
        <v>192</v>
      </c>
      <c r="H17" s="639" t="s">
        <v>192</v>
      </c>
      <c r="I17" s="639" t="s">
        <v>192</v>
      </c>
      <c r="J17" s="639" t="s">
        <v>192</v>
      </c>
      <c r="K17" s="333"/>
      <c r="L17" s="89"/>
      <c r="M17" s="89"/>
      <c r="N17" s="321"/>
      <c r="O17" s="89"/>
      <c r="P17" s="89"/>
      <c r="Q17" s="89"/>
      <c r="R17" s="89"/>
      <c r="S17" s="89"/>
      <c r="T17" s="89"/>
      <c r="U17" s="89"/>
      <c r="V17" s="89"/>
      <c r="W17" s="89"/>
      <c r="X17" s="89"/>
      <c r="Y17" s="89"/>
      <c r="Z17" s="89"/>
      <c r="AA17" s="89"/>
      <c r="AB17" s="89"/>
      <c r="AC17" s="89"/>
      <c r="AD17" s="89"/>
      <c r="AE17" s="802"/>
      <c r="AF17" s="89"/>
      <c r="AH17" s="360"/>
      <c r="AI17" s="360"/>
      <c r="AJ17" s="547"/>
      <c r="AK17" s="360"/>
      <c r="AL17" s="360"/>
      <c r="AM17" s="360"/>
      <c r="AR17" s="89"/>
    </row>
    <row r="18" spans="1:44">
      <c r="B18" s="149"/>
      <c r="C18" s="149"/>
      <c r="D18" s="149"/>
      <c r="E18" s="149"/>
      <c r="F18" s="220"/>
      <c r="G18" s="220"/>
      <c r="H18" s="220"/>
      <c r="I18" s="220"/>
      <c r="J18" s="220"/>
      <c r="K18" s="149"/>
      <c r="L18" s="149"/>
      <c r="M18" s="149"/>
      <c r="N18" s="320"/>
      <c r="O18" s="149"/>
      <c r="P18" s="149"/>
      <c r="Q18" s="149"/>
      <c r="R18" s="149"/>
      <c r="S18" s="220"/>
      <c r="T18" s="220"/>
      <c r="U18" s="220"/>
      <c r="V18" s="220"/>
      <c r="W18" s="220"/>
      <c r="X18" s="220"/>
      <c r="Y18" s="222"/>
      <c r="Z18" s="222"/>
      <c r="AA18" s="222"/>
      <c r="AB18" s="222"/>
      <c r="AC18" s="222"/>
      <c r="AD18" s="222"/>
      <c r="AE18" s="222"/>
      <c r="AF18" s="222"/>
      <c r="AG18" s="59"/>
      <c r="AJ18" s="535"/>
      <c r="AK18" s="153"/>
      <c r="AR18" s="149"/>
    </row>
    <row r="19" spans="1:44">
      <c r="B19" s="915" t="s">
        <v>7731</v>
      </c>
      <c r="C19" s="915"/>
      <c r="D19" s="915"/>
      <c r="E19" s="915"/>
      <c r="F19" s="915"/>
      <c r="G19" s="915"/>
      <c r="H19" s="915"/>
      <c r="I19" s="915"/>
      <c r="J19" s="915"/>
      <c r="K19" s="915"/>
      <c r="L19" s="915"/>
      <c r="M19" s="915"/>
      <c r="N19" s="915"/>
      <c r="O19" s="915"/>
      <c r="P19" s="149"/>
      <c r="Q19" s="935" t="s">
        <v>7730</v>
      </c>
      <c r="R19" s="935"/>
      <c r="S19" s="935"/>
      <c r="T19" s="935"/>
      <c r="U19" s="935"/>
      <c r="V19" s="935"/>
      <c r="W19" s="935"/>
      <c r="X19" s="935"/>
      <c r="Y19" s="935"/>
      <c r="Z19" s="935"/>
      <c r="AA19" s="935"/>
      <c r="AB19" s="935"/>
      <c r="AC19" s="935"/>
      <c r="AD19" s="935"/>
      <c r="AE19" s="811"/>
      <c r="AF19" s="772"/>
      <c r="AG19" s="59"/>
      <c r="AR19" s="149"/>
    </row>
    <row r="20" spans="1:44" s="149" customFormat="1">
      <c r="F20" s="220"/>
      <c r="G20" s="220"/>
      <c r="H20" s="220"/>
      <c r="I20" s="220"/>
      <c r="J20" s="220"/>
      <c r="N20" s="320"/>
      <c r="S20" s="220"/>
      <c r="T20" s="220"/>
      <c r="U20" s="220"/>
      <c r="V20" s="220"/>
      <c r="W20" s="220"/>
      <c r="X20" s="220"/>
      <c r="Y20" s="222"/>
      <c r="Z20" s="222"/>
      <c r="AA20" s="222"/>
      <c r="AB20" s="222"/>
      <c r="AC20" s="222"/>
      <c r="AD20" s="222"/>
      <c r="AE20" s="222"/>
      <c r="AF20" s="222"/>
      <c r="AG20" s="207"/>
      <c r="AH20" s="207"/>
      <c r="AI20" s="153"/>
      <c r="AJ20" s="535"/>
      <c r="AK20" s="153"/>
      <c r="AL20" s="153"/>
      <c r="AM20" s="153"/>
    </row>
    <row r="21" spans="1:44" ht="14.1" customHeight="1">
      <c r="B21" s="890" t="s">
        <v>7659</v>
      </c>
      <c r="C21" s="937"/>
      <c r="D21" s="891"/>
      <c r="E21" s="892"/>
      <c r="F21" s="938" t="s">
        <v>7669</v>
      </c>
      <c r="G21" s="939"/>
      <c r="H21" s="939"/>
      <c r="I21" s="939"/>
      <c r="J21" s="939"/>
      <c r="K21" s="940"/>
      <c r="L21" s="941" t="s">
        <v>136</v>
      </c>
      <c r="M21" s="943" t="s">
        <v>210</v>
      </c>
      <c r="N21" s="944"/>
      <c r="O21" s="945"/>
      <c r="P21" s="149"/>
      <c r="Q21" s="890" t="s">
        <v>6976</v>
      </c>
      <c r="R21" s="892"/>
      <c r="S21" s="933" t="s">
        <v>7666</v>
      </c>
      <c r="T21" s="934"/>
      <c r="U21" s="934"/>
      <c r="V21" s="934"/>
      <c r="W21" s="934"/>
      <c r="X21" s="934"/>
      <c r="Y21" s="949" t="s">
        <v>7543</v>
      </c>
      <c r="Z21" s="950"/>
      <c r="AA21" s="950"/>
      <c r="AB21" s="950"/>
      <c r="AC21" s="950"/>
      <c r="AD21" s="950"/>
      <c r="AE21" s="904" t="s">
        <v>7919</v>
      </c>
      <c r="AF21" s="810"/>
      <c r="AG21" s="207"/>
      <c r="AH21" s="207"/>
      <c r="AI21" s="59"/>
      <c r="AJ21" s="1026" t="s">
        <v>210</v>
      </c>
      <c r="AK21" s="1026"/>
      <c r="AL21" s="59"/>
      <c r="AM21" s="59"/>
      <c r="AR21" s="149"/>
    </row>
    <row r="22" spans="1:44" ht="13.8" thickBot="1">
      <c r="B22" s="893"/>
      <c r="C22" s="894"/>
      <c r="D22" s="894"/>
      <c r="E22" s="898"/>
      <c r="F22" s="312" t="s">
        <v>7426</v>
      </c>
      <c r="G22" s="312" t="s">
        <v>7427</v>
      </c>
      <c r="H22" s="312" t="s">
        <v>7428</v>
      </c>
      <c r="I22" s="312" t="s">
        <v>7429</v>
      </c>
      <c r="J22" s="312" t="s">
        <v>7430</v>
      </c>
      <c r="K22" s="313" t="s">
        <v>7431</v>
      </c>
      <c r="L22" s="942"/>
      <c r="M22" s="946"/>
      <c r="N22" s="947"/>
      <c r="O22" s="948"/>
      <c r="P22" s="149"/>
      <c r="Q22" s="896"/>
      <c r="R22" s="898"/>
      <c r="S22" s="312" t="s">
        <v>7426</v>
      </c>
      <c r="T22" s="312" t="s">
        <v>7427</v>
      </c>
      <c r="U22" s="312" t="s">
        <v>7428</v>
      </c>
      <c r="V22" s="312" t="s">
        <v>7429</v>
      </c>
      <c r="W22" s="312" t="s">
        <v>7430</v>
      </c>
      <c r="X22" s="313" t="s">
        <v>7431</v>
      </c>
      <c r="Y22" s="773" t="s">
        <v>7426</v>
      </c>
      <c r="Z22" s="773" t="s">
        <v>7427</v>
      </c>
      <c r="AA22" s="773" t="s">
        <v>7428</v>
      </c>
      <c r="AB22" s="773" t="s">
        <v>7429</v>
      </c>
      <c r="AC22" s="773" t="s">
        <v>7430</v>
      </c>
      <c r="AD22" s="774" t="s">
        <v>7431</v>
      </c>
      <c r="AE22" s="905"/>
      <c r="AF22" s="364"/>
      <c r="AG22" s="207"/>
      <c r="AH22" s="207"/>
      <c r="AI22" s="59"/>
      <c r="AJ22" s="1019"/>
      <c r="AK22" s="1019"/>
      <c r="AL22" s="59"/>
      <c r="AM22" s="59"/>
      <c r="AR22" s="149"/>
    </row>
    <row r="23" spans="1:44" ht="15" customHeight="1" thickBot="1">
      <c r="B23" s="907"/>
      <c r="C23" s="908"/>
      <c r="D23" s="909"/>
      <c r="E23" s="478" t="str">
        <f>IFERROR(IF(B23="","",VLOOKUP($B23,IDEAGLIO補助ﾘｽﾄ!$B$2:$F$50,4, FALSE)),"")</f>
        <v/>
      </c>
      <c r="F23" s="691">
        <v>0</v>
      </c>
      <c r="G23" s="691">
        <v>0</v>
      </c>
      <c r="H23" s="691">
        <v>0</v>
      </c>
      <c r="I23" s="691">
        <v>0</v>
      </c>
      <c r="J23" s="691">
        <v>0</v>
      </c>
      <c r="K23" s="692">
        <f t="shared" ref="K23:K31" si="0">SUM(F23:J23)</f>
        <v>0</v>
      </c>
      <c r="L23" s="639" t="s">
        <v>192</v>
      </c>
      <c r="M23" s="479" t="str">
        <f>IFERROR(VLOOKUP($B23,IDEAGLIO補助ﾘｽﾄ!$B$2:$F$50,3,FALSE),"")</f>
        <v/>
      </c>
      <c r="N23" s="480" t="str">
        <f>IFERROR(VLOOKUP($B23,IDEAGLIO補助ﾘｽﾄ!$B$2:$F$50,5,FALSE),"")</f>
        <v/>
      </c>
      <c r="O23" s="213" t="str">
        <f>IF(E23="","","[kgCO2/"&amp;E23&amp;"] ")</f>
        <v/>
      </c>
      <c r="P23" s="149"/>
      <c r="Q23" s="910" t="str">
        <f>IF(B23="","",B23)</f>
        <v/>
      </c>
      <c r="R23" s="911"/>
      <c r="S23" s="715">
        <f>IFERROR(F23*$N23,0)</f>
        <v>0</v>
      </c>
      <c r="T23" s="715">
        <f t="shared" ref="T23:W32" si="1">IFERROR(G23*$N23,0)</f>
        <v>0</v>
      </c>
      <c r="U23" s="715">
        <f t="shared" si="1"/>
        <v>0</v>
      </c>
      <c r="V23" s="715">
        <f t="shared" si="1"/>
        <v>0</v>
      </c>
      <c r="W23" s="715">
        <f t="shared" si="1"/>
        <v>0</v>
      </c>
      <c r="X23" s="767">
        <f>SUM(S23:W23)</f>
        <v>0</v>
      </c>
      <c r="Y23" s="776" t="str">
        <f>IFERROR(IF(S23=0,"",S23*$AJ$170/('製造(P)'!$K$190+'貯蔵・輸送(ST)'!$K$190+'供給(D)'!$K$190)),"")</f>
        <v/>
      </c>
      <c r="Z23" s="776" t="str">
        <f>IFERROR(IF(T23=0,"",T23*$AJ$170/('製造(P)'!$K$190+'貯蔵・輸送(ST)'!$K$190+'供給(D)'!$K$190)),"")</f>
        <v/>
      </c>
      <c r="AA23" s="776" t="str">
        <f>IFERROR(IF(U23=0,"",U23*$AJ$170/('製造(P)'!$K$190+'貯蔵・輸送(ST)'!$K$190+'供給(D)'!$K$190)),"")</f>
        <v/>
      </c>
      <c r="AB23" s="776" t="str">
        <f>IFERROR(IF(V23=0,"",V23*$AJ$170/('製造(P)'!$K$190+'貯蔵・輸送(ST)'!$K$190+'供給(D)'!$K$190)),"")</f>
        <v/>
      </c>
      <c r="AC23" s="776" t="str">
        <f>IFERROR(IF(W23=0,"",W23*$AJ$170/('製造(P)'!$K$190+'貯蔵・輸送(ST)'!$K$190+'供給(D)'!$K$190)),"")</f>
        <v/>
      </c>
      <c r="AD23" s="778" t="str">
        <f>IFERROR(IF(X23=0,"",X23*$AJ$170/('製造(P)'!$K$190+'貯蔵・輸送(ST)'!$K$190+'供給(D)'!$K$190)),"")</f>
        <v/>
      </c>
      <c r="AE23" s="685"/>
      <c r="AF23" s="812"/>
      <c r="AG23" s="779"/>
      <c r="AH23" s="354"/>
      <c r="AI23" s="354"/>
      <c r="AJ23" s="354"/>
      <c r="AK23" s="354"/>
      <c r="AL23" s="354"/>
      <c r="AM23" s="354"/>
      <c r="AN23" s="354"/>
      <c r="AO23" s="354"/>
      <c r="AP23" s="354"/>
      <c r="AQ23" s="354"/>
      <c r="AR23" s="149"/>
    </row>
    <row r="24" spans="1:44" ht="15" customHeight="1" thickBot="1">
      <c r="B24" s="907"/>
      <c r="C24" s="908"/>
      <c r="D24" s="909"/>
      <c r="E24" s="478" t="str">
        <f>IFERROR(IF(B24="","",VLOOKUP($B24,IDEAGLIO補助ﾘｽﾄ!$B$2:$F$50,4, FALSE)),"")</f>
        <v/>
      </c>
      <c r="F24" s="691">
        <v>0</v>
      </c>
      <c r="G24" s="691">
        <v>0</v>
      </c>
      <c r="H24" s="691">
        <v>0</v>
      </c>
      <c r="I24" s="691">
        <v>0</v>
      </c>
      <c r="J24" s="691">
        <v>0</v>
      </c>
      <c r="K24" s="692">
        <f t="shared" ref="K24:K30" si="2">SUM(F24:J24)</f>
        <v>0</v>
      </c>
      <c r="L24" s="639" t="s">
        <v>192</v>
      </c>
      <c r="M24" s="479" t="str">
        <f>IFERROR(VLOOKUP($B24,IDEAGLIO補助ﾘｽﾄ!$B$2:$F$50,3,FALSE),"")</f>
        <v/>
      </c>
      <c r="N24" s="480" t="str">
        <f>IFERROR(VLOOKUP($B24,IDEAGLIO補助ﾘｽﾄ!$B$2:$F$50,5,FALSE),"")</f>
        <v/>
      </c>
      <c r="O24" s="213" t="str">
        <f t="shared" ref="O24:O30" si="3">IF(E24="","","[kgCO2/"&amp;E24&amp;"] ")</f>
        <v/>
      </c>
      <c r="P24" s="149"/>
      <c r="Q24" s="910" t="str">
        <f t="shared" ref="Q24:Q30" si="4">IF(B24="","",B24)</f>
        <v/>
      </c>
      <c r="R24" s="911"/>
      <c r="S24" s="715">
        <f t="shared" ref="S24:S30" si="5">IFERROR(F24*$N24,0)</f>
        <v>0</v>
      </c>
      <c r="T24" s="715">
        <f t="shared" ref="T24:T30" si="6">IFERROR(G24*$N24,0)</f>
        <v>0</v>
      </c>
      <c r="U24" s="715">
        <f t="shared" ref="U24:U30" si="7">IFERROR(H24*$N24,0)</f>
        <v>0</v>
      </c>
      <c r="V24" s="715">
        <f t="shared" ref="V24:V30" si="8">IFERROR(I24*$N24,0)</f>
        <v>0</v>
      </c>
      <c r="W24" s="715">
        <f t="shared" ref="W24:W30" si="9">IFERROR(J24*$N24,0)</f>
        <v>0</v>
      </c>
      <c r="X24" s="767">
        <f t="shared" ref="X24:X32" si="10">SUM(S24:W24)</f>
        <v>0</v>
      </c>
      <c r="Y24" s="776" t="str">
        <f>IFERROR(IF(S24=0,"",S24*$AJ$170/('製造(P)'!$K$190+'貯蔵・輸送(ST)'!$K$190+'供給(D)'!$K$190)),"")</f>
        <v/>
      </c>
      <c r="Z24" s="776" t="str">
        <f>IFERROR(IF(T24=0,"",T24*$AJ$170/('製造(P)'!$K$190+'貯蔵・輸送(ST)'!$K$190+'供給(D)'!$K$190)),"")</f>
        <v/>
      </c>
      <c r="AA24" s="776" t="str">
        <f>IFERROR(IF(U24=0,"",U24*$AJ$170/('製造(P)'!$K$190+'貯蔵・輸送(ST)'!$K$190+'供給(D)'!$K$190)),"")</f>
        <v/>
      </c>
      <c r="AB24" s="776" t="str">
        <f>IFERROR(IF(V24=0,"",V24*$AJ$170/('製造(P)'!$K$190+'貯蔵・輸送(ST)'!$K$190+'供給(D)'!$K$190)),"")</f>
        <v/>
      </c>
      <c r="AC24" s="776" t="str">
        <f>IFERROR(IF(W24=0,"",W24*$AJ$170/('製造(P)'!$K$190+'貯蔵・輸送(ST)'!$K$190+'供給(D)'!$K$190)),"")</f>
        <v/>
      </c>
      <c r="AD24" s="778" t="str">
        <f>IFERROR(IF(X24=0,"",X24*$AJ$170/('製造(P)'!$K$190+'貯蔵・輸送(ST)'!$K$190+'供給(D)'!$K$190)),"")</f>
        <v/>
      </c>
      <c r="AE24" s="685"/>
      <c r="AF24" s="812"/>
      <c r="AG24" s="207"/>
      <c r="AH24" s="207"/>
      <c r="AI24" s="59"/>
      <c r="AJ24" s="766"/>
      <c r="AK24" s="765"/>
      <c r="AL24" s="59"/>
      <c r="AM24" s="59"/>
      <c r="AR24" s="149"/>
    </row>
    <row r="25" spans="1:44" ht="15" customHeight="1" thickBot="1">
      <c r="B25" s="907"/>
      <c r="C25" s="908"/>
      <c r="D25" s="909"/>
      <c r="E25" s="478" t="str">
        <f>IFERROR(IF(B25="","",VLOOKUP($B25,IDEAGLIO補助ﾘｽﾄ!$B$2:$F$50,4, FALSE)),"")</f>
        <v/>
      </c>
      <c r="F25" s="691">
        <v>0</v>
      </c>
      <c r="G25" s="691">
        <v>0</v>
      </c>
      <c r="H25" s="691">
        <v>0</v>
      </c>
      <c r="I25" s="691">
        <v>0</v>
      </c>
      <c r="J25" s="691">
        <v>0</v>
      </c>
      <c r="K25" s="692">
        <f t="shared" si="2"/>
        <v>0</v>
      </c>
      <c r="L25" s="639" t="s">
        <v>192</v>
      </c>
      <c r="M25" s="479" t="str">
        <f>IFERROR(VLOOKUP($B25,IDEAGLIO補助ﾘｽﾄ!$B$2:$F$50,3,FALSE),"")</f>
        <v/>
      </c>
      <c r="N25" s="480" t="str">
        <f>IFERROR(VLOOKUP($B25,IDEAGLIO補助ﾘｽﾄ!$B$2:$F$50,5,FALSE),"")</f>
        <v/>
      </c>
      <c r="O25" s="213" t="str">
        <f t="shared" si="3"/>
        <v/>
      </c>
      <c r="P25" s="149"/>
      <c r="Q25" s="910" t="str">
        <f t="shared" si="4"/>
        <v/>
      </c>
      <c r="R25" s="911"/>
      <c r="S25" s="715">
        <f t="shared" si="5"/>
        <v>0</v>
      </c>
      <c r="T25" s="715">
        <f t="shared" si="6"/>
        <v>0</v>
      </c>
      <c r="U25" s="715">
        <f t="shared" si="7"/>
        <v>0</v>
      </c>
      <c r="V25" s="715">
        <f t="shared" si="8"/>
        <v>0</v>
      </c>
      <c r="W25" s="715">
        <f t="shared" si="9"/>
        <v>0</v>
      </c>
      <c r="X25" s="767">
        <f t="shared" si="10"/>
        <v>0</v>
      </c>
      <c r="Y25" s="776" t="str">
        <f>IFERROR(IF(S25=0,"",S25*$AJ$170/('製造(P)'!$K$190+'貯蔵・輸送(ST)'!$K$190+'供給(D)'!$K$190)),"")</f>
        <v/>
      </c>
      <c r="Z25" s="776" t="str">
        <f>IFERROR(IF(T25=0,"",T25*$AJ$170/('製造(P)'!$K$190+'貯蔵・輸送(ST)'!$K$190+'供給(D)'!$K$190)),"")</f>
        <v/>
      </c>
      <c r="AA25" s="776" t="str">
        <f>IFERROR(IF(U25=0,"",U25*$AJ$170/('製造(P)'!$K$190+'貯蔵・輸送(ST)'!$K$190+'供給(D)'!$K$190)),"")</f>
        <v/>
      </c>
      <c r="AB25" s="776" t="str">
        <f>IFERROR(IF(V25=0,"",V25*$AJ$170/('製造(P)'!$K$190+'貯蔵・輸送(ST)'!$K$190+'供給(D)'!$K$190)),"")</f>
        <v/>
      </c>
      <c r="AC25" s="776" t="str">
        <f>IFERROR(IF(W25=0,"",W25*$AJ$170/('製造(P)'!$K$190+'貯蔵・輸送(ST)'!$K$190+'供給(D)'!$K$190)),"")</f>
        <v/>
      </c>
      <c r="AD25" s="778" t="str">
        <f>IFERROR(IF(X25=0,"",X25*$AJ$170/('製造(P)'!$K$190+'貯蔵・輸送(ST)'!$K$190+'供給(D)'!$K$190)),"")</f>
        <v/>
      </c>
      <c r="AE25" s="685"/>
      <c r="AF25" s="812"/>
      <c r="AG25" s="207"/>
      <c r="AH25" s="207"/>
      <c r="AI25" s="59"/>
      <c r="AJ25" s="766"/>
      <c r="AK25" s="765"/>
      <c r="AL25" s="59"/>
      <c r="AM25" s="59"/>
      <c r="AR25" s="149"/>
    </row>
    <row r="26" spans="1:44" ht="15" customHeight="1" thickBot="1">
      <c r="B26" s="907"/>
      <c r="C26" s="908"/>
      <c r="D26" s="909"/>
      <c r="E26" s="478" t="str">
        <f>IFERROR(IF(B26="","",VLOOKUP($B26,IDEAGLIO補助ﾘｽﾄ!$B$2:$F$50,4, FALSE)),"")</f>
        <v/>
      </c>
      <c r="F26" s="691">
        <v>0</v>
      </c>
      <c r="G26" s="691">
        <v>0</v>
      </c>
      <c r="H26" s="691">
        <v>0</v>
      </c>
      <c r="I26" s="691">
        <v>0</v>
      </c>
      <c r="J26" s="691">
        <v>0</v>
      </c>
      <c r="K26" s="692">
        <f t="shared" si="2"/>
        <v>0</v>
      </c>
      <c r="L26" s="639" t="s">
        <v>192</v>
      </c>
      <c r="M26" s="479" t="str">
        <f>IFERROR(VLOOKUP($B26,IDEAGLIO補助ﾘｽﾄ!$B$2:$F$50,3,FALSE),"")</f>
        <v/>
      </c>
      <c r="N26" s="480" t="str">
        <f>IFERROR(VLOOKUP($B26,IDEAGLIO補助ﾘｽﾄ!$B$2:$F$50,5,FALSE),"")</f>
        <v/>
      </c>
      <c r="O26" s="213" t="str">
        <f t="shared" si="3"/>
        <v/>
      </c>
      <c r="P26" s="149"/>
      <c r="Q26" s="910" t="str">
        <f t="shared" si="4"/>
        <v/>
      </c>
      <c r="R26" s="911"/>
      <c r="S26" s="715">
        <f t="shared" si="5"/>
        <v>0</v>
      </c>
      <c r="T26" s="715">
        <f t="shared" si="6"/>
        <v>0</v>
      </c>
      <c r="U26" s="715">
        <f t="shared" si="7"/>
        <v>0</v>
      </c>
      <c r="V26" s="715">
        <f t="shared" si="8"/>
        <v>0</v>
      </c>
      <c r="W26" s="715">
        <f t="shared" si="9"/>
        <v>0</v>
      </c>
      <c r="X26" s="767">
        <f t="shared" si="10"/>
        <v>0</v>
      </c>
      <c r="Y26" s="775" t="str">
        <f>IFERROR(IF(S26=0,"",S26*$AJ$170/('製造(P)'!$K$190+'貯蔵・輸送(ST)'!$K$190+'供給(D)'!$K$190)),"")</f>
        <v/>
      </c>
      <c r="Z26" s="775" t="str">
        <f>IFERROR(IF(T26=0,"",T26*$AJ$170/('製造(P)'!$K$190+'貯蔵・輸送(ST)'!$K$190+'供給(D)'!$K$190)),"")</f>
        <v/>
      </c>
      <c r="AA26" s="775" t="str">
        <f>IFERROR(IF(U26=0,"",U26*$AJ$170/('製造(P)'!$K$190+'貯蔵・輸送(ST)'!$K$190+'供給(D)'!$K$190)),"")</f>
        <v/>
      </c>
      <c r="AB26" s="775" t="str">
        <f>IFERROR(IF(V26=0,"",V26*$AJ$170/('製造(P)'!$K$190+'貯蔵・輸送(ST)'!$K$190+'供給(D)'!$K$190)),"")</f>
        <v/>
      </c>
      <c r="AC26" s="775" t="str">
        <f>IFERROR(IF(W26=0,"",W26*$AJ$170/('製造(P)'!$K$190+'貯蔵・輸送(ST)'!$K$190+'供給(D)'!$K$190)),"")</f>
        <v/>
      </c>
      <c r="AD26" s="778" t="str">
        <f>IFERROR(IF(X26=0,"",X26*$AJ$170/('製造(P)'!$K$190+'貯蔵・輸送(ST)'!$K$190+'供給(D)'!$K$190)),"")</f>
        <v/>
      </c>
      <c r="AE26" s="685"/>
      <c r="AF26" s="812"/>
      <c r="AG26" s="207"/>
      <c r="AH26" s="207"/>
      <c r="AI26" s="59"/>
      <c r="AJ26" s="766"/>
      <c r="AK26" s="765"/>
      <c r="AL26" s="59"/>
      <c r="AM26" s="59"/>
      <c r="AR26" s="149"/>
    </row>
    <row r="27" spans="1:44" ht="15" customHeight="1" thickBot="1">
      <c r="B27" s="907"/>
      <c r="C27" s="908"/>
      <c r="D27" s="909"/>
      <c r="E27" s="478" t="str">
        <f>IFERROR(IF(B27="","",VLOOKUP($B27,IDEAGLIO補助ﾘｽﾄ!$B$2:$F$50,4, FALSE)),"")</f>
        <v/>
      </c>
      <c r="F27" s="691">
        <v>0</v>
      </c>
      <c r="G27" s="691">
        <v>0</v>
      </c>
      <c r="H27" s="691">
        <v>0</v>
      </c>
      <c r="I27" s="691">
        <v>0</v>
      </c>
      <c r="J27" s="691">
        <v>0</v>
      </c>
      <c r="K27" s="692">
        <f t="shared" si="2"/>
        <v>0</v>
      </c>
      <c r="L27" s="639" t="s">
        <v>192</v>
      </c>
      <c r="M27" s="479" t="str">
        <f>IFERROR(VLOOKUP($B27,IDEAGLIO補助ﾘｽﾄ!$B$2:$F$50,3,FALSE),"")</f>
        <v/>
      </c>
      <c r="N27" s="480" t="str">
        <f>IFERROR(VLOOKUP($B27,IDEAGLIO補助ﾘｽﾄ!$B$2:$F$50,5,FALSE),"")</f>
        <v/>
      </c>
      <c r="O27" s="213" t="str">
        <f t="shared" si="3"/>
        <v/>
      </c>
      <c r="P27" s="149"/>
      <c r="Q27" s="910" t="str">
        <f t="shared" si="4"/>
        <v/>
      </c>
      <c r="R27" s="911"/>
      <c r="S27" s="715">
        <f t="shared" si="5"/>
        <v>0</v>
      </c>
      <c r="T27" s="715">
        <f t="shared" si="6"/>
        <v>0</v>
      </c>
      <c r="U27" s="715">
        <f t="shared" si="7"/>
        <v>0</v>
      </c>
      <c r="V27" s="715">
        <f t="shared" si="8"/>
        <v>0</v>
      </c>
      <c r="W27" s="715">
        <f t="shared" si="9"/>
        <v>0</v>
      </c>
      <c r="X27" s="767">
        <f t="shared" si="10"/>
        <v>0</v>
      </c>
      <c r="Y27" s="775" t="str">
        <f>IFERROR(IF(S27=0,"",S27*$AJ$170/('製造(P)'!$K$190+'貯蔵・輸送(ST)'!$K$190+'供給(D)'!$K$190)),"")</f>
        <v/>
      </c>
      <c r="Z27" s="775" t="str">
        <f>IFERROR(IF(T27=0,"",T27*$AJ$170/('製造(P)'!$K$190+'貯蔵・輸送(ST)'!$K$190+'供給(D)'!$K$190)),"")</f>
        <v/>
      </c>
      <c r="AA27" s="775" t="str">
        <f>IFERROR(IF(U27=0,"",U27*$AJ$170/('製造(P)'!$K$190+'貯蔵・輸送(ST)'!$K$190+'供給(D)'!$K$190)),"")</f>
        <v/>
      </c>
      <c r="AB27" s="775" t="str">
        <f>IFERROR(IF(V27=0,"",V27*$AJ$170/('製造(P)'!$K$190+'貯蔵・輸送(ST)'!$K$190+'供給(D)'!$K$190)),"")</f>
        <v/>
      </c>
      <c r="AC27" s="775" t="str">
        <f>IFERROR(IF(W27=0,"",W27*$AJ$170/('製造(P)'!$K$190+'貯蔵・輸送(ST)'!$K$190+'供給(D)'!$K$190)),"")</f>
        <v/>
      </c>
      <c r="AD27" s="778" t="str">
        <f>IFERROR(IF(X27=0,"",X27*$AJ$170/('製造(P)'!$K$190+'貯蔵・輸送(ST)'!$K$190+'供給(D)'!$K$190)),"")</f>
        <v/>
      </c>
      <c r="AE27" s="685"/>
      <c r="AF27" s="812"/>
      <c r="AG27" s="207"/>
      <c r="AH27" s="207"/>
      <c r="AI27" s="59"/>
      <c r="AJ27" s="766"/>
      <c r="AK27" s="765"/>
      <c r="AL27" s="59"/>
      <c r="AM27" s="59"/>
      <c r="AR27" s="149"/>
    </row>
    <row r="28" spans="1:44" ht="15" customHeight="1" thickBot="1">
      <c r="B28" s="907"/>
      <c r="C28" s="908"/>
      <c r="D28" s="909"/>
      <c r="E28" s="478" t="str">
        <f>IFERROR(IF(B28="","",VLOOKUP($B28,IDEAGLIO補助ﾘｽﾄ!$B$2:$F$50,4, FALSE)),"")</f>
        <v/>
      </c>
      <c r="F28" s="691">
        <v>0</v>
      </c>
      <c r="G28" s="691">
        <v>0</v>
      </c>
      <c r="H28" s="691">
        <v>0</v>
      </c>
      <c r="I28" s="691">
        <v>0</v>
      </c>
      <c r="J28" s="691">
        <v>0</v>
      </c>
      <c r="K28" s="692">
        <f t="shared" si="2"/>
        <v>0</v>
      </c>
      <c r="L28" s="639" t="s">
        <v>192</v>
      </c>
      <c r="M28" s="479" t="str">
        <f>IFERROR(VLOOKUP($B28,IDEAGLIO補助ﾘｽﾄ!$B$2:$F$50,3,FALSE),"")</f>
        <v/>
      </c>
      <c r="N28" s="480" t="str">
        <f>IFERROR(VLOOKUP($B28,IDEAGLIO補助ﾘｽﾄ!$B$2:$F$50,5,FALSE),"")</f>
        <v/>
      </c>
      <c r="O28" s="213" t="str">
        <f t="shared" si="3"/>
        <v/>
      </c>
      <c r="P28" s="149"/>
      <c r="Q28" s="910" t="str">
        <f t="shared" si="4"/>
        <v/>
      </c>
      <c r="R28" s="911"/>
      <c r="S28" s="715">
        <f t="shared" si="5"/>
        <v>0</v>
      </c>
      <c r="T28" s="715">
        <f t="shared" si="6"/>
        <v>0</v>
      </c>
      <c r="U28" s="715">
        <f t="shared" si="7"/>
        <v>0</v>
      </c>
      <c r="V28" s="715">
        <f t="shared" si="8"/>
        <v>0</v>
      </c>
      <c r="W28" s="715">
        <f t="shared" si="9"/>
        <v>0</v>
      </c>
      <c r="X28" s="767">
        <f t="shared" si="10"/>
        <v>0</v>
      </c>
      <c r="Y28" s="775" t="str">
        <f>IFERROR(IF(S28=0,"",S28*$AJ$170/('製造(P)'!$K$190+'貯蔵・輸送(ST)'!$K$190+'供給(D)'!$K$190)),"")</f>
        <v/>
      </c>
      <c r="Z28" s="775" t="str">
        <f>IFERROR(IF(T28=0,"",T28*$AJ$170/('製造(P)'!$K$190+'貯蔵・輸送(ST)'!$K$190+'供給(D)'!$K$190)),"")</f>
        <v/>
      </c>
      <c r="AA28" s="775" t="str">
        <f>IFERROR(IF(U28=0,"",U28*$AJ$170/('製造(P)'!$K$190+'貯蔵・輸送(ST)'!$K$190+'供給(D)'!$K$190)),"")</f>
        <v/>
      </c>
      <c r="AB28" s="775" t="str">
        <f>IFERROR(IF(V28=0,"",V28*$AJ$170/('製造(P)'!$K$190+'貯蔵・輸送(ST)'!$K$190+'供給(D)'!$K$190)),"")</f>
        <v/>
      </c>
      <c r="AC28" s="775" t="str">
        <f>IFERROR(IF(W28=0,"",W28*$AJ$170/('製造(P)'!$K$190+'貯蔵・輸送(ST)'!$K$190+'供給(D)'!$K$190)),"")</f>
        <v/>
      </c>
      <c r="AD28" s="778" t="str">
        <f>IFERROR(IF(X28=0,"",X28*$AJ$170/('製造(P)'!$K$190+'貯蔵・輸送(ST)'!$K$190+'供給(D)'!$K$190)),"")</f>
        <v/>
      </c>
      <c r="AE28" s="685"/>
      <c r="AF28" s="812"/>
      <c r="AG28" s="207"/>
      <c r="AH28" s="207"/>
      <c r="AI28" s="59"/>
      <c r="AJ28" s="766"/>
      <c r="AK28" s="765"/>
      <c r="AL28" s="59"/>
      <c r="AM28" s="59"/>
      <c r="AR28" s="149"/>
    </row>
    <row r="29" spans="1:44" ht="15" customHeight="1" thickBot="1">
      <c r="B29" s="907"/>
      <c r="C29" s="908"/>
      <c r="D29" s="909"/>
      <c r="E29" s="478" t="str">
        <f>IFERROR(IF(B29="","",VLOOKUP($B29,IDEAGLIO補助ﾘｽﾄ!$B$2:$F$50,4, FALSE)),"")</f>
        <v/>
      </c>
      <c r="F29" s="691">
        <v>0</v>
      </c>
      <c r="G29" s="691">
        <v>0</v>
      </c>
      <c r="H29" s="691">
        <v>0</v>
      </c>
      <c r="I29" s="691">
        <v>0</v>
      </c>
      <c r="J29" s="691">
        <v>0</v>
      </c>
      <c r="K29" s="692">
        <f t="shared" si="2"/>
        <v>0</v>
      </c>
      <c r="L29" s="639" t="s">
        <v>192</v>
      </c>
      <c r="M29" s="479" t="str">
        <f>IFERROR(VLOOKUP($B29,IDEAGLIO補助ﾘｽﾄ!$B$2:$F$50,3,FALSE),"")</f>
        <v/>
      </c>
      <c r="N29" s="480" t="str">
        <f>IFERROR(VLOOKUP($B29,IDEAGLIO補助ﾘｽﾄ!$B$2:$F$50,5,FALSE),"")</f>
        <v/>
      </c>
      <c r="O29" s="213" t="str">
        <f t="shared" si="3"/>
        <v/>
      </c>
      <c r="P29" s="149"/>
      <c r="Q29" s="910" t="str">
        <f t="shared" si="4"/>
        <v/>
      </c>
      <c r="R29" s="911"/>
      <c r="S29" s="715">
        <f t="shared" si="5"/>
        <v>0</v>
      </c>
      <c r="T29" s="715">
        <f t="shared" si="6"/>
        <v>0</v>
      </c>
      <c r="U29" s="715">
        <f t="shared" si="7"/>
        <v>0</v>
      </c>
      <c r="V29" s="715">
        <f t="shared" si="8"/>
        <v>0</v>
      </c>
      <c r="W29" s="715">
        <f>IFERROR(J29*$N29,0)</f>
        <v>0</v>
      </c>
      <c r="X29" s="767">
        <f t="shared" si="10"/>
        <v>0</v>
      </c>
      <c r="Y29" s="775" t="str">
        <f>IFERROR(IF(S29=0,"",S29*$AJ$170/('製造(P)'!$K$190+'貯蔵・輸送(ST)'!$K$190+'供給(D)'!$K$190)),"")</f>
        <v/>
      </c>
      <c r="Z29" s="775" t="str">
        <f>IFERROR(IF(T29=0,"",T29*$AJ$170/('製造(P)'!$K$190+'貯蔵・輸送(ST)'!$K$190+'供給(D)'!$K$190)),"")</f>
        <v/>
      </c>
      <c r="AA29" s="775" t="str">
        <f>IFERROR(IF(U29=0,"",U29*$AJ$170/('製造(P)'!$K$190+'貯蔵・輸送(ST)'!$K$190+'供給(D)'!$K$190)),"")</f>
        <v/>
      </c>
      <c r="AB29" s="775" t="str">
        <f>IFERROR(IF(V29=0,"",V29*$AJ$170/('製造(P)'!$K$190+'貯蔵・輸送(ST)'!$K$190+'供給(D)'!$K$190)),"")</f>
        <v/>
      </c>
      <c r="AC29" s="775" t="str">
        <f>IFERROR(IF(W29=0,"",W29*$AJ$170/('製造(P)'!$K$190+'貯蔵・輸送(ST)'!$K$190+'供給(D)'!$K$190)),"")</f>
        <v/>
      </c>
      <c r="AD29" s="778" t="str">
        <f>IFERROR(IF(X29=0,"",X29*$AJ$170/('製造(P)'!$K$190+'貯蔵・輸送(ST)'!$K$190+'供給(D)'!$K$190)),"")</f>
        <v/>
      </c>
      <c r="AE29" s="685"/>
      <c r="AF29" s="812"/>
      <c r="AG29" s="207"/>
      <c r="AH29" s="207"/>
      <c r="AI29" s="59"/>
      <c r="AJ29" s="766"/>
      <c r="AK29" s="765"/>
      <c r="AL29" s="59"/>
      <c r="AM29" s="59"/>
      <c r="AR29" s="149"/>
    </row>
    <row r="30" spans="1:44" ht="15" customHeight="1" thickBot="1">
      <c r="B30" s="907"/>
      <c r="C30" s="908"/>
      <c r="D30" s="909"/>
      <c r="E30" s="478" t="str">
        <f>IFERROR(IF(B30="","",VLOOKUP($B30,IDEAGLIO補助ﾘｽﾄ!$B$2:$F$50,4, FALSE)),"")</f>
        <v/>
      </c>
      <c r="F30" s="691">
        <v>0</v>
      </c>
      <c r="G30" s="691">
        <v>0</v>
      </c>
      <c r="H30" s="691">
        <v>0</v>
      </c>
      <c r="I30" s="691">
        <v>0</v>
      </c>
      <c r="J30" s="691">
        <v>0</v>
      </c>
      <c r="K30" s="692">
        <f t="shared" si="2"/>
        <v>0</v>
      </c>
      <c r="L30" s="639" t="s">
        <v>192</v>
      </c>
      <c r="M30" s="479" t="str">
        <f>IFERROR(VLOOKUP($B30,IDEAGLIO補助ﾘｽﾄ!$B$2:$F$50,3,FALSE),"")</f>
        <v/>
      </c>
      <c r="N30" s="480" t="str">
        <f>IFERROR(VLOOKUP($B30,IDEAGLIO補助ﾘｽﾄ!$B$2:$F$50,5,FALSE),"")</f>
        <v/>
      </c>
      <c r="O30" s="213" t="str">
        <f t="shared" si="3"/>
        <v/>
      </c>
      <c r="P30" s="149"/>
      <c r="Q30" s="910" t="str">
        <f t="shared" si="4"/>
        <v/>
      </c>
      <c r="R30" s="911"/>
      <c r="S30" s="715">
        <f t="shared" si="5"/>
        <v>0</v>
      </c>
      <c r="T30" s="715">
        <f t="shared" si="6"/>
        <v>0</v>
      </c>
      <c r="U30" s="715">
        <f t="shared" si="7"/>
        <v>0</v>
      </c>
      <c r="V30" s="715">
        <f t="shared" si="8"/>
        <v>0</v>
      </c>
      <c r="W30" s="715">
        <f t="shared" si="9"/>
        <v>0</v>
      </c>
      <c r="X30" s="767">
        <f t="shared" si="10"/>
        <v>0</v>
      </c>
      <c r="Y30" s="775" t="str">
        <f>IFERROR(IF(S30=0,"",S30*$AJ$170/('製造(P)'!$K$190+'貯蔵・輸送(ST)'!$K$190+'供給(D)'!$K$190)),"")</f>
        <v/>
      </c>
      <c r="Z30" s="775" t="str">
        <f>IFERROR(IF(T30=0,"",T30*$AJ$170/('製造(P)'!$K$190+'貯蔵・輸送(ST)'!$K$190+'供給(D)'!$K$190)),"")</f>
        <v/>
      </c>
      <c r="AA30" s="775" t="str">
        <f>IFERROR(IF(U30=0,"",U30*$AJ$170/('製造(P)'!$K$190+'貯蔵・輸送(ST)'!$K$190+'供給(D)'!$K$190)),"")</f>
        <v/>
      </c>
      <c r="AB30" s="775" t="str">
        <f>IFERROR(IF(V30=0,"",V30*$AJ$170/('製造(P)'!$K$190+'貯蔵・輸送(ST)'!$K$190+'供給(D)'!$K$190)),"")</f>
        <v/>
      </c>
      <c r="AC30" s="775" t="str">
        <f>IFERROR(IF(W30=0,"",W30*$AJ$170/('製造(P)'!$K$190+'貯蔵・輸送(ST)'!$K$190+'供給(D)'!$K$190)),"")</f>
        <v/>
      </c>
      <c r="AD30" s="778" t="str">
        <f>IFERROR(IF(X30=0,"",X30*$AJ$170/('製造(P)'!$K$190+'貯蔵・輸送(ST)'!$K$190+'供給(D)'!$K$190)),"")</f>
        <v/>
      </c>
      <c r="AE30" s="685"/>
      <c r="AF30" s="812"/>
      <c r="AG30" s="207"/>
      <c r="AH30" s="207"/>
      <c r="AI30" s="59"/>
      <c r="AJ30" s="766"/>
      <c r="AK30" s="765"/>
      <c r="AL30" s="59"/>
      <c r="AM30" s="59"/>
      <c r="AR30" s="149"/>
    </row>
    <row r="31" spans="1:44" ht="15" customHeight="1" thickBot="1">
      <c r="B31" s="907"/>
      <c r="C31" s="908"/>
      <c r="D31" s="909"/>
      <c r="E31" s="478" t="str">
        <f>IFERROR(IF(B31="","",VLOOKUP($B31,IDEAGLIO補助ﾘｽﾄ!$B$2:$F$50,4, FALSE)),"")</f>
        <v/>
      </c>
      <c r="F31" s="691">
        <v>0</v>
      </c>
      <c r="G31" s="691">
        <v>0</v>
      </c>
      <c r="H31" s="691">
        <v>0</v>
      </c>
      <c r="I31" s="691">
        <v>0</v>
      </c>
      <c r="J31" s="691">
        <v>0</v>
      </c>
      <c r="K31" s="692">
        <f t="shared" si="0"/>
        <v>0</v>
      </c>
      <c r="L31" s="639" t="s">
        <v>192</v>
      </c>
      <c r="M31" s="479" t="str">
        <f>IFERROR(VLOOKUP($B31,IDEAGLIO補助ﾘｽﾄ!$B$2:$F$50,3,FALSE),"")</f>
        <v/>
      </c>
      <c r="N31" s="480" t="str">
        <f>IFERROR(VLOOKUP($B31,IDEAGLIO補助ﾘｽﾄ!$B$2:$F$50,5,FALSE),"")</f>
        <v/>
      </c>
      <c r="O31" s="213" t="str">
        <f t="shared" ref="O31:O32" si="11">IF(E31="","","[kgCO2/"&amp;E31&amp;"] ")</f>
        <v/>
      </c>
      <c r="P31" s="149"/>
      <c r="Q31" s="910" t="str">
        <f>IF(B31="","",B31)</f>
        <v/>
      </c>
      <c r="R31" s="911"/>
      <c r="S31" s="715">
        <f t="shared" ref="S31:S32" si="12">IFERROR(F31*$N31,0)</f>
        <v>0</v>
      </c>
      <c r="T31" s="715">
        <f t="shared" si="1"/>
        <v>0</v>
      </c>
      <c r="U31" s="715">
        <f t="shared" si="1"/>
        <v>0</v>
      </c>
      <c r="V31" s="715">
        <f t="shared" si="1"/>
        <v>0</v>
      </c>
      <c r="W31" s="715">
        <f t="shared" si="1"/>
        <v>0</v>
      </c>
      <c r="X31" s="767">
        <f t="shared" si="10"/>
        <v>0</v>
      </c>
      <c r="Y31" s="775" t="str">
        <f>IFERROR(IF(S31=0,"",S31*$AJ$170/('製造(P)'!$K$190+'貯蔵・輸送(ST)'!$K$190+'供給(D)'!$K$190)),"")</f>
        <v/>
      </c>
      <c r="Z31" s="775" t="str">
        <f>IFERROR(IF(T31=0,"",T31*$AJ$170/('製造(P)'!$K$190+'貯蔵・輸送(ST)'!$K$190+'供給(D)'!$K$190)),"")</f>
        <v/>
      </c>
      <c r="AA31" s="775" t="str">
        <f>IFERROR(IF(U31=0,"",U31*$AJ$170/('製造(P)'!$K$190+'貯蔵・輸送(ST)'!$K$190+'供給(D)'!$K$190)),"")</f>
        <v/>
      </c>
      <c r="AB31" s="775" t="str">
        <f>IFERROR(IF(V31=0,"",V31*$AJ$170/('製造(P)'!$K$190+'貯蔵・輸送(ST)'!$K$190+'供給(D)'!$K$190)),"")</f>
        <v/>
      </c>
      <c r="AC31" s="775" t="str">
        <f>IFERROR(IF(W31=0,"",W31*$AJ$170/('製造(P)'!$K$190+'貯蔵・輸送(ST)'!$K$190+'供給(D)'!$K$190)),"")</f>
        <v/>
      </c>
      <c r="AD31" s="778" t="str">
        <f>IFERROR(IF(X31=0,"",X31*$AJ$170/('製造(P)'!$K$190+'貯蔵・輸送(ST)'!$K$190+'供給(D)'!$K$190)),"")</f>
        <v/>
      </c>
      <c r="AE31" s="685"/>
      <c r="AF31" s="812"/>
      <c r="AG31" s="207" t="s">
        <v>6937</v>
      </c>
      <c r="AH31" s="207">
        <v>362111000</v>
      </c>
      <c r="AI31" s="59"/>
      <c r="AJ31" s="538">
        <f>VLOOKUP($AH31,IDEAv2原単位!$A$3:$F$4021,6,FALSE)</f>
        <v>0.14873753178233792</v>
      </c>
      <c r="AK31" s="213" t="s">
        <v>140</v>
      </c>
      <c r="AL31" s="59"/>
      <c r="AM31" s="59"/>
      <c r="AR31" s="149"/>
    </row>
    <row r="32" spans="1:44" ht="14.25" customHeight="1" thickBot="1">
      <c r="B32" s="907"/>
      <c r="C32" s="908"/>
      <c r="D32" s="909"/>
      <c r="E32" s="478" t="str">
        <f>IFERROR(IF(B32="","",VLOOKUP($B32,IDEAGLIO補助ﾘｽﾄ!$B$2:$F$50,4, FALSE)),"")</f>
        <v/>
      </c>
      <c r="F32" s="691">
        <v>0</v>
      </c>
      <c r="G32" s="691">
        <v>0</v>
      </c>
      <c r="H32" s="691">
        <v>0</v>
      </c>
      <c r="I32" s="691">
        <v>0</v>
      </c>
      <c r="J32" s="691">
        <v>0</v>
      </c>
      <c r="K32" s="692">
        <f t="shared" ref="K32" si="13">SUM(F32:J32)</f>
        <v>0</v>
      </c>
      <c r="L32" s="639" t="s">
        <v>192</v>
      </c>
      <c r="M32" s="479" t="str">
        <f>IFERROR(VLOOKUP($B32,IDEAGLIO補助ﾘｽﾄ!$B$2:$F$50,3,FALSE),"")</f>
        <v/>
      </c>
      <c r="N32" s="480" t="str">
        <f>IFERROR(VLOOKUP($B32,IDEAGLIO補助ﾘｽﾄ!$B$2:$F$50,5,FALSE),"")</f>
        <v/>
      </c>
      <c r="O32" s="213" t="str">
        <f t="shared" si="11"/>
        <v/>
      </c>
      <c r="P32" s="149"/>
      <c r="Q32" s="910" t="str">
        <f>IF(B32="","",B32)</f>
        <v/>
      </c>
      <c r="R32" s="911"/>
      <c r="S32" s="715">
        <f t="shared" si="12"/>
        <v>0</v>
      </c>
      <c r="T32" s="715">
        <f t="shared" si="1"/>
        <v>0</v>
      </c>
      <c r="U32" s="715">
        <f t="shared" si="1"/>
        <v>0</v>
      </c>
      <c r="V32" s="715">
        <f t="shared" si="1"/>
        <v>0</v>
      </c>
      <c r="W32" s="715">
        <f t="shared" si="1"/>
        <v>0</v>
      </c>
      <c r="X32" s="767">
        <f t="shared" si="10"/>
        <v>0</v>
      </c>
      <c r="Y32" s="775" t="str">
        <f>IFERROR(IF(S32=0,"",S32*$AJ$170/('製造(P)'!$K$190+'貯蔵・輸送(ST)'!$K$190+'供給(D)'!$K$190)),"")</f>
        <v/>
      </c>
      <c r="Z32" s="775" t="str">
        <f>IFERROR(IF(T32=0,"",T32*$AJ$170/('製造(P)'!$K$190+'貯蔵・輸送(ST)'!$K$190+'供給(D)'!$K$190)),"")</f>
        <v/>
      </c>
      <c r="AA32" s="775" t="str">
        <f>IFERROR(IF(U32=0,"",U32*$AJ$170/('製造(P)'!$K$190+'貯蔵・輸送(ST)'!$K$190+'供給(D)'!$K$190)),"")</f>
        <v/>
      </c>
      <c r="AB32" s="775" t="str">
        <f>IFERROR(IF(V32=0,"",V32*$AJ$170/('製造(P)'!$K$190+'貯蔵・輸送(ST)'!$K$190+'供給(D)'!$K$190)),"")</f>
        <v/>
      </c>
      <c r="AC32" s="775" t="str">
        <f>IFERROR(IF(W32=0,"",W32*$AJ$170/('製造(P)'!$K$190+'貯蔵・輸送(ST)'!$K$190+'供給(D)'!$K$190)),"")</f>
        <v/>
      </c>
      <c r="AD32" s="778" t="str">
        <f>IFERROR(IF(X32=0,"",X32*$AJ$170/('製造(P)'!$K$190+'貯蔵・輸送(ST)'!$K$190+'供給(D)'!$K$190)),"")</f>
        <v/>
      </c>
      <c r="AE32" s="685"/>
      <c r="AF32" s="812"/>
      <c r="AG32" s="206"/>
      <c r="AH32" s="206"/>
      <c r="AI32" s="206"/>
      <c r="AJ32" s="492">
        <f>0.019</f>
        <v>1.9E-2</v>
      </c>
      <c r="AK32" s="213" t="s">
        <v>158</v>
      </c>
      <c r="AL32" s="59"/>
      <c r="AM32" s="59"/>
      <c r="AR32" s="149"/>
    </row>
    <row r="33" spans="2:44">
      <c r="B33" s="150"/>
      <c r="C33" s="150"/>
      <c r="D33" s="151"/>
      <c r="E33" s="151"/>
      <c r="F33" s="225"/>
      <c r="G33" s="225"/>
      <c r="H33" s="225"/>
      <c r="I33" s="225"/>
      <c r="J33" s="225"/>
      <c r="K33" s="152"/>
      <c r="L33" s="152"/>
      <c r="M33" s="152"/>
      <c r="N33" s="322"/>
      <c r="O33" s="153"/>
      <c r="P33" s="149"/>
      <c r="Q33" s="147" t="s">
        <v>144</v>
      </c>
      <c r="R33" s="148"/>
      <c r="S33" s="767">
        <f>SUM(S23:S32)</f>
        <v>0</v>
      </c>
      <c r="T33" s="767">
        <f t="shared" ref="T33:X33" si="14">SUM(T23:T32)</f>
        <v>0</v>
      </c>
      <c r="U33" s="767">
        <f t="shared" si="14"/>
        <v>0</v>
      </c>
      <c r="V33" s="767">
        <f t="shared" si="14"/>
        <v>0</v>
      </c>
      <c r="W33" s="767">
        <f t="shared" si="14"/>
        <v>0</v>
      </c>
      <c r="X33" s="767">
        <f t="shared" si="14"/>
        <v>0</v>
      </c>
      <c r="Y33" s="775">
        <f>IFERROR(S33*$AJ$170/('製造(P)'!$K$190+'貯蔵・輸送(ST)'!$K$190+'供給(D)'!$K$190),"")</f>
        <v>0</v>
      </c>
      <c r="Z33" s="775">
        <f>IFERROR(T33*$AJ$170/('製造(P)'!$K$190+'貯蔵・輸送(ST)'!$K$190+'供給(D)'!$K$190),"")</f>
        <v>0</v>
      </c>
      <c r="AA33" s="775">
        <f>IFERROR(U33*$AJ$170/('製造(P)'!$K$190+'貯蔵・輸送(ST)'!$K$190+'供給(D)'!$K$190),"")</f>
        <v>0</v>
      </c>
      <c r="AB33" s="775">
        <f>IFERROR(V33*$AJ$170/('製造(P)'!$K$190+'貯蔵・輸送(ST)'!$K$190+'供給(D)'!$K$190),"")</f>
        <v>0</v>
      </c>
      <c r="AC33" s="775">
        <f>IFERROR(W33*$AJ$170/('製造(P)'!$K$190+'貯蔵・輸送(ST)'!$K$190+'供給(D)'!$K$190),"")</f>
        <v>0</v>
      </c>
      <c r="AD33" s="775">
        <f>IFERROR(X33*$AJ$170/('製造(P)'!$K$190+'貯蔵・輸送(ST)'!$K$190+'供給(D)'!$K$190),"")</f>
        <v>0</v>
      </c>
      <c r="AE33" s="793"/>
      <c r="AF33" s="812"/>
      <c r="AG33" s="59"/>
      <c r="AH33" s="59"/>
      <c r="AI33" s="59"/>
      <c r="AJ33" s="534"/>
      <c r="AK33" s="212"/>
      <c r="AL33" s="59"/>
      <c r="AM33" s="59"/>
      <c r="AR33" s="149"/>
    </row>
    <row r="34" spans="2:44">
      <c r="B34" s="149"/>
      <c r="C34" s="149"/>
      <c r="D34" s="149"/>
      <c r="E34" s="149"/>
      <c r="F34" s="220"/>
      <c r="G34" s="220"/>
      <c r="H34" s="220"/>
      <c r="I34" s="220"/>
      <c r="J34" s="220"/>
      <c r="K34" s="149"/>
      <c r="L34" s="149"/>
      <c r="M34" s="149"/>
      <c r="N34" s="320"/>
      <c r="O34" s="149"/>
      <c r="P34" s="149"/>
      <c r="Q34" s="149"/>
      <c r="R34" s="149"/>
      <c r="S34" s="220"/>
      <c r="T34" s="220"/>
      <c r="U34" s="220"/>
      <c r="V34" s="220"/>
      <c r="W34" s="220"/>
      <c r="X34" s="220"/>
      <c r="Y34" s="355"/>
      <c r="Z34" s="355"/>
      <c r="AA34" s="355"/>
      <c r="AB34" s="355"/>
      <c r="AC34" s="355"/>
      <c r="AD34" s="355"/>
      <c r="AE34" s="805"/>
      <c r="AF34" s="355"/>
      <c r="AG34" s="149"/>
      <c r="AH34" s="149"/>
      <c r="AI34" s="149"/>
      <c r="AJ34" s="534"/>
      <c r="AK34" s="212"/>
      <c r="AL34" s="59"/>
      <c r="AM34" s="59"/>
      <c r="AR34" s="149"/>
    </row>
    <row r="35" spans="2:44">
      <c r="B35" s="915" t="s">
        <v>7732</v>
      </c>
      <c r="C35" s="915"/>
      <c r="D35" s="915"/>
      <c r="E35" s="915"/>
      <c r="F35" s="915"/>
      <c r="G35" s="915"/>
      <c r="H35" s="915"/>
      <c r="I35" s="915"/>
      <c r="J35" s="915"/>
      <c r="K35" s="915"/>
      <c r="L35" s="915"/>
      <c r="M35" s="915"/>
      <c r="N35" s="915"/>
      <c r="O35" s="915"/>
      <c r="P35" s="149"/>
      <c r="Q35" s="966" t="s">
        <v>7733</v>
      </c>
      <c r="R35" s="966"/>
      <c r="S35" s="966"/>
      <c r="T35" s="966"/>
      <c r="U35" s="966"/>
      <c r="V35" s="966"/>
      <c r="W35" s="966"/>
      <c r="X35" s="966"/>
      <c r="Y35" s="966"/>
      <c r="Z35" s="966"/>
      <c r="AA35" s="966"/>
      <c r="AB35" s="966"/>
      <c r="AC35" s="966"/>
      <c r="AD35" s="966"/>
      <c r="AE35" s="809"/>
      <c r="AF35" s="770"/>
      <c r="AG35" s="149"/>
      <c r="AH35" s="149"/>
      <c r="AI35" s="149"/>
      <c r="AJ35" s="492"/>
      <c r="AK35" s="213"/>
      <c r="AL35" s="59"/>
      <c r="AM35" s="59"/>
      <c r="AR35" s="149"/>
    </row>
    <row r="36" spans="2:44" s="149" customFormat="1">
      <c r="F36" s="220"/>
      <c r="G36" s="220"/>
      <c r="H36" s="220"/>
      <c r="I36" s="220"/>
      <c r="J36" s="220"/>
      <c r="N36" s="320"/>
      <c r="S36" s="220"/>
      <c r="T36" s="220"/>
      <c r="U36" s="220"/>
      <c r="V36" s="220"/>
      <c r="W36" s="220"/>
      <c r="X36" s="220"/>
      <c r="Y36" s="355"/>
      <c r="Z36" s="355"/>
      <c r="AA36" s="355"/>
      <c r="AB36" s="355"/>
      <c r="AC36" s="355"/>
      <c r="AD36" s="355"/>
      <c r="AE36" s="805"/>
      <c r="AF36" s="355"/>
      <c r="AJ36" s="534"/>
      <c r="AK36" s="212"/>
    </row>
    <row r="37" spans="2:44" ht="14.25" customHeight="1">
      <c r="B37" s="1027" t="s">
        <v>7660</v>
      </c>
      <c r="C37" s="1028"/>
      <c r="D37" s="1027"/>
      <c r="E37" s="1027"/>
      <c r="F37" s="938" t="s">
        <v>7669</v>
      </c>
      <c r="G37" s="939"/>
      <c r="H37" s="939"/>
      <c r="I37" s="939"/>
      <c r="J37" s="939"/>
      <c r="K37" s="940"/>
      <c r="L37" s="1029" t="s">
        <v>136</v>
      </c>
      <c r="M37" s="943" t="s">
        <v>210</v>
      </c>
      <c r="N37" s="944"/>
      <c r="O37" s="945"/>
      <c r="P37" s="149"/>
      <c r="Q37" s="1027" t="s">
        <v>6977</v>
      </c>
      <c r="R37" s="1027"/>
      <c r="S37" s="933" t="s">
        <v>7666</v>
      </c>
      <c r="T37" s="934"/>
      <c r="U37" s="934"/>
      <c r="V37" s="934"/>
      <c r="W37" s="934"/>
      <c r="X37" s="934"/>
      <c r="Y37" s="955" t="s">
        <v>7543</v>
      </c>
      <c r="Z37" s="956"/>
      <c r="AA37" s="956"/>
      <c r="AB37" s="956"/>
      <c r="AC37" s="956"/>
      <c r="AD37" s="956"/>
      <c r="AE37" s="904" t="s">
        <v>7919</v>
      </c>
      <c r="AF37" s="771"/>
      <c r="AG37" s="59"/>
      <c r="AH37" s="59"/>
      <c r="AI37" s="59"/>
      <c r="AJ37" s="492"/>
      <c r="AK37" s="213"/>
      <c r="AL37" s="59"/>
      <c r="AM37" s="59"/>
      <c r="AR37" s="149"/>
    </row>
    <row r="38" spans="2:44">
      <c r="B38" s="1027"/>
      <c r="C38" s="1028"/>
      <c r="D38" s="1027"/>
      <c r="E38" s="1027"/>
      <c r="F38" s="312" t="s">
        <v>7426</v>
      </c>
      <c r="G38" s="312" t="s">
        <v>7427</v>
      </c>
      <c r="H38" s="312" t="s">
        <v>7428</v>
      </c>
      <c r="I38" s="312" t="s">
        <v>7429</v>
      </c>
      <c r="J38" s="312" t="s">
        <v>7430</v>
      </c>
      <c r="K38" s="313" t="s">
        <v>7431</v>
      </c>
      <c r="L38" s="974"/>
      <c r="M38" s="946"/>
      <c r="N38" s="947"/>
      <c r="O38" s="948"/>
      <c r="P38" s="149"/>
      <c r="Q38" s="1027"/>
      <c r="R38" s="1027"/>
      <c r="S38" s="312" t="s">
        <v>7426</v>
      </c>
      <c r="T38" s="312" t="s">
        <v>7427</v>
      </c>
      <c r="U38" s="312" t="s">
        <v>7428</v>
      </c>
      <c r="V38" s="312" t="s">
        <v>7429</v>
      </c>
      <c r="W38" s="312" t="s">
        <v>7430</v>
      </c>
      <c r="X38" s="313" t="s">
        <v>7431</v>
      </c>
      <c r="Y38" s="312" t="s">
        <v>7426</v>
      </c>
      <c r="Z38" s="312" t="s">
        <v>7427</v>
      </c>
      <c r="AA38" s="312" t="s">
        <v>7428</v>
      </c>
      <c r="AB38" s="312" t="s">
        <v>7429</v>
      </c>
      <c r="AC38" s="312" t="s">
        <v>7430</v>
      </c>
      <c r="AD38" s="774" t="s">
        <v>7431</v>
      </c>
      <c r="AE38" s="905"/>
      <c r="AF38" s="364"/>
      <c r="AG38" s="59"/>
      <c r="AH38" s="59"/>
      <c r="AI38" s="59"/>
      <c r="AJ38" s="492"/>
      <c r="AK38" s="213"/>
      <c r="AL38" s="59"/>
      <c r="AM38" s="59"/>
      <c r="AR38" s="149"/>
    </row>
    <row r="39" spans="2:44">
      <c r="B39" s="967" t="s">
        <v>162</v>
      </c>
      <c r="C39" s="968"/>
      <c r="D39" s="968"/>
      <c r="E39" s="399" t="s">
        <v>47</v>
      </c>
      <c r="F39" s="691">
        <v>0</v>
      </c>
      <c r="G39" s="691">
        <v>0</v>
      </c>
      <c r="H39" s="691">
        <v>0</v>
      </c>
      <c r="I39" s="691">
        <v>0</v>
      </c>
      <c r="J39" s="691">
        <v>0</v>
      </c>
      <c r="K39" s="693">
        <f t="shared" ref="K39:K52" si="15">SUM(F39:J39)</f>
        <v>0</v>
      </c>
      <c r="L39" s="639" t="s">
        <v>192</v>
      </c>
      <c r="M39" s="481" t="s">
        <v>7582</v>
      </c>
      <c r="N39" s="482">
        <f>共通データ!O40</f>
        <v>0.57899999999999996</v>
      </c>
      <c r="O39" s="402" t="s">
        <v>51</v>
      </c>
      <c r="P39" s="149"/>
      <c r="Q39" s="60" t="s">
        <v>162</v>
      </c>
      <c r="R39" s="398"/>
      <c r="S39" s="715">
        <f>IFERROR(F39*$N39,0)</f>
        <v>0</v>
      </c>
      <c r="T39" s="715">
        <f t="shared" ref="T39:W39" si="16">IFERROR(G39*$N39,0)</f>
        <v>0</v>
      </c>
      <c r="U39" s="715">
        <f t="shared" si="16"/>
        <v>0</v>
      </c>
      <c r="V39" s="715">
        <f t="shared" si="16"/>
        <v>0</v>
      </c>
      <c r="W39" s="715">
        <f t="shared" si="16"/>
        <v>0</v>
      </c>
      <c r="X39" s="716">
        <f t="shared" ref="X39:X52" si="17">SUM(S39:W39)</f>
        <v>0</v>
      </c>
      <c r="Y39" s="354" t="str">
        <f>IFERROR(IF(S39=0,"",S39*$AJ$170/('製造(P)'!$K$190+'貯蔵・輸送(ST)'!$K$190+'供給(D)'!$K$190)),"")</f>
        <v/>
      </c>
      <c r="Z39" s="354" t="str">
        <f>IFERROR(IF(T39=0,"",T39*$AJ$170/('製造(P)'!$K$190+'貯蔵・輸送(ST)'!$K$190+'供給(D)'!$K$190)),"")</f>
        <v/>
      </c>
      <c r="AA39" s="354" t="str">
        <f>IFERROR(IF(U39=0,"",U39*$AJ$170/('製造(P)'!$K$190+'貯蔵・輸送(ST)'!$K$190+'供給(D)'!$K$190)),"")</f>
        <v/>
      </c>
      <c r="AB39" s="354" t="str">
        <f>IFERROR(IF(V39=0,"",V39*$AJ$170/('製造(P)'!$K$190+'貯蔵・輸送(ST)'!$K$190+'供給(D)'!$K$190)),"")</f>
        <v/>
      </c>
      <c r="AC39" s="354" t="str">
        <f>IFERROR(IF(W39=0,"",W39*$AJ$170/('製造(P)'!$K$190+'貯蔵・輸送(ST)'!$K$190+'供給(D)'!$K$190)),"")</f>
        <v/>
      </c>
      <c r="AD39" s="778" t="str">
        <f>IFERROR(IF(X39=0,"",X39*$AJ$170/('製造(P)'!$K$190+'貯蔵・輸送(ST)'!$K$190+'供給(D)'!$K$190)),"")</f>
        <v/>
      </c>
      <c r="AE39" s="685"/>
      <c r="AF39" s="356"/>
      <c r="AG39" s="59"/>
      <c r="AH39" s="59"/>
      <c r="AI39" s="59"/>
      <c r="AJ39" s="539">
        <f>共通データ!AI40</f>
        <v>0</v>
      </c>
      <c r="AK39" s="213" t="s">
        <v>51</v>
      </c>
      <c r="AL39" s="59"/>
      <c r="AM39" s="59"/>
      <c r="AR39" s="149"/>
    </row>
    <row r="40" spans="2:44">
      <c r="B40" s="967" t="s">
        <v>151</v>
      </c>
      <c r="C40" s="968"/>
      <c r="D40" s="968"/>
      <c r="E40" s="641" t="s">
        <v>6942</v>
      </c>
      <c r="F40" s="691">
        <v>0</v>
      </c>
      <c r="G40" s="691">
        <v>0</v>
      </c>
      <c r="H40" s="691">
        <v>0</v>
      </c>
      <c r="I40" s="691">
        <v>0</v>
      </c>
      <c r="J40" s="691">
        <v>0</v>
      </c>
      <c r="K40" s="692">
        <f t="shared" si="15"/>
        <v>0</v>
      </c>
      <c r="L40" s="639" t="s">
        <v>192</v>
      </c>
      <c r="M40" s="481" t="str">
        <f>VLOOKUP(AH40,IDEAv2原単位!$A$3:$F$4021,2,FALSE)</f>
        <v>都市ガス13Aの燃焼エネルギー</v>
      </c>
      <c r="N40" s="483">
        <f>IF(E40="[Nm3]",VLOOKUP($AH40,IDEAv2原単位!$A$3:$F$4021,6,FALSE)*共通データ!F20,IF(E40="[1000Nm3]",VLOOKUP($AH40,IDEAv2原単位!$A$3:$F$4021,6,FALSE)*共通データ!F20*1000,VLOOKUP($AH40,IDEAv2原単位!$A$3:$F$4021,6,FALSE)*共通データ!F17/共通データ!E17))</f>
        <v>6.7120095196827045E-2</v>
      </c>
      <c r="O40" s="371" t="str">
        <f t="shared" ref="O40:O48" si="18">"[kgCO2/"&amp;MID(E40,2,(LENB(E40)-1))</f>
        <v>[kgCO2/MJ]</v>
      </c>
      <c r="P40" s="149"/>
      <c r="Q40" s="62" t="s">
        <v>151</v>
      </c>
      <c r="R40" s="398"/>
      <c r="S40" s="715">
        <f t="shared" ref="S40:S52" si="19">IFERROR(F40*$N40,0)</f>
        <v>0</v>
      </c>
      <c r="T40" s="715">
        <f t="shared" ref="T40:T52" si="20">IFERROR(G40*$N40,0)</f>
        <v>0</v>
      </c>
      <c r="U40" s="715">
        <f t="shared" ref="U40:U52" si="21">IFERROR(H40*$N40,0)</f>
        <v>0</v>
      </c>
      <c r="V40" s="715">
        <f t="shared" ref="V40:V52" si="22">IFERROR(I40*$N40,0)</f>
        <v>0</v>
      </c>
      <c r="W40" s="715">
        <f t="shared" ref="W40:W52" si="23">IFERROR(J40*$N40,0)</f>
        <v>0</v>
      </c>
      <c r="X40" s="705">
        <f t="shared" si="17"/>
        <v>0</v>
      </c>
      <c r="Y40" s="354" t="str">
        <f>IFERROR(IF(S40=0,"",S40*$AJ$170/('製造(P)'!$K$190+'貯蔵・輸送(ST)'!$K$190+'供給(D)'!$K$190)),"")</f>
        <v/>
      </c>
      <c r="Z40" s="354" t="str">
        <f>IFERROR(IF(T40=0,"",T40*$AJ$170/('製造(P)'!$K$190+'貯蔵・輸送(ST)'!$K$190+'供給(D)'!$K$190)),"")</f>
        <v/>
      </c>
      <c r="AA40" s="354" t="str">
        <f>IFERROR(IF(U40=0,"",U40*$AJ$170/('製造(P)'!$K$190+'貯蔵・輸送(ST)'!$K$190+'供給(D)'!$K$190)),"")</f>
        <v/>
      </c>
      <c r="AB40" s="354" t="str">
        <f>IFERROR(IF(V40=0,"",V40*$AJ$170/('製造(P)'!$K$190+'貯蔵・輸送(ST)'!$K$190+'供給(D)'!$K$190)),"")</f>
        <v/>
      </c>
      <c r="AC40" s="354" t="str">
        <f>IFERROR(IF(W40=0,"",W40*$AJ$170/('製造(P)'!$K$190+'貯蔵・輸送(ST)'!$K$190+'供給(D)'!$K$190)),"")</f>
        <v/>
      </c>
      <c r="AD40" s="778" t="str">
        <f>IFERROR(IF(X40=0,"",X40*$AJ$170/('製造(P)'!$K$190+'貯蔵・輸送(ST)'!$K$190+'供給(D)'!$K$190)),"")</f>
        <v/>
      </c>
      <c r="AE40" s="685"/>
      <c r="AF40" s="356"/>
      <c r="AG40" s="207" t="s">
        <v>151</v>
      </c>
      <c r="AH40" s="206">
        <v>341111801</v>
      </c>
      <c r="AI40" s="206"/>
      <c r="AJ40" s="539">
        <f>ROUND(共通データ!$E$20*VLOOKUP($AH40,IDEAv2原単位!$A$3:$F$4021,6,FALSE),2)</f>
        <v>2.54</v>
      </c>
      <c r="AK40" s="213" t="s">
        <v>52</v>
      </c>
      <c r="AL40" s="59"/>
      <c r="AM40" s="59"/>
      <c r="AR40" s="149"/>
    </row>
    <row r="41" spans="2:44" ht="14.25" customHeight="1">
      <c r="B41" s="967" t="s">
        <v>7578</v>
      </c>
      <c r="C41" s="968"/>
      <c r="D41" s="968"/>
      <c r="E41" s="641" t="s">
        <v>2130</v>
      </c>
      <c r="F41" s="691">
        <v>0</v>
      </c>
      <c r="G41" s="691">
        <v>0</v>
      </c>
      <c r="H41" s="691">
        <v>0</v>
      </c>
      <c r="I41" s="691">
        <v>0</v>
      </c>
      <c r="J41" s="691">
        <v>0</v>
      </c>
      <c r="K41" s="692">
        <f t="shared" si="15"/>
        <v>0</v>
      </c>
      <c r="L41" s="639" t="s">
        <v>192</v>
      </c>
      <c r="M41" s="481" t="str">
        <f>VLOOKUP(AH41,IDEAv2原単位!$A$3:$F$4021,2,FALSE)</f>
        <v>一般炭の燃焼エネルギー</v>
      </c>
      <c r="N41" s="483">
        <f>IF(E41="[kg]", VLOOKUP($AH41,IDEAv2原単位!$A$3:$F$4021,6,FALSE)*共通データ!I4, IF(E41="[t]",VLOOKUP($AH41,IDEAv2原単位!$A$3:$F$4021,6,FALSE)*共通データ!I4*1000, VLOOKUP($AH41,IDEAv2原単位!$A$3:$F$4021,6,FALSE)*共通データ!F4/共通データ!E4))</f>
        <v>2.5701269692756372</v>
      </c>
      <c r="O41" s="371" t="str">
        <f t="shared" si="18"/>
        <v>[kgCO2/kg]</v>
      </c>
      <c r="P41" s="149"/>
      <c r="Q41" s="62" t="s">
        <v>152</v>
      </c>
      <c r="R41" s="64"/>
      <c r="S41" s="715">
        <f t="shared" si="19"/>
        <v>0</v>
      </c>
      <c r="T41" s="715">
        <f t="shared" si="20"/>
        <v>0</v>
      </c>
      <c r="U41" s="715">
        <f t="shared" si="21"/>
        <v>0</v>
      </c>
      <c r="V41" s="715">
        <f t="shared" si="22"/>
        <v>0</v>
      </c>
      <c r="W41" s="715">
        <f t="shared" si="23"/>
        <v>0</v>
      </c>
      <c r="X41" s="705">
        <f t="shared" si="17"/>
        <v>0</v>
      </c>
      <c r="Y41" s="354" t="str">
        <f>IFERROR(IF(S41=0,"",S41*$AJ$170/('製造(P)'!$K$190+'貯蔵・輸送(ST)'!$K$190+'供給(D)'!$K$190)),"")</f>
        <v/>
      </c>
      <c r="Z41" s="354" t="str">
        <f>IFERROR(IF(T41=0,"",T41*$AJ$170/('製造(P)'!$K$190+'貯蔵・輸送(ST)'!$K$190+'供給(D)'!$K$190)),"")</f>
        <v/>
      </c>
      <c r="AA41" s="354" t="str">
        <f>IFERROR(IF(U41=0,"",U41*$AJ$170/('製造(P)'!$K$190+'貯蔵・輸送(ST)'!$K$190+'供給(D)'!$K$190)),"")</f>
        <v/>
      </c>
      <c r="AB41" s="354" t="str">
        <f>IFERROR(IF(V41=0,"",V41*$AJ$170/('製造(P)'!$K$190+'貯蔵・輸送(ST)'!$K$190+'供給(D)'!$K$190)),"")</f>
        <v/>
      </c>
      <c r="AC41" s="354" t="str">
        <f>IFERROR(IF(W41=0,"",W41*$AJ$170/('製造(P)'!$K$190+'貯蔵・輸送(ST)'!$K$190+'供給(D)'!$K$190)),"")</f>
        <v/>
      </c>
      <c r="AD41" s="778" t="str">
        <f>IFERROR(IF(X41=0,"",X41*$AJ$170/('製造(P)'!$K$190+'貯蔵・輸送(ST)'!$K$190+'供給(D)'!$K$190)),"")</f>
        <v/>
      </c>
      <c r="AE41" s="685"/>
      <c r="AF41" s="356"/>
      <c r="AG41" s="207" t="s">
        <v>152</v>
      </c>
      <c r="AH41" s="206">
        <v>51112801</v>
      </c>
      <c r="AI41" s="206"/>
      <c r="AJ41" s="492">
        <f>ROUND(共通データ!$E$4*VLOOKUP($AH41,IDEAv2原単位!$A$3:$F$4021,6,FALSE),2)</f>
        <v>2.44</v>
      </c>
      <c r="AK41" s="213" t="s">
        <v>54</v>
      </c>
      <c r="AL41" s="59"/>
      <c r="AM41" s="59"/>
      <c r="AR41" s="149"/>
    </row>
    <row r="42" spans="2:44">
      <c r="B42" s="967" t="s">
        <v>43</v>
      </c>
      <c r="C42" s="968"/>
      <c r="D42" s="968"/>
      <c r="E42" s="641" t="s">
        <v>6942</v>
      </c>
      <c r="F42" s="691">
        <v>0</v>
      </c>
      <c r="G42" s="691">
        <v>0</v>
      </c>
      <c r="H42" s="691">
        <v>0</v>
      </c>
      <c r="I42" s="691">
        <v>0</v>
      </c>
      <c r="J42" s="691">
        <v>0</v>
      </c>
      <c r="K42" s="692">
        <f t="shared" si="15"/>
        <v>0</v>
      </c>
      <c r="L42" s="639" t="s">
        <v>192</v>
      </c>
      <c r="M42" s="481" t="str">
        <f>VLOOKUP(AH42,IDEAv2原単位!$A$3:$F$4021,2,FALSE)</f>
        <v>液化石油ガス（LPG）の燃焼エネルギー</v>
      </c>
      <c r="N42" s="483">
        <f>IF(E42="[kg]", VLOOKUP($AH42,IDEAv2原単位!$A$3:$F$4021,6,FALSE)*共通データ!I16, IF(E42="[t]",VLOOKUP($AH42,IDEAv2原単位!$A$3:$F$4021,6,FALSE)*共通データ!I16*1000, VLOOKUP($AH42,IDEAv2原単位!$A$3:$F$4021,6,FALSE)*共通データ!F16/共通データ!E16))</f>
        <v>8.2090470493629775E-2</v>
      </c>
      <c r="O42" s="371" t="str">
        <f t="shared" si="18"/>
        <v>[kgCO2/MJ]</v>
      </c>
      <c r="P42" s="149"/>
      <c r="Q42" s="62" t="s">
        <v>43</v>
      </c>
      <c r="R42" s="64"/>
      <c r="S42" s="715">
        <f t="shared" si="19"/>
        <v>0</v>
      </c>
      <c r="T42" s="715">
        <f t="shared" si="20"/>
        <v>0</v>
      </c>
      <c r="U42" s="715">
        <f t="shared" si="21"/>
        <v>0</v>
      </c>
      <c r="V42" s="715">
        <f t="shared" si="22"/>
        <v>0</v>
      </c>
      <c r="W42" s="715">
        <f t="shared" si="23"/>
        <v>0</v>
      </c>
      <c r="X42" s="705">
        <f t="shared" si="17"/>
        <v>0</v>
      </c>
      <c r="Y42" s="354" t="str">
        <f>IFERROR(IF(S42=0,"",S42*$AJ$170/('製造(P)'!$K$190+'貯蔵・輸送(ST)'!$K$190+'供給(D)'!$K$190)),"")</f>
        <v/>
      </c>
      <c r="Z42" s="354" t="str">
        <f>IFERROR(IF(T42=0,"",T42*$AJ$170/('製造(P)'!$K$190+'貯蔵・輸送(ST)'!$K$190+'供給(D)'!$K$190)),"")</f>
        <v/>
      </c>
      <c r="AA42" s="354" t="str">
        <f>IFERROR(IF(U42=0,"",U42*$AJ$170/('製造(P)'!$K$190+'貯蔵・輸送(ST)'!$K$190+'供給(D)'!$K$190)),"")</f>
        <v/>
      </c>
      <c r="AB42" s="354" t="str">
        <f>IFERROR(IF(V42=0,"",V42*$AJ$170/('製造(P)'!$K$190+'貯蔵・輸送(ST)'!$K$190+'供給(D)'!$K$190)),"")</f>
        <v/>
      </c>
      <c r="AC42" s="354" t="str">
        <f>IFERROR(IF(W42=0,"",W42*$AJ$170/('製造(P)'!$K$190+'貯蔵・輸送(ST)'!$K$190+'供給(D)'!$K$190)),"")</f>
        <v/>
      </c>
      <c r="AD42" s="778" t="str">
        <f>IFERROR(IF(X42=0,"",X42*$AJ$170/('製造(P)'!$K$190+'貯蔵・輸送(ST)'!$K$190+'供給(D)'!$K$190)),"")</f>
        <v/>
      </c>
      <c r="AE42" s="685"/>
      <c r="AF42" s="356"/>
      <c r="AG42" s="207" t="s">
        <v>43</v>
      </c>
      <c r="AH42" s="206">
        <v>181124801</v>
      </c>
      <c r="AI42" s="206"/>
      <c r="AJ42" s="539">
        <f>ROUND(共通データ!$H$16*VLOOKUP($AH42,IDEAv2原単位!$A$3:$F$4021,6,FALSE),2)</f>
        <v>3.54</v>
      </c>
      <c r="AK42" s="213" t="s">
        <v>54</v>
      </c>
      <c r="AL42" s="59"/>
      <c r="AM42" s="59"/>
      <c r="AR42" s="149"/>
    </row>
    <row r="43" spans="2:44">
      <c r="B43" s="967" t="s">
        <v>7579</v>
      </c>
      <c r="C43" s="968"/>
      <c r="D43" s="968"/>
      <c r="E43" s="641" t="s">
        <v>6942</v>
      </c>
      <c r="F43" s="691">
        <v>0</v>
      </c>
      <c r="G43" s="691">
        <v>0</v>
      </c>
      <c r="H43" s="691">
        <v>0</v>
      </c>
      <c r="I43" s="691">
        <v>0</v>
      </c>
      <c r="J43" s="691">
        <v>0</v>
      </c>
      <c r="K43" s="692">
        <f t="shared" si="15"/>
        <v>0</v>
      </c>
      <c r="L43" s="639" t="s">
        <v>192</v>
      </c>
      <c r="M43" s="481" t="str">
        <f>VLOOKUP(AH43,IDEAv2原単位!$A$3:$F$4021,2,FALSE)</f>
        <v>LNGの燃焼エネルギー</v>
      </c>
      <c r="N43" s="483">
        <f>IF(E43="[kg]", VLOOKUP($AH43,IDEAv2原単位!$A$3:$F$4021,6,FALSE)*共通データ!I18, IF(E43="[t]",VLOOKUP($AH43,IDEAv2原単位!$A$3:$F$4021,6,FALSE)*共通データ!I18*1000, VLOOKUP($AH43,IDEAv2原単位!$A$3:$F$4021,6,FALSE)*共通データ!F18/共通データ!E18))</f>
        <v>6.8475238043060854E-2</v>
      </c>
      <c r="O43" s="371" t="str">
        <f t="shared" si="18"/>
        <v>[kgCO2/MJ]</v>
      </c>
      <c r="P43" s="149"/>
      <c r="Q43" s="62" t="s">
        <v>44</v>
      </c>
      <c r="R43" s="64"/>
      <c r="S43" s="715">
        <f t="shared" si="19"/>
        <v>0</v>
      </c>
      <c r="T43" s="715">
        <f t="shared" si="20"/>
        <v>0</v>
      </c>
      <c r="U43" s="715">
        <f t="shared" si="21"/>
        <v>0</v>
      </c>
      <c r="V43" s="715">
        <f t="shared" si="22"/>
        <v>0</v>
      </c>
      <c r="W43" s="715">
        <f t="shared" si="23"/>
        <v>0</v>
      </c>
      <c r="X43" s="705">
        <f t="shared" si="17"/>
        <v>0</v>
      </c>
      <c r="Y43" s="354" t="str">
        <f>IFERROR(IF(S43=0,"",S43*$AJ$170/('製造(P)'!$K$190+'貯蔵・輸送(ST)'!$K$190+'供給(D)'!$K$190)),"")</f>
        <v/>
      </c>
      <c r="Z43" s="354" t="str">
        <f>IFERROR(IF(T43=0,"",T43*$AJ$170/('製造(P)'!$K$190+'貯蔵・輸送(ST)'!$K$190+'供給(D)'!$K$190)),"")</f>
        <v/>
      </c>
      <c r="AA43" s="354" t="str">
        <f>IFERROR(IF(U43=0,"",U43*$AJ$170/('製造(P)'!$K$190+'貯蔵・輸送(ST)'!$K$190+'供給(D)'!$K$190)),"")</f>
        <v/>
      </c>
      <c r="AB43" s="354" t="str">
        <f>IFERROR(IF(V43=0,"",V43*$AJ$170/('製造(P)'!$K$190+'貯蔵・輸送(ST)'!$K$190+'供給(D)'!$K$190)),"")</f>
        <v/>
      </c>
      <c r="AC43" s="354" t="str">
        <f>IFERROR(IF(W43=0,"",W43*$AJ$170/('製造(P)'!$K$190+'貯蔵・輸送(ST)'!$K$190+'供給(D)'!$K$190)),"")</f>
        <v/>
      </c>
      <c r="AD43" s="778" t="str">
        <f>IFERROR(IF(X43=0,"",X43*$AJ$170/('製造(P)'!$K$190+'貯蔵・輸送(ST)'!$K$190+'供給(D)'!$K$190)),"")</f>
        <v/>
      </c>
      <c r="AE43" s="685"/>
      <c r="AF43" s="356"/>
      <c r="AG43" s="207" t="s">
        <v>44</v>
      </c>
      <c r="AH43" s="206">
        <v>52112802</v>
      </c>
      <c r="AI43" s="206"/>
      <c r="AJ43" s="539">
        <f>ROUND(共通データ!$H$18*VLOOKUP($AH43,IDEAv2原単位!$A$3:$F$4021,6,FALSE),2)</f>
        <v>3.02</v>
      </c>
      <c r="AK43" s="213" t="s">
        <v>52</v>
      </c>
      <c r="AL43" s="59"/>
      <c r="AM43" s="59"/>
      <c r="AR43" s="149"/>
    </row>
    <row r="44" spans="2:44">
      <c r="B44" s="967" t="s">
        <v>153</v>
      </c>
      <c r="C44" s="968"/>
      <c r="D44" s="968"/>
      <c r="E44" s="641" t="s">
        <v>7745</v>
      </c>
      <c r="F44" s="691">
        <v>0</v>
      </c>
      <c r="G44" s="691">
        <v>0</v>
      </c>
      <c r="H44" s="691">
        <v>0</v>
      </c>
      <c r="I44" s="691">
        <v>0</v>
      </c>
      <c r="J44" s="691">
        <v>0</v>
      </c>
      <c r="K44" s="692">
        <f t="shared" si="15"/>
        <v>0</v>
      </c>
      <c r="L44" s="639" t="s">
        <v>192</v>
      </c>
      <c r="M44" s="481" t="str">
        <f>VLOOKUP(AH44,IDEAv2原単位!$A$3:$F$4021,2,FALSE)</f>
        <v>灯油の燃焼エネルギー</v>
      </c>
      <c r="N44" s="483">
        <f>IF(E44="[kg]",VLOOKUP($AH44,IDEAv2原単位!$A$3:$F$4021,6,FALSE)*共通データ!I10, IF(E44="[t]",VLOOKUP($AH44,IDEAv2原単位!$A$3:$F$4021,6,FALSE)*共通データ!I10*1000, IF('製造(P)'!E44="[L]",VLOOKUP($AH44,IDEAv2原単位!$A$3:$F$4021,6,FALSE)* 共通データ!F10, IF(E44="[kL]",VLOOKUP($AH44,IDEAv2原単位!$A$3:$F$4021,6,FALSE)*共通データ!F10*1000, VLOOKUP($AH44,IDEAv2原単位!$A$3:$F$4021,6,FALSE)*共通データ!F10/共通データ!E10))))</f>
        <v>2.8197670910403554</v>
      </c>
      <c r="O44" s="371" t="str">
        <f t="shared" si="18"/>
        <v>[kgCO2/L]</v>
      </c>
      <c r="P44" s="149"/>
      <c r="Q44" s="62" t="s">
        <v>153</v>
      </c>
      <c r="R44" s="64"/>
      <c r="S44" s="715">
        <f t="shared" si="19"/>
        <v>0</v>
      </c>
      <c r="T44" s="715">
        <f t="shared" si="20"/>
        <v>0</v>
      </c>
      <c r="U44" s="715">
        <f t="shared" si="21"/>
        <v>0</v>
      </c>
      <c r="V44" s="715">
        <f t="shared" si="22"/>
        <v>0</v>
      </c>
      <c r="W44" s="715">
        <f t="shared" si="23"/>
        <v>0</v>
      </c>
      <c r="X44" s="705">
        <f t="shared" si="17"/>
        <v>0</v>
      </c>
      <c r="Y44" s="354" t="str">
        <f>IFERROR(IF(S44=0,"",S44*$AJ$170/('製造(P)'!$K$190+'貯蔵・輸送(ST)'!$K$190+'供給(D)'!$K$190)),"")</f>
        <v/>
      </c>
      <c r="Z44" s="354" t="str">
        <f>IFERROR(IF(T44=0,"",T44*$AJ$170/('製造(P)'!$K$190+'貯蔵・輸送(ST)'!$K$190+'供給(D)'!$K$190)),"")</f>
        <v/>
      </c>
      <c r="AA44" s="354" t="str">
        <f>IFERROR(IF(U44=0,"",U44*$AJ$170/('製造(P)'!$K$190+'貯蔵・輸送(ST)'!$K$190+'供給(D)'!$K$190)),"")</f>
        <v/>
      </c>
      <c r="AB44" s="354" t="str">
        <f>IFERROR(IF(V44=0,"",V44*$AJ$170/('製造(P)'!$K$190+'貯蔵・輸送(ST)'!$K$190+'供給(D)'!$K$190)),"")</f>
        <v/>
      </c>
      <c r="AC44" s="354" t="str">
        <f>IFERROR(IF(W44=0,"",W44*$AJ$170/('製造(P)'!$K$190+'貯蔵・輸送(ST)'!$K$190+'供給(D)'!$K$190)),"")</f>
        <v/>
      </c>
      <c r="AD44" s="778" t="str">
        <f>IFERROR(IF(X44=0,"",X44*$AJ$170/('製造(P)'!$K$190+'貯蔵・輸送(ST)'!$K$190+'供給(D)'!$K$190)),"")</f>
        <v/>
      </c>
      <c r="AE44" s="685"/>
      <c r="AF44" s="356"/>
      <c r="AG44" s="207" t="s">
        <v>153</v>
      </c>
      <c r="AH44" s="206">
        <v>181114801</v>
      </c>
      <c r="AI44" s="206"/>
      <c r="AJ44" s="492">
        <f>ROUND(共通データ!$E$10*VLOOKUP($AH44,IDEAv2原単位!$A$3:$F$4021,6,FALSE),2)</f>
        <v>2.68</v>
      </c>
      <c r="AK44" s="213" t="s">
        <v>53</v>
      </c>
      <c r="AL44" s="59"/>
      <c r="AM44" s="59"/>
      <c r="AR44" s="149"/>
    </row>
    <row r="45" spans="2:44">
      <c r="B45" s="967" t="s">
        <v>154</v>
      </c>
      <c r="C45" s="968"/>
      <c r="D45" s="968"/>
      <c r="E45" s="641" t="s">
        <v>2130</v>
      </c>
      <c r="F45" s="691">
        <v>0</v>
      </c>
      <c r="G45" s="691">
        <v>0</v>
      </c>
      <c r="H45" s="691">
        <v>0</v>
      </c>
      <c r="I45" s="691">
        <v>0</v>
      </c>
      <c r="J45" s="691">
        <v>0</v>
      </c>
      <c r="K45" s="692">
        <f t="shared" si="15"/>
        <v>0</v>
      </c>
      <c r="L45" s="639" t="s">
        <v>192</v>
      </c>
      <c r="M45" s="481" t="str">
        <f>VLOOKUP(AH45,IDEAv2原単位!$A$3:$F$4021,2,FALSE)</f>
        <v>A重油の燃焼エネルギー</v>
      </c>
      <c r="N45" s="483">
        <f>IF(E45="[kg]",VLOOKUP($AH45,IDEAv2原単位!$A$3:$F$4021,6,FALSE)*共通データ!I13, IF(E45="[t]",VLOOKUP($AH45,IDEAv2原単位!$A$3:$F$4021,6,FALSE)*共通データ!I13*1000, IF(E45="[L]",VLOOKUP($AH45,IDEAv2原単位!$A$3:$F$4021,6,FALSE)*共通データ!F13,IF(E45="[kL]",VLOOKUP($AH45,IDEAv2原単位!$A$3:$F$4021,6,FALSE)*共通データ!F13*1000, VLOOKUP($AH45,IDEAv2原単位!$A$3:$F$4021,6,FALSE)*共通データ!F13/共通データ!E13))))</f>
        <v>3.6682150357569379</v>
      </c>
      <c r="O45" s="371" t="str">
        <f t="shared" si="18"/>
        <v>[kgCO2/kg]</v>
      </c>
      <c r="P45" s="149"/>
      <c r="Q45" s="62" t="s">
        <v>154</v>
      </c>
      <c r="R45" s="64"/>
      <c r="S45" s="715">
        <f t="shared" si="19"/>
        <v>0</v>
      </c>
      <c r="T45" s="715">
        <f t="shared" si="20"/>
        <v>0</v>
      </c>
      <c r="U45" s="715">
        <f t="shared" si="21"/>
        <v>0</v>
      </c>
      <c r="V45" s="715">
        <f t="shared" si="22"/>
        <v>0</v>
      </c>
      <c r="W45" s="715">
        <f t="shared" si="23"/>
        <v>0</v>
      </c>
      <c r="X45" s="705">
        <f t="shared" si="17"/>
        <v>0</v>
      </c>
      <c r="Y45" s="354" t="str">
        <f>IFERROR(IF(S45=0,"",S45*$AJ$170/('製造(P)'!$K$190+'貯蔵・輸送(ST)'!$K$190+'供給(D)'!$K$190)),"")</f>
        <v/>
      </c>
      <c r="Z45" s="354" t="str">
        <f>IFERROR(IF(T45=0,"",T45*$AJ$170/('製造(P)'!$K$190+'貯蔵・輸送(ST)'!$K$190+'供給(D)'!$K$190)),"")</f>
        <v/>
      </c>
      <c r="AA45" s="354" t="str">
        <f>IFERROR(IF(U45=0,"",U45*$AJ$170/('製造(P)'!$K$190+'貯蔵・輸送(ST)'!$K$190+'供給(D)'!$K$190)),"")</f>
        <v/>
      </c>
      <c r="AB45" s="354" t="str">
        <f>IFERROR(IF(V45=0,"",V45*$AJ$170/('製造(P)'!$K$190+'貯蔵・輸送(ST)'!$K$190+'供給(D)'!$K$190)),"")</f>
        <v/>
      </c>
      <c r="AC45" s="354" t="str">
        <f>IFERROR(IF(W45=0,"",W45*$AJ$170/('製造(P)'!$K$190+'貯蔵・輸送(ST)'!$K$190+'供給(D)'!$K$190)),"")</f>
        <v/>
      </c>
      <c r="AD45" s="778" t="str">
        <f>IFERROR(IF(X45=0,"",X45*$AJ$170/('製造(P)'!$K$190+'貯蔵・輸送(ST)'!$K$190+'供給(D)'!$K$190)),"")</f>
        <v/>
      </c>
      <c r="AE45" s="685"/>
      <c r="AF45" s="356"/>
      <c r="AG45" s="207" t="s">
        <v>154</v>
      </c>
      <c r="AH45" s="206">
        <v>181116801</v>
      </c>
      <c r="AI45" s="206"/>
      <c r="AJ45" s="492">
        <f>ROUND(共通データ!$E$13*VLOOKUP($AH45,IDEAv2原単位!$A$3:$F$4021,6,FALSE),2)</f>
        <v>3</v>
      </c>
      <c r="AK45" s="213" t="s">
        <v>53</v>
      </c>
      <c r="AL45" s="59"/>
      <c r="AM45" s="59"/>
      <c r="AR45" s="149"/>
    </row>
    <row r="46" spans="2:44">
      <c r="B46" s="967" t="s">
        <v>155</v>
      </c>
      <c r="C46" s="968"/>
      <c r="D46" s="968"/>
      <c r="E46" s="641" t="s">
        <v>6942</v>
      </c>
      <c r="F46" s="691">
        <v>0</v>
      </c>
      <c r="G46" s="691">
        <v>0</v>
      </c>
      <c r="H46" s="691">
        <v>0</v>
      </c>
      <c r="I46" s="691">
        <v>0</v>
      </c>
      <c r="J46" s="691">
        <v>0</v>
      </c>
      <c r="K46" s="692">
        <f t="shared" si="15"/>
        <v>0</v>
      </c>
      <c r="L46" s="639" t="s">
        <v>192</v>
      </c>
      <c r="M46" s="481" t="str">
        <f>VLOOKUP(AH46,IDEAv2原単位!$A$3:$F$4021,2,FALSE)</f>
        <v>C重油の燃焼エネルギー</v>
      </c>
      <c r="N46" s="483">
        <f>IF(E46="[kg]",VLOOKUP($AH46,IDEAv2原単位!$A$3:$F$4021,6,FALSE)*共通データ!I15, IF(E46="[t]",VLOOKUP($AH46,IDEAv2原単位!$A$3:$F$4021,6,FALSE)*共通データ!I15*1000, IF(E46="[L]", VLOOKUP($AH46,IDEAv2原単位!$A$3:$F$4021,6,FALSE)*共通データ!F15,IF(E46="[kL]",VLOOKUP($AH46,IDEAv2原単位!$A$3:$F$4021,6,FALSE)*共通データ!F15*1000, VLOOKUP($AH46,IDEAv2原単位!$A$3:$F$4021,6,FALSE)*共通データ!F15/共通データ!E15))))</f>
        <v>8.3550919991237566E-2</v>
      </c>
      <c r="O46" s="371" t="str">
        <f t="shared" si="18"/>
        <v>[kgCO2/MJ]</v>
      </c>
      <c r="P46" s="149"/>
      <c r="Q46" s="62" t="s">
        <v>155</v>
      </c>
      <c r="R46" s="64"/>
      <c r="S46" s="715">
        <f t="shared" si="19"/>
        <v>0</v>
      </c>
      <c r="T46" s="715">
        <f t="shared" si="20"/>
        <v>0</v>
      </c>
      <c r="U46" s="715">
        <f t="shared" si="21"/>
        <v>0</v>
      </c>
      <c r="V46" s="715">
        <f t="shared" si="22"/>
        <v>0</v>
      </c>
      <c r="W46" s="715">
        <f t="shared" si="23"/>
        <v>0</v>
      </c>
      <c r="X46" s="705">
        <f t="shared" si="17"/>
        <v>0</v>
      </c>
      <c r="Y46" s="354" t="str">
        <f>IFERROR(IF(S46=0,"",S46*$AJ$170/('製造(P)'!$K$190+'貯蔵・輸送(ST)'!$K$190+'供給(D)'!$K$190)),"")</f>
        <v/>
      </c>
      <c r="Z46" s="354" t="str">
        <f>IFERROR(IF(T46=0,"",T46*$AJ$170/('製造(P)'!$K$190+'貯蔵・輸送(ST)'!$K$190+'供給(D)'!$K$190)),"")</f>
        <v/>
      </c>
      <c r="AA46" s="354" t="str">
        <f>IFERROR(IF(U46=0,"",U46*$AJ$170/('製造(P)'!$K$190+'貯蔵・輸送(ST)'!$K$190+'供給(D)'!$K$190)),"")</f>
        <v/>
      </c>
      <c r="AB46" s="354" t="str">
        <f>IFERROR(IF(V46=0,"",V46*$AJ$170/('製造(P)'!$K$190+'貯蔵・輸送(ST)'!$K$190+'供給(D)'!$K$190)),"")</f>
        <v/>
      </c>
      <c r="AC46" s="354" t="str">
        <f>IFERROR(IF(W46=0,"",W46*$AJ$170/('製造(P)'!$K$190+'貯蔵・輸送(ST)'!$K$190+'供給(D)'!$K$190)),"")</f>
        <v/>
      </c>
      <c r="AD46" s="778" t="str">
        <f>IFERROR(IF(X46=0,"",X46*$AJ$170/('製造(P)'!$K$190+'貯蔵・輸送(ST)'!$K$190+'供給(D)'!$K$190)),"")</f>
        <v/>
      </c>
      <c r="AE46" s="685"/>
      <c r="AF46" s="356"/>
      <c r="AG46" s="207" t="s">
        <v>155</v>
      </c>
      <c r="AH46" s="206">
        <v>181118801</v>
      </c>
      <c r="AI46" s="206"/>
      <c r="AJ46" s="492">
        <f>ROUND(共通データ!$E$12*VLOOKUP($AH46,IDEAv2原単位!$A$3:$F$4021,6,FALSE),2)</f>
        <v>3.18</v>
      </c>
      <c r="AK46" s="213" t="s">
        <v>53</v>
      </c>
      <c r="AL46" s="59"/>
      <c r="AM46" s="59"/>
      <c r="AR46" s="149"/>
    </row>
    <row r="47" spans="2:44">
      <c r="B47" s="967" t="s">
        <v>7580</v>
      </c>
      <c r="C47" s="968"/>
      <c r="D47" s="968"/>
      <c r="E47" s="641" t="s">
        <v>2130</v>
      </c>
      <c r="F47" s="691">
        <v>0</v>
      </c>
      <c r="G47" s="691">
        <v>0</v>
      </c>
      <c r="H47" s="691">
        <v>0</v>
      </c>
      <c r="I47" s="691">
        <v>0</v>
      </c>
      <c r="J47" s="691">
        <v>0</v>
      </c>
      <c r="K47" s="692">
        <f t="shared" si="15"/>
        <v>0</v>
      </c>
      <c r="L47" s="639" t="s">
        <v>192</v>
      </c>
      <c r="M47" s="481" t="str">
        <f>VLOOKUP(AH47,IDEAv2原単位!$A$3:$F$4021,2,FALSE)</f>
        <v>ガソリンの燃焼エネルギー</v>
      </c>
      <c r="N47" s="483">
        <f>IF(E47="[kg]",VLOOKUP($AH47,IDEAv2原単位!$A$3:$F$4021,6,FALSE)*共通データ!I9,IF(E47="[t]",VLOOKUP($AH47,IDEAv2原単位!$A$3:$F$4021,6,FALSE)*共通データ!I9*1000,IF(E47="[L]",VLOOKUP($AH47,IDEAv2原単位!$A$3:$F$4021,6,FALSE)*共通データ!F9,IF(E47="[kL]",VLOOKUP($AH47,IDEAv2原単位!$A$3:$F$4021,6,FALSE)*共通データ!F9*1000,VLOOKUP($AH47,IDEAv2原単位!$A$3:$F$4021,6,FALSE)*共通データ!F9/共通データ!E9))))</f>
        <v>3.9298669265859782</v>
      </c>
      <c r="O47" s="371" t="str">
        <f t="shared" si="18"/>
        <v>[kgCO2/kg]</v>
      </c>
      <c r="P47" s="149"/>
      <c r="Q47" s="62" t="s">
        <v>156</v>
      </c>
      <c r="R47" s="64"/>
      <c r="S47" s="715">
        <f t="shared" si="19"/>
        <v>0</v>
      </c>
      <c r="T47" s="715">
        <f t="shared" si="20"/>
        <v>0</v>
      </c>
      <c r="U47" s="715">
        <f t="shared" si="21"/>
        <v>0</v>
      </c>
      <c r="V47" s="715">
        <f t="shared" si="22"/>
        <v>0</v>
      </c>
      <c r="W47" s="715">
        <f t="shared" si="23"/>
        <v>0</v>
      </c>
      <c r="X47" s="705">
        <f t="shared" si="17"/>
        <v>0</v>
      </c>
      <c r="Y47" s="354" t="str">
        <f>IFERROR(IF(S47=0,"",S47*$AJ$170/('製造(P)'!$K$190+'貯蔵・輸送(ST)'!$K$190+'供給(D)'!$K$190)),"")</f>
        <v/>
      </c>
      <c r="Z47" s="354" t="str">
        <f>IFERROR(IF(T47=0,"",T47*$AJ$170/('製造(P)'!$K$190+'貯蔵・輸送(ST)'!$K$190+'供給(D)'!$K$190)),"")</f>
        <v/>
      </c>
      <c r="AA47" s="354" t="str">
        <f>IFERROR(IF(U47=0,"",U47*$AJ$170/('製造(P)'!$K$190+'貯蔵・輸送(ST)'!$K$190+'供給(D)'!$K$190)),"")</f>
        <v/>
      </c>
      <c r="AB47" s="354" t="str">
        <f>IFERROR(IF(V47=0,"",V47*$AJ$170/('製造(P)'!$K$190+'貯蔵・輸送(ST)'!$K$190+'供給(D)'!$K$190)),"")</f>
        <v/>
      </c>
      <c r="AC47" s="354" t="str">
        <f>IFERROR(IF(W47=0,"",W47*$AJ$170/('製造(P)'!$K$190+'貯蔵・輸送(ST)'!$K$190+'供給(D)'!$K$190)),"")</f>
        <v/>
      </c>
      <c r="AD47" s="778" t="str">
        <f>IFERROR(IF(X47=0,"",X47*$AJ$170/('製造(P)'!$K$190+'貯蔵・輸送(ST)'!$K$190+'供給(D)'!$K$190)),"")</f>
        <v/>
      </c>
      <c r="AE47" s="685"/>
      <c r="AF47" s="356"/>
      <c r="AG47" s="207" t="s">
        <v>156</v>
      </c>
      <c r="AH47" s="206">
        <v>181111801</v>
      </c>
      <c r="AI47" s="206"/>
      <c r="AJ47" s="492">
        <f>ROUND(共通データ!$E$9*VLOOKUP($AH47,IDEAv2原単位!$A$3:$F$4021,6,FALSE),2)</f>
        <v>2.74</v>
      </c>
      <c r="AK47" s="213" t="s">
        <v>53</v>
      </c>
      <c r="AL47" s="59"/>
      <c r="AM47" s="59"/>
      <c r="AR47" s="149"/>
    </row>
    <row r="48" spans="2:44">
      <c r="B48" s="967" t="s">
        <v>7581</v>
      </c>
      <c r="C48" s="968"/>
      <c r="D48" s="968"/>
      <c r="E48" s="641" t="s">
        <v>6942</v>
      </c>
      <c r="F48" s="691">
        <v>0</v>
      </c>
      <c r="G48" s="691">
        <v>0</v>
      </c>
      <c r="H48" s="691">
        <v>0</v>
      </c>
      <c r="I48" s="691">
        <v>0</v>
      </c>
      <c r="J48" s="691">
        <v>0</v>
      </c>
      <c r="K48" s="692">
        <f t="shared" si="15"/>
        <v>0</v>
      </c>
      <c r="L48" s="639" t="s">
        <v>192</v>
      </c>
      <c r="M48" s="481" t="str">
        <f>VLOOKUP(AH48,IDEAv2原単位!$A$3:$F$4021,2,FALSE)</f>
        <v>軽油の燃焼エネルギー</v>
      </c>
      <c r="N48" s="483">
        <f>IF(E48="[kg]", VLOOKUP($AH48,IDEAv2原単位!$A$3:$F$4021,6,FALSE)*共通データ!I11, IF(E48="[t]",VLOOKUP($AH48,IDEAv2原単位!$A$3:$F$4021,6,FALSE)*共通データ!I11*1000, IF(E48="[L]",VLOOKUP($AH48,IDEAv2原単位!$A$3:$F$4021,6,FALSE)*共通データ!F11, IF(E48="[kL]",VLOOKUP($AH48,IDEAv2原単位!$A$3:$F$4021,6,FALSE)*共通データ!F11*1000, VLOOKUP($AH48,IDEAv2原単位!$A$3:$F$4021,6,FALSE)*共通データ!F11/共通データ!E11))))</f>
        <v>8.2523769774409353E-2</v>
      </c>
      <c r="O48" s="371" t="str">
        <f t="shared" si="18"/>
        <v>[kgCO2/MJ]</v>
      </c>
      <c r="P48" s="149"/>
      <c r="Q48" s="163" t="s">
        <v>46</v>
      </c>
      <c r="R48" s="148"/>
      <c r="S48" s="715">
        <f t="shared" si="19"/>
        <v>0</v>
      </c>
      <c r="T48" s="715">
        <f t="shared" si="20"/>
        <v>0</v>
      </c>
      <c r="U48" s="715">
        <f t="shared" si="21"/>
        <v>0</v>
      </c>
      <c r="V48" s="715">
        <f t="shared" si="22"/>
        <v>0</v>
      </c>
      <c r="W48" s="715">
        <f t="shared" si="23"/>
        <v>0</v>
      </c>
      <c r="X48" s="705">
        <f t="shared" si="17"/>
        <v>0</v>
      </c>
      <c r="Y48" s="354" t="str">
        <f>IFERROR(IF(S48=0,"",S48*$AJ$170/('製造(P)'!$K$190+'貯蔵・輸送(ST)'!$K$190+'供給(D)'!$K$190)),"")</f>
        <v/>
      </c>
      <c r="Z48" s="354" t="str">
        <f>IFERROR(IF(T48=0,"",T48*$AJ$170/('製造(P)'!$K$190+'貯蔵・輸送(ST)'!$K$190+'供給(D)'!$K$190)),"")</f>
        <v/>
      </c>
      <c r="AA48" s="354" t="str">
        <f>IFERROR(IF(U48=0,"",U48*$AJ$170/('製造(P)'!$K$190+'貯蔵・輸送(ST)'!$K$190+'供給(D)'!$K$190)),"")</f>
        <v/>
      </c>
      <c r="AB48" s="354" t="str">
        <f>IFERROR(IF(V48=0,"",V48*$AJ$170/('製造(P)'!$K$190+'貯蔵・輸送(ST)'!$K$190+'供給(D)'!$K$190)),"")</f>
        <v/>
      </c>
      <c r="AC48" s="354" t="str">
        <f>IFERROR(IF(W48=0,"",W48*$AJ$170/('製造(P)'!$K$190+'貯蔵・輸送(ST)'!$K$190+'供給(D)'!$K$190)),"")</f>
        <v/>
      </c>
      <c r="AD48" s="778" t="str">
        <f>IFERROR(IF(X48=0,"",X48*$AJ$170/('製造(P)'!$K$190+'貯蔵・輸送(ST)'!$K$190+'供給(D)'!$K$190)),"")</f>
        <v/>
      </c>
      <c r="AE48" s="685"/>
      <c r="AF48" s="356"/>
      <c r="AG48" s="207" t="s">
        <v>46</v>
      </c>
      <c r="AH48" s="206">
        <v>181115801</v>
      </c>
      <c r="AI48" s="206"/>
      <c r="AJ48" s="492">
        <f>ROUND(共通データ!$E$14*VLOOKUP($AH48,IDEAv2原単位!$A$3:$F$4021,6,FALSE),2)</f>
        <v>3.09</v>
      </c>
      <c r="AK48" s="213" t="s">
        <v>53</v>
      </c>
      <c r="AL48" s="59"/>
      <c r="AM48" s="59"/>
      <c r="AR48" s="149"/>
    </row>
    <row r="49" spans="2:44" ht="15" customHeight="1" thickBot="1">
      <c r="B49" s="967" t="s">
        <v>6937</v>
      </c>
      <c r="C49" s="968"/>
      <c r="D49" s="968"/>
      <c r="E49" s="400" t="s">
        <v>138</v>
      </c>
      <c r="F49" s="691">
        <v>0</v>
      </c>
      <c r="G49" s="691">
        <v>0</v>
      </c>
      <c r="H49" s="691">
        <v>0</v>
      </c>
      <c r="I49" s="691">
        <v>0</v>
      </c>
      <c r="J49" s="691">
        <v>0</v>
      </c>
      <c r="K49" s="692">
        <f t="shared" ref="K49" si="24">SUM(F49:J49)</f>
        <v>0</v>
      </c>
      <c r="L49" s="639" t="s">
        <v>192</v>
      </c>
      <c r="M49" s="479" t="str">
        <f>VLOOKUP(AH49,IDEAv2原単位!$A$3:$F$4021,2,FALSE)</f>
        <v>工業用水道</v>
      </c>
      <c r="N49" s="483">
        <f>VLOOKUP($AH49,IDEAv2原単位!$A$3:$F$4021,6,FALSE)</f>
        <v>0.14873753178233792</v>
      </c>
      <c r="O49" s="371" t="s">
        <v>140</v>
      </c>
      <c r="P49" s="149"/>
      <c r="Q49" s="163" t="s">
        <v>76</v>
      </c>
      <c r="R49" s="148"/>
      <c r="S49" s="715">
        <f t="shared" si="19"/>
        <v>0</v>
      </c>
      <c r="T49" s="715">
        <f t="shared" si="20"/>
        <v>0</v>
      </c>
      <c r="U49" s="715">
        <f t="shared" si="21"/>
        <v>0</v>
      </c>
      <c r="V49" s="715">
        <f t="shared" si="22"/>
        <v>0</v>
      </c>
      <c r="W49" s="715">
        <f t="shared" si="23"/>
        <v>0</v>
      </c>
      <c r="X49" s="705">
        <f t="shared" si="17"/>
        <v>0</v>
      </c>
      <c r="Y49" s="354" t="str">
        <f>IFERROR(IF(S49=0,"",S49*$AJ$170/('製造(P)'!$K$190+'貯蔵・輸送(ST)'!$K$190+'供給(D)'!$K$190)),"")</f>
        <v/>
      </c>
      <c r="Z49" s="354" t="str">
        <f>IFERROR(IF(T49=0,"",T49*$AJ$170/('製造(P)'!$K$190+'貯蔵・輸送(ST)'!$K$190+'供給(D)'!$K$190)),"")</f>
        <v/>
      </c>
      <c r="AA49" s="354" t="str">
        <f>IFERROR(IF(U49=0,"",U49*$AJ$170/('製造(P)'!$K$190+'貯蔵・輸送(ST)'!$K$190+'供給(D)'!$K$190)),"")</f>
        <v/>
      </c>
      <c r="AB49" s="354" t="str">
        <f>IFERROR(IF(V49=0,"",V49*$AJ$170/('製造(P)'!$K$190+'貯蔵・輸送(ST)'!$K$190+'供給(D)'!$K$190)),"")</f>
        <v/>
      </c>
      <c r="AC49" s="354" t="str">
        <f>IFERROR(IF(W49=0,"",W49*$AJ$170/('製造(P)'!$K$190+'貯蔵・輸送(ST)'!$K$190+'供給(D)'!$K$190)),"")</f>
        <v/>
      </c>
      <c r="AD49" s="778" t="str">
        <f>IFERROR(IF(X49=0,"",X49*$AJ$170/('製造(P)'!$K$190+'貯蔵・輸送(ST)'!$K$190+'供給(D)'!$K$190)),"")</f>
        <v/>
      </c>
      <c r="AE49" s="685"/>
      <c r="AF49" s="356"/>
      <c r="AG49" s="207" t="s">
        <v>6937</v>
      </c>
      <c r="AH49" s="207">
        <v>362111000</v>
      </c>
      <c r="AI49" s="59"/>
      <c r="AJ49" s="538">
        <f>VLOOKUP($AH49,IDEAv2原単位!$A$3:$F$4021,6,FALSE)</f>
        <v>0.14873753178233792</v>
      </c>
      <c r="AK49" s="213" t="s">
        <v>140</v>
      </c>
      <c r="AL49" s="59"/>
      <c r="AM49" s="59"/>
      <c r="AR49" s="149"/>
    </row>
    <row r="50" spans="2:44" ht="13.8" thickBot="1">
      <c r="B50" s="976" t="s">
        <v>157</v>
      </c>
      <c r="C50" s="977"/>
      <c r="D50" s="644" t="s">
        <v>7946</v>
      </c>
      <c r="E50" s="478" t="str">
        <f>IFERROR(IF(D50="","",VLOOKUP($D50,IDEAGLIO補助ﾘｽﾄ!$B$2:$F$50,4, FALSE)),"")</f>
        <v>m3</v>
      </c>
      <c r="F50" s="691">
        <v>0.1</v>
      </c>
      <c r="G50" s="691">
        <v>0</v>
      </c>
      <c r="H50" s="691">
        <v>0</v>
      </c>
      <c r="I50" s="691">
        <v>0</v>
      </c>
      <c r="J50" s="691">
        <v>0</v>
      </c>
      <c r="K50" s="692">
        <f t="shared" si="15"/>
        <v>0.1</v>
      </c>
      <c r="L50" s="639" t="s">
        <v>192</v>
      </c>
      <c r="M50" s="479" t="str">
        <f>IFERROR(VLOOKUP(D50,IDEAGLIO補助ﾘｽﾄ!$B$2:$F$50,3,FALSE),"")</f>
        <v>上水道</v>
      </c>
      <c r="N50" s="484">
        <f>IFERROR(VLOOKUP($D50,IDEAGLIO補助ﾘｽﾄ!$B$2:$F$50,5, FALSE),"")</f>
        <v>0.36754823035748857</v>
      </c>
      <c r="O50" s="372" t="str">
        <f>IF(E50="","","[kgCO2/"&amp;E50&amp;"] ")</f>
        <v xml:space="preserve">[kgCO2/m3] </v>
      </c>
      <c r="P50" s="149"/>
      <c r="Q50" s="62" t="s">
        <v>157</v>
      </c>
      <c r="R50" s="81" t="str">
        <f>IF(D50="","-",D50)</f>
        <v>水道水</v>
      </c>
      <c r="S50" s="715">
        <f t="shared" si="19"/>
        <v>3.6754823035748861E-2</v>
      </c>
      <c r="T50" s="715">
        <f t="shared" si="20"/>
        <v>0</v>
      </c>
      <c r="U50" s="715">
        <f t="shared" si="21"/>
        <v>0</v>
      </c>
      <c r="V50" s="715">
        <f t="shared" si="22"/>
        <v>0</v>
      </c>
      <c r="W50" s="715">
        <f t="shared" si="23"/>
        <v>0</v>
      </c>
      <c r="X50" s="705">
        <f t="shared" si="17"/>
        <v>3.6754823035748861E-2</v>
      </c>
      <c r="Y50" s="354">
        <f>IFERROR(IF(S50=0,"",S50*$AJ$170/('製造(P)'!$K$190+'貯蔵・輸送(ST)'!$K$190+'供給(D)'!$K$190)),"")</f>
        <v>3.8924314492575705E-4</v>
      </c>
      <c r="Z50" s="354" t="str">
        <f>IFERROR(IF(T50=0,"",T50*$AJ$170/('製造(P)'!$K$190+'貯蔵・輸送(ST)'!$K$190+'供給(D)'!$K$190)),"")</f>
        <v/>
      </c>
      <c r="AA50" s="354" t="str">
        <f>IFERROR(IF(U50=0,"",U50*$AJ$170/('製造(P)'!$K$190+'貯蔵・輸送(ST)'!$K$190+'供給(D)'!$K$190)),"")</f>
        <v/>
      </c>
      <c r="AB50" s="354" t="str">
        <f>IFERROR(IF(V50=0,"",V50*$AJ$170/('製造(P)'!$K$190+'貯蔵・輸送(ST)'!$K$190+'供給(D)'!$K$190)),"")</f>
        <v/>
      </c>
      <c r="AC50" s="354" t="str">
        <f>IFERROR(IF(W50=0,"",W50*$AJ$170/('製造(P)'!$K$190+'貯蔵・輸送(ST)'!$K$190+'供給(D)'!$K$190)),"")</f>
        <v/>
      </c>
      <c r="AD50" s="778">
        <f>IFERROR(IF(X50=0,"",X50*$AJ$170/('製造(P)'!$K$190+'貯蔵・輸送(ST)'!$K$190+'供給(D)'!$K$190)),"")</f>
        <v>3.8924314492575705E-4</v>
      </c>
      <c r="AE50" s="685"/>
      <c r="AF50" s="356"/>
      <c r="AG50" s="206"/>
      <c r="AH50" s="206"/>
      <c r="AI50" s="206"/>
      <c r="AJ50" s="492">
        <f>0.019</f>
        <v>1.9E-2</v>
      </c>
      <c r="AK50" s="213" t="s">
        <v>158</v>
      </c>
      <c r="AL50" s="59"/>
      <c r="AM50" s="59"/>
      <c r="AR50" s="149"/>
    </row>
    <row r="51" spans="2:44" ht="13.8" thickBot="1">
      <c r="B51" s="978" t="s">
        <v>159</v>
      </c>
      <c r="C51" s="979"/>
      <c r="D51" s="643"/>
      <c r="E51" s="478" t="str">
        <f>IFERROR(IF(D51="","",VLOOKUP($D51,IDEAGLIO補助ﾘｽﾄ!$B$2:$F$50,4, FALSE)),"")</f>
        <v/>
      </c>
      <c r="F51" s="691">
        <v>0</v>
      </c>
      <c r="G51" s="691">
        <v>0</v>
      </c>
      <c r="H51" s="691">
        <v>0</v>
      </c>
      <c r="I51" s="691">
        <v>0</v>
      </c>
      <c r="J51" s="691">
        <v>0</v>
      </c>
      <c r="K51" s="692">
        <f t="shared" si="15"/>
        <v>0</v>
      </c>
      <c r="L51" s="639" t="s">
        <v>192</v>
      </c>
      <c r="M51" s="479" t="str">
        <f>IFERROR(VLOOKUP(D51,IDEAGLIO補助ﾘｽﾄ!$B$2:$F$50,3,FALSE),"")</f>
        <v/>
      </c>
      <c r="N51" s="485" t="str">
        <f>IFERROR(VLOOKUP($D51,IDEAGLIO補助ﾘｽﾄ!$B$2:$F$50,5, FALSE),"")</f>
        <v/>
      </c>
      <c r="O51" s="372" t="str">
        <f t="shared" ref="O51:O52" si="25">IF(E51="","","[kgCO2/"&amp;E51&amp;"] ")</f>
        <v/>
      </c>
      <c r="P51" s="149"/>
      <c r="Q51" s="62" t="s">
        <v>159</v>
      </c>
      <c r="R51" s="81" t="str">
        <f>IF(D51="","-",D51)</f>
        <v>-</v>
      </c>
      <c r="S51" s="715">
        <f t="shared" si="19"/>
        <v>0</v>
      </c>
      <c r="T51" s="715">
        <f t="shared" si="20"/>
        <v>0</v>
      </c>
      <c r="U51" s="715">
        <f t="shared" si="21"/>
        <v>0</v>
      </c>
      <c r="V51" s="715">
        <f t="shared" si="22"/>
        <v>0</v>
      </c>
      <c r="W51" s="715">
        <f t="shared" si="23"/>
        <v>0</v>
      </c>
      <c r="X51" s="705">
        <f t="shared" si="17"/>
        <v>0</v>
      </c>
      <c r="Y51" s="354" t="str">
        <f>IFERROR(IF(S51=0,"",S51*$AJ$170/('製造(P)'!$K$190+'貯蔵・輸送(ST)'!$K$190+'供給(D)'!$K$190)),"")</f>
        <v/>
      </c>
      <c r="Z51" s="354" t="str">
        <f>IFERROR(IF(T51=0,"",T51*$AJ$170/('製造(P)'!$K$190+'貯蔵・輸送(ST)'!$K$190+'供給(D)'!$K$190)),"")</f>
        <v/>
      </c>
      <c r="AA51" s="354" t="str">
        <f>IFERROR(IF(U51=0,"",U51*$AJ$170/('製造(P)'!$K$190+'貯蔵・輸送(ST)'!$K$190+'供給(D)'!$K$190)),"")</f>
        <v/>
      </c>
      <c r="AB51" s="354" t="str">
        <f>IFERROR(IF(V51=0,"",V51*$AJ$170/('製造(P)'!$K$190+'貯蔵・輸送(ST)'!$K$190+'供給(D)'!$K$190)),"")</f>
        <v/>
      </c>
      <c r="AC51" s="354" t="str">
        <f>IFERROR(IF(W51=0,"",W51*$AJ$170/('製造(P)'!$K$190+'貯蔵・輸送(ST)'!$K$190+'供給(D)'!$K$190)),"")</f>
        <v/>
      </c>
      <c r="AD51" s="778" t="str">
        <f>IFERROR(IF(X51=0,"",X51*$AJ$170/('製造(P)'!$K$190+'貯蔵・輸送(ST)'!$K$190+'供給(D)'!$K$190)),"")</f>
        <v/>
      </c>
      <c r="AE51" s="685"/>
      <c r="AF51" s="356"/>
      <c r="AG51" s="59"/>
      <c r="AH51" s="59"/>
      <c r="AI51" s="59"/>
      <c r="AJ51" s="492"/>
      <c r="AK51" s="213" t="s">
        <v>158</v>
      </c>
      <c r="AL51" s="59"/>
      <c r="AM51" s="59"/>
      <c r="AR51" s="149"/>
    </row>
    <row r="52" spans="2:44" ht="13.8" thickBot="1">
      <c r="B52" s="978" t="s">
        <v>160</v>
      </c>
      <c r="C52" s="979"/>
      <c r="D52" s="642"/>
      <c r="E52" s="478" t="str">
        <f>IFERROR(IF(D52="","",VLOOKUP($D52,IDEAGLIO補助ﾘｽﾄ!$B$2:$F$50,4, FALSE)),"")</f>
        <v/>
      </c>
      <c r="F52" s="691">
        <v>0</v>
      </c>
      <c r="G52" s="691">
        <v>0</v>
      </c>
      <c r="H52" s="691">
        <v>0</v>
      </c>
      <c r="I52" s="691">
        <v>0</v>
      </c>
      <c r="J52" s="691">
        <v>0</v>
      </c>
      <c r="K52" s="692">
        <f t="shared" si="15"/>
        <v>0</v>
      </c>
      <c r="L52" s="639" t="s">
        <v>192</v>
      </c>
      <c r="M52" s="479" t="str">
        <f>IFERROR(VLOOKUP(D52,IDEAGLIO補助ﾘｽﾄ!$B$2:$F$50,3,FALSE),"")</f>
        <v/>
      </c>
      <c r="N52" s="485" t="str">
        <f>IFERROR(VLOOKUP($D52,IDEAGLIO補助ﾘｽﾄ!$B$2:$F$50,5, FALSE),"")</f>
        <v/>
      </c>
      <c r="O52" s="372" t="str">
        <f t="shared" si="25"/>
        <v/>
      </c>
      <c r="P52" s="149"/>
      <c r="Q52" s="62" t="s">
        <v>160</v>
      </c>
      <c r="R52" s="81" t="str">
        <f>IF(D52="","-",D52)</f>
        <v>-</v>
      </c>
      <c r="S52" s="715">
        <f t="shared" si="19"/>
        <v>0</v>
      </c>
      <c r="T52" s="715">
        <f t="shared" si="20"/>
        <v>0</v>
      </c>
      <c r="U52" s="715">
        <f t="shared" si="21"/>
        <v>0</v>
      </c>
      <c r="V52" s="715">
        <f t="shared" si="22"/>
        <v>0</v>
      </c>
      <c r="W52" s="715">
        <f t="shared" si="23"/>
        <v>0</v>
      </c>
      <c r="X52" s="705">
        <f t="shared" si="17"/>
        <v>0</v>
      </c>
      <c r="Y52" s="354" t="str">
        <f>IFERROR(IF(S52=0,"",S52*$AJ$170/('製造(P)'!$K$190+'貯蔵・輸送(ST)'!$K$190+'供給(D)'!$K$190)),"")</f>
        <v/>
      </c>
      <c r="Z52" s="354" t="str">
        <f>IFERROR(IF(T52=0,"",T52*$AJ$170/('製造(P)'!$K$190+'貯蔵・輸送(ST)'!$K$190+'供給(D)'!$K$190)),"")</f>
        <v/>
      </c>
      <c r="AA52" s="354" t="str">
        <f>IFERROR(IF(U52=0,"",U52*$AJ$170/('製造(P)'!$K$190+'貯蔵・輸送(ST)'!$K$190+'供給(D)'!$K$190)),"")</f>
        <v/>
      </c>
      <c r="AB52" s="354" t="str">
        <f>IFERROR(IF(V52=0,"",V52*$AJ$170/('製造(P)'!$K$190+'貯蔵・輸送(ST)'!$K$190+'供給(D)'!$K$190)),"")</f>
        <v/>
      </c>
      <c r="AC52" s="354" t="str">
        <f>IFERROR(IF(W52=0,"",W52*$AJ$170/('製造(P)'!$K$190+'貯蔵・輸送(ST)'!$K$190+'供給(D)'!$K$190)),"")</f>
        <v/>
      </c>
      <c r="AD52" s="778" t="str">
        <f>IFERROR(IF(X52=0,"",X52*$AJ$170/('製造(P)'!$K$190+'貯蔵・輸送(ST)'!$K$190+'供給(D)'!$K$190)),"")</f>
        <v/>
      </c>
      <c r="AE52" s="685"/>
      <c r="AF52" s="356"/>
      <c r="AG52" s="59"/>
      <c r="AH52" s="59"/>
      <c r="AI52" s="59"/>
      <c r="AJ52" s="492"/>
      <c r="AK52" s="213" t="s">
        <v>158</v>
      </c>
      <c r="AL52" s="59"/>
      <c r="AM52" s="59"/>
      <c r="AR52" s="149"/>
    </row>
    <row r="53" spans="2:44">
      <c r="B53" s="150"/>
      <c r="C53" s="150"/>
      <c r="D53" s="151"/>
      <c r="E53" s="151"/>
      <c r="F53" s="225"/>
      <c r="G53" s="225"/>
      <c r="H53" s="225"/>
      <c r="I53" s="225"/>
      <c r="J53" s="225"/>
      <c r="K53" s="152"/>
      <c r="L53" s="152"/>
      <c r="M53" s="152"/>
      <c r="N53" s="322"/>
      <c r="O53" s="153"/>
      <c r="P53" s="149"/>
      <c r="Q53" s="147" t="s">
        <v>144</v>
      </c>
      <c r="R53" s="148"/>
      <c r="S53" s="716">
        <f>SUM(S39:S52)</f>
        <v>3.6754823035748861E-2</v>
      </c>
      <c r="T53" s="716">
        <f t="shared" ref="T53:X53" si="26">SUM(T39:T52)</f>
        <v>0</v>
      </c>
      <c r="U53" s="716">
        <f t="shared" si="26"/>
        <v>0</v>
      </c>
      <c r="V53" s="716">
        <f t="shared" si="26"/>
        <v>0</v>
      </c>
      <c r="W53" s="716">
        <f t="shared" si="26"/>
        <v>0</v>
      </c>
      <c r="X53" s="716">
        <f t="shared" si="26"/>
        <v>3.6754823035748861E-2</v>
      </c>
      <c r="Y53" s="354">
        <f>IFERROR(S53*$AJ$170/('製造(P)'!$K$190+'貯蔵・輸送(ST)'!$K$190+'供給(D)'!$K$190),"")</f>
        <v>3.8924314492575705E-4</v>
      </c>
      <c r="Z53" s="354">
        <f>IFERROR(T53*$AJ$170/('製造(P)'!$K$190+'貯蔵・輸送(ST)'!$K$190+'供給(D)'!$K$190),"")</f>
        <v>0</v>
      </c>
      <c r="AA53" s="354">
        <f>IFERROR(U53*$AJ$170/('製造(P)'!$K$190+'貯蔵・輸送(ST)'!$K$190+'供給(D)'!$K$190),"")</f>
        <v>0</v>
      </c>
      <c r="AB53" s="354">
        <f>IFERROR(V53*$AJ$170/('製造(P)'!$K$190+'貯蔵・輸送(ST)'!$K$190+'供給(D)'!$K$190),"")</f>
        <v>0</v>
      </c>
      <c r="AC53" s="354">
        <f>IFERROR(W53*$AJ$170/('製造(P)'!$K$190+'貯蔵・輸送(ST)'!$K$190+'供給(D)'!$K$190),"")</f>
        <v>0</v>
      </c>
      <c r="AD53" s="354">
        <f>IFERROR(X53*$AJ$170/('製造(P)'!$K$190+'貯蔵・輸送(ST)'!$K$190+'供給(D)'!$K$190),"")</f>
        <v>3.8924314492575705E-4</v>
      </c>
      <c r="AE53" s="796"/>
      <c r="AF53" s="356"/>
      <c r="AG53" s="59"/>
      <c r="AH53" s="59"/>
      <c r="AI53" s="59"/>
      <c r="AJ53" s="534"/>
      <c r="AK53" s="212"/>
      <c r="AL53" s="59"/>
      <c r="AM53" s="59"/>
      <c r="AR53" s="149"/>
    </row>
    <row r="54" spans="2:44" s="149" customFormat="1">
      <c r="B54" s="150"/>
      <c r="C54" s="150"/>
      <c r="D54" s="151"/>
      <c r="E54" s="151"/>
      <c r="F54" s="225"/>
      <c r="G54" s="225"/>
      <c r="H54" s="225"/>
      <c r="I54" s="225"/>
      <c r="J54" s="225"/>
      <c r="K54" s="152"/>
      <c r="L54" s="152"/>
      <c r="M54" s="152"/>
      <c r="N54" s="322"/>
      <c r="O54" s="153"/>
      <c r="S54" s="220"/>
      <c r="T54" s="220"/>
      <c r="U54" s="220"/>
      <c r="V54" s="220"/>
      <c r="W54" s="220"/>
      <c r="X54" s="220"/>
      <c r="Y54" s="355"/>
      <c r="Z54" s="355"/>
      <c r="AA54" s="355"/>
      <c r="AB54" s="355"/>
      <c r="AC54" s="355"/>
      <c r="AD54" s="355"/>
      <c r="AE54" s="805"/>
      <c r="AF54" s="355"/>
      <c r="AJ54" s="534"/>
      <c r="AK54" s="212"/>
    </row>
    <row r="55" spans="2:44" ht="14.1" customHeight="1">
      <c r="B55" s="890" t="s">
        <v>7529</v>
      </c>
      <c r="C55" s="937"/>
      <c r="D55" s="891"/>
      <c r="E55" s="892"/>
      <c r="F55" s="938" t="s">
        <v>7669</v>
      </c>
      <c r="G55" s="939"/>
      <c r="H55" s="939"/>
      <c r="I55" s="939"/>
      <c r="J55" s="939"/>
      <c r="K55" s="940"/>
      <c r="L55" s="941" t="s">
        <v>136</v>
      </c>
      <c r="M55" s="943" t="s">
        <v>210</v>
      </c>
      <c r="N55" s="944"/>
      <c r="O55" s="945"/>
      <c r="P55" s="149"/>
      <c r="Q55" s="890" t="s">
        <v>7797</v>
      </c>
      <c r="R55" s="892"/>
      <c r="S55" s="933" t="s">
        <v>7666</v>
      </c>
      <c r="T55" s="934"/>
      <c r="U55" s="934"/>
      <c r="V55" s="934"/>
      <c r="W55" s="934"/>
      <c r="X55" s="934"/>
      <c r="Y55" s="955" t="s">
        <v>7543</v>
      </c>
      <c r="Z55" s="956"/>
      <c r="AA55" s="956"/>
      <c r="AB55" s="956"/>
      <c r="AC55" s="956"/>
      <c r="AD55" s="956"/>
      <c r="AE55" s="904" t="s">
        <v>7919</v>
      </c>
      <c r="AF55" s="771"/>
      <c r="AG55" s="207"/>
      <c r="AH55" s="207"/>
      <c r="AI55" s="59"/>
      <c r="AJ55" s="1026" t="s">
        <v>210</v>
      </c>
      <c r="AK55" s="1026"/>
      <c r="AL55" s="59"/>
      <c r="AM55" s="59"/>
      <c r="AR55" s="149"/>
    </row>
    <row r="56" spans="2:44" ht="13.8" thickBot="1">
      <c r="B56" s="893"/>
      <c r="C56" s="894"/>
      <c r="D56" s="894"/>
      <c r="E56" s="895"/>
      <c r="F56" s="312" t="s">
        <v>7426</v>
      </c>
      <c r="G56" s="312" t="s">
        <v>7427</v>
      </c>
      <c r="H56" s="312" t="s">
        <v>7428</v>
      </c>
      <c r="I56" s="312" t="s">
        <v>7429</v>
      </c>
      <c r="J56" s="312" t="s">
        <v>7430</v>
      </c>
      <c r="K56" s="313" t="s">
        <v>7431</v>
      </c>
      <c r="L56" s="942"/>
      <c r="M56" s="946"/>
      <c r="N56" s="947"/>
      <c r="O56" s="948"/>
      <c r="P56" s="149"/>
      <c r="Q56" s="896"/>
      <c r="R56" s="898"/>
      <c r="S56" s="312" t="s">
        <v>7426</v>
      </c>
      <c r="T56" s="312" t="s">
        <v>7427</v>
      </c>
      <c r="U56" s="312" t="s">
        <v>7428</v>
      </c>
      <c r="V56" s="312" t="s">
        <v>7429</v>
      </c>
      <c r="W56" s="312" t="s">
        <v>7430</v>
      </c>
      <c r="X56" s="313" t="s">
        <v>7431</v>
      </c>
      <c r="Y56" s="773" t="s">
        <v>7426</v>
      </c>
      <c r="Z56" s="773" t="s">
        <v>7427</v>
      </c>
      <c r="AA56" s="773" t="s">
        <v>7428</v>
      </c>
      <c r="AB56" s="773" t="s">
        <v>7429</v>
      </c>
      <c r="AC56" s="773" t="s">
        <v>7430</v>
      </c>
      <c r="AD56" s="774" t="s">
        <v>7431</v>
      </c>
      <c r="AE56" s="905"/>
      <c r="AF56" s="364"/>
      <c r="AG56" s="207"/>
      <c r="AH56" s="207"/>
      <c r="AI56" s="59"/>
      <c r="AJ56" s="1019"/>
      <c r="AK56" s="1019"/>
      <c r="AL56" s="59"/>
      <c r="AM56" s="59"/>
      <c r="AR56" s="149"/>
    </row>
    <row r="57" spans="2:44" ht="15" customHeight="1" thickBot="1">
      <c r="B57" s="951" t="s">
        <v>7531</v>
      </c>
      <c r="C57" s="952"/>
      <c r="D57" s="953"/>
      <c r="E57" s="373" t="s">
        <v>7530</v>
      </c>
      <c r="F57" s="694">
        <v>500</v>
      </c>
      <c r="G57" s="691">
        <v>0</v>
      </c>
      <c r="H57" s="691">
        <v>0</v>
      </c>
      <c r="I57" s="691">
        <v>0</v>
      </c>
      <c r="J57" s="691">
        <v>0</v>
      </c>
      <c r="K57" s="692">
        <f t="shared" ref="K57:K59" si="27">SUM(F57:J57)</f>
        <v>500</v>
      </c>
      <c r="L57" s="639" t="s">
        <v>192</v>
      </c>
      <c r="M57" s="479"/>
      <c r="N57" s="479">
        <f>IFERROR(VLOOKUP($B57,共通データ!$B$32:$O$37,12,FALSE),"")</f>
        <v>7.0999999999999995E-3</v>
      </c>
      <c r="O57" s="489" t="str">
        <f>IF(B57="","","[kg-CO2/kWh] ")</f>
        <v xml:space="preserve">[kg-CO2/kWh] </v>
      </c>
      <c r="P57" s="149"/>
      <c r="Q57" s="910" t="str">
        <f>IF(B57="","",B57)</f>
        <v>風力発電陸上（1,000kW級）</v>
      </c>
      <c r="R57" s="911"/>
      <c r="S57" s="715">
        <f>IFERROR(F57*$N57,0)</f>
        <v>3.55</v>
      </c>
      <c r="T57" s="715">
        <f t="shared" ref="T57:W59" si="28">IFERROR(G57*$N57,0)</f>
        <v>0</v>
      </c>
      <c r="U57" s="715">
        <f t="shared" si="28"/>
        <v>0</v>
      </c>
      <c r="V57" s="715">
        <f t="shared" si="28"/>
        <v>0</v>
      </c>
      <c r="W57" s="715">
        <f t="shared" si="28"/>
        <v>0</v>
      </c>
      <c r="X57" s="768">
        <f t="shared" ref="X57:X59" si="29">SUM(S57:W57)</f>
        <v>3.55</v>
      </c>
      <c r="Y57" s="354">
        <f>IFERROR(IF(S57=0,"",S57*$AJ$170/('製造(P)'!$K$190+'貯蔵・輸送(ST)'!$K$190+'供給(D)'!$K$190)),"")</f>
        <v>3.7595424228881305E-2</v>
      </c>
      <c r="Z57" s="354" t="str">
        <f>IFERROR(IF(T57=0,"",T57*$AJ$170/('製造(P)'!$K$190+'貯蔵・輸送(ST)'!$K$190+'供給(D)'!$K$190)),"")</f>
        <v/>
      </c>
      <c r="AA57" s="354" t="str">
        <f>IFERROR(IF(U57=0,"",U57*$AJ$170/('製造(P)'!$K$190+'貯蔵・輸送(ST)'!$K$190+'供給(D)'!$K$190)),"")</f>
        <v/>
      </c>
      <c r="AB57" s="354" t="str">
        <f>IFERROR(IF(V57=0,"",V57*$AJ$170/('製造(P)'!$K$190+'貯蔵・輸送(ST)'!$K$190+'供給(D)'!$K$190)),"")</f>
        <v/>
      </c>
      <c r="AC57" s="354" t="str">
        <f>IFERROR(IF(W57=0,"",W57*$AJ$170/('製造(P)'!$K$190+'貯蔵・輸送(ST)'!$K$190+'供給(D)'!$K$190)),"")</f>
        <v/>
      </c>
      <c r="AD57" s="778">
        <f>IFERROR(IF(X57=0,"",X57*$AJ$170/('製造(P)'!$K$190+'貯蔵・輸送(ST)'!$K$190+'供給(D)'!$K$190)),"")</f>
        <v>3.7595424228881305E-2</v>
      </c>
      <c r="AE57" s="685"/>
      <c r="AF57" s="356"/>
      <c r="AG57" s="207" t="s">
        <v>6940</v>
      </c>
      <c r="AH57" s="207">
        <v>172411000</v>
      </c>
      <c r="AI57" s="59"/>
      <c r="AJ57" s="538">
        <f>VLOOKUP($AH57,IDEAv2原単位!$A$3:$F$4021,6,FALSE)</f>
        <v>1.2378879008784885E-2</v>
      </c>
      <c r="AK57" s="213" t="s">
        <v>54</v>
      </c>
      <c r="AL57" s="59"/>
      <c r="AM57" s="59"/>
      <c r="AR57" s="149"/>
    </row>
    <row r="58" spans="2:44" ht="15" customHeight="1" thickBot="1">
      <c r="B58" s="951"/>
      <c r="C58" s="952"/>
      <c r="D58" s="953"/>
      <c r="E58" s="373" t="s">
        <v>7530</v>
      </c>
      <c r="F58" s="694">
        <v>0</v>
      </c>
      <c r="G58" s="691">
        <v>0</v>
      </c>
      <c r="H58" s="691">
        <v>0</v>
      </c>
      <c r="I58" s="691">
        <v>0</v>
      </c>
      <c r="J58" s="691">
        <v>0</v>
      </c>
      <c r="K58" s="692">
        <f t="shared" si="27"/>
        <v>0</v>
      </c>
      <c r="L58" s="639" t="s">
        <v>192</v>
      </c>
      <c r="M58" s="479"/>
      <c r="N58" s="479" t="str">
        <f>IFERROR(VLOOKUP($B58,共通データ!$B$32:$O$37,12,FALSE),"")</f>
        <v/>
      </c>
      <c r="O58" s="489" t="str">
        <f t="shared" ref="O58:O59" si="30">IF(B58="","","[kg-CO2/kWh] ")</f>
        <v/>
      </c>
      <c r="P58" s="149"/>
      <c r="Q58" s="910" t="str">
        <f t="shared" ref="Q58:Q59" si="31">IF(B58="","",B58)</f>
        <v/>
      </c>
      <c r="R58" s="911"/>
      <c r="S58" s="715">
        <f t="shared" ref="S58:S59" si="32">IFERROR(F58*$N58,0)</f>
        <v>0</v>
      </c>
      <c r="T58" s="715">
        <f t="shared" si="28"/>
        <v>0</v>
      </c>
      <c r="U58" s="715">
        <f t="shared" si="28"/>
        <v>0</v>
      </c>
      <c r="V58" s="715">
        <f t="shared" si="28"/>
        <v>0</v>
      </c>
      <c r="W58" s="715">
        <f t="shared" si="28"/>
        <v>0</v>
      </c>
      <c r="X58" s="768">
        <f t="shared" si="29"/>
        <v>0</v>
      </c>
      <c r="Y58" s="354" t="str">
        <f>IFERROR(IF(S58=0,"",S58*$AJ$170/('製造(P)'!$K$190+'貯蔵・輸送(ST)'!$K$190+'供給(D)'!$K$190)),"")</f>
        <v/>
      </c>
      <c r="Z58" s="354" t="str">
        <f>IFERROR(IF(T58=0,"",T58*$AJ$170/('製造(P)'!$K$190+'貯蔵・輸送(ST)'!$K$190+'供給(D)'!$K$190)),"")</f>
        <v/>
      </c>
      <c r="AA58" s="354" t="str">
        <f>IFERROR(IF(U58=0,"",U58*$AJ$170/('製造(P)'!$K$190+'貯蔵・輸送(ST)'!$K$190+'供給(D)'!$K$190)),"")</f>
        <v/>
      </c>
      <c r="AB58" s="354" t="str">
        <f>IFERROR(IF(V58=0,"",V58*$AJ$170/('製造(P)'!$K$190+'貯蔵・輸送(ST)'!$K$190+'供給(D)'!$K$190)),"")</f>
        <v/>
      </c>
      <c r="AC58" s="354" t="str">
        <f>IFERROR(IF(W58=0,"",W58*$AJ$170/('製造(P)'!$K$190+'貯蔵・輸送(ST)'!$K$190+'供給(D)'!$K$190)),"")</f>
        <v/>
      </c>
      <c r="AD58" s="778" t="str">
        <f>IFERROR(IF(X58=0,"",X58*$AJ$170/('製造(P)'!$K$190+'貯蔵・輸送(ST)'!$K$190+'供給(D)'!$K$190)),"")</f>
        <v/>
      </c>
      <c r="AE58" s="685"/>
      <c r="AF58" s="356"/>
      <c r="AG58" s="207" t="s">
        <v>6937</v>
      </c>
      <c r="AH58" s="207">
        <v>362111000</v>
      </c>
      <c r="AI58" s="59"/>
      <c r="AJ58" s="538">
        <f>VLOOKUP($AH58,IDEAv2原単位!$A$3:$F$4021,6,FALSE)</f>
        <v>0.14873753178233792</v>
      </c>
      <c r="AK58" s="213" t="s">
        <v>140</v>
      </c>
      <c r="AL58" s="59"/>
      <c r="AM58" s="59"/>
      <c r="AR58" s="149"/>
    </row>
    <row r="59" spans="2:44" ht="15" customHeight="1" thickBot="1">
      <c r="B59" s="951"/>
      <c r="C59" s="952"/>
      <c r="D59" s="953"/>
      <c r="E59" s="373" t="s">
        <v>7530</v>
      </c>
      <c r="F59" s="694">
        <v>0</v>
      </c>
      <c r="G59" s="691">
        <v>0</v>
      </c>
      <c r="H59" s="691">
        <v>0</v>
      </c>
      <c r="I59" s="691">
        <v>0</v>
      </c>
      <c r="J59" s="691">
        <v>0</v>
      </c>
      <c r="K59" s="692">
        <f t="shared" si="27"/>
        <v>0</v>
      </c>
      <c r="L59" s="639" t="s">
        <v>192</v>
      </c>
      <c r="M59" s="479"/>
      <c r="N59" s="479" t="str">
        <f>IFERROR(VLOOKUP($B59,共通データ!$B$32:$O$37,12,FALSE),"")</f>
        <v/>
      </c>
      <c r="O59" s="489" t="str">
        <f t="shared" si="30"/>
        <v/>
      </c>
      <c r="P59" s="149"/>
      <c r="Q59" s="910" t="str">
        <f t="shared" si="31"/>
        <v/>
      </c>
      <c r="R59" s="911"/>
      <c r="S59" s="715">
        <f t="shared" si="32"/>
        <v>0</v>
      </c>
      <c r="T59" s="715">
        <f t="shared" si="28"/>
        <v>0</v>
      </c>
      <c r="U59" s="715">
        <f t="shared" si="28"/>
        <v>0</v>
      </c>
      <c r="V59" s="715">
        <f t="shared" si="28"/>
        <v>0</v>
      </c>
      <c r="W59" s="715">
        <f t="shared" si="28"/>
        <v>0</v>
      </c>
      <c r="X59" s="768">
        <f t="shared" si="29"/>
        <v>0</v>
      </c>
      <c r="Y59" s="354" t="str">
        <f>IFERROR(IF(S59=0,"",S59*$AJ$170/('製造(P)'!$K$190+'貯蔵・輸送(ST)'!$K$190+'供給(D)'!$K$190)),"")</f>
        <v/>
      </c>
      <c r="Z59" s="354" t="str">
        <f>IFERROR(IF(T59=0,"",T59*$AJ$170/('製造(P)'!$K$190+'貯蔵・輸送(ST)'!$K$190+'供給(D)'!$K$190)),"")</f>
        <v/>
      </c>
      <c r="AA59" s="354" t="str">
        <f>IFERROR(IF(U59=0,"",U59*$AJ$170/('製造(P)'!$K$190+'貯蔵・輸送(ST)'!$K$190+'供給(D)'!$K$190)),"")</f>
        <v/>
      </c>
      <c r="AB59" s="354" t="str">
        <f>IFERROR(IF(V59=0,"",V59*$AJ$170/('製造(P)'!$K$190+'貯蔵・輸送(ST)'!$K$190+'供給(D)'!$K$190)),"")</f>
        <v/>
      </c>
      <c r="AC59" s="354" t="str">
        <f>IFERROR(IF(W59=0,"",W59*$AJ$170/('製造(P)'!$K$190+'貯蔵・輸送(ST)'!$K$190+'供給(D)'!$K$190)),"")</f>
        <v/>
      </c>
      <c r="AD59" s="778" t="str">
        <f>IFERROR(IF(X59=0,"",X59*$AJ$170/('製造(P)'!$K$190+'貯蔵・輸送(ST)'!$K$190+'供給(D)'!$K$190)),"")</f>
        <v/>
      </c>
      <c r="AE59" s="685"/>
      <c r="AF59" s="356"/>
      <c r="AG59" s="207"/>
      <c r="AH59" s="207"/>
      <c r="AI59" s="59"/>
      <c r="AJ59" s="540"/>
      <c r="AK59" s="371"/>
      <c r="AL59" s="59"/>
      <c r="AM59" s="59"/>
      <c r="AR59" s="149"/>
    </row>
    <row r="60" spans="2:44">
      <c r="B60" s="150"/>
      <c r="C60" s="150"/>
      <c r="D60" s="151"/>
      <c r="E60" s="151"/>
      <c r="F60" s="225"/>
      <c r="G60" s="225"/>
      <c r="H60" s="225"/>
      <c r="I60" s="225"/>
      <c r="J60" s="225"/>
      <c r="K60" s="152"/>
      <c r="L60" s="152"/>
      <c r="M60" s="152"/>
      <c r="N60" s="322"/>
      <c r="O60" s="153"/>
      <c r="P60" s="149"/>
      <c r="Q60" s="147" t="s">
        <v>144</v>
      </c>
      <c r="R60" s="148"/>
      <c r="S60" s="767">
        <f t="shared" ref="S60:X60" si="33">SUM(S57:S58)</f>
        <v>3.55</v>
      </c>
      <c r="T60" s="767">
        <f t="shared" si="33"/>
        <v>0</v>
      </c>
      <c r="U60" s="767">
        <f t="shared" si="33"/>
        <v>0</v>
      </c>
      <c r="V60" s="767">
        <f t="shared" si="33"/>
        <v>0</v>
      </c>
      <c r="W60" s="767">
        <f t="shared" si="33"/>
        <v>0</v>
      </c>
      <c r="X60" s="767">
        <f t="shared" si="33"/>
        <v>3.55</v>
      </c>
      <c r="Y60" s="775">
        <f>IFERROR(S60*$AJ$170/('製造(P)'!$K$190+'貯蔵・輸送(ST)'!$K$190+'供給(D)'!$K$190),"")</f>
        <v>3.7595424228881305E-2</v>
      </c>
      <c r="Z60" s="775">
        <f>IFERROR(T60*$AJ$170/('製造(P)'!$K$190+'貯蔵・輸送(ST)'!$K$190+'供給(D)'!$K$190),"")</f>
        <v>0</v>
      </c>
      <c r="AA60" s="775">
        <f>IFERROR(U60*$AJ$170/('製造(P)'!$K$190+'貯蔵・輸送(ST)'!$K$190+'供給(D)'!$K$190),"")</f>
        <v>0</v>
      </c>
      <c r="AB60" s="775">
        <f>IFERROR(V60*$AJ$170/('製造(P)'!$K$190+'貯蔵・輸送(ST)'!$K$190+'供給(D)'!$K$190),"")</f>
        <v>0</v>
      </c>
      <c r="AC60" s="775">
        <f>IFERROR(W60*$AJ$170/('製造(P)'!$K$190+'貯蔵・輸送(ST)'!$K$190+'供給(D)'!$K$190),"")</f>
        <v>0</v>
      </c>
      <c r="AD60" s="775">
        <f>IFERROR(X60*$AJ$170/('製造(P)'!$K$190+'貯蔵・輸送(ST)'!$K$190+'供給(D)'!$K$190),"")</f>
        <v>3.7595424228881305E-2</v>
      </c>
      <c r="AE60" s="795"/>
      <c r="AF60" s="356"/>
      <c r="AG60" s="59"/>
      <c r="AH60" s="59"/>
      <c r="AI60" s="59"/>
      <c r="AJ60" s="534"/>
      <c r="AK60" s="212"/>
      <c r="AL60" s="59"/>
      <c r="AM60" s="59"/>
      <c r="AR60" s="149"/>
    </row>
    <row r="61" spans="2:44">
      <c r="B61" s="149"/>
      <c r="C61" s="149"/>
      <c r="D61" s="149"/>
      <c r="E61" s="149"/>
      <c r="F61" s="220"/>
      <c r="G61" s="220"/>
      <c r="H61" s="220"/>
      <c r="I61" s="220"/>
      <c r="J61" s="220"/>
      <c r="K61" s="149"/>
      <c r="L61" s="149"/>
      <c r="M61" s="149"/>
      <c r="N61" s="320"/>
      <c r="O61" s="149"/>
      <c r="P61" s="149"/>
      <c r="Q61" s="149"/>
      <c r="R61" s="149"/>
      <c r="S61" s="220"/>
      <c r="T61" s="220"/>
      <c r="U61" s="220"/>
      <c r="V61" s="220"/>
      <c r="W61" s="220"/>
      <c r="X61" s="220"/>
      <c r="Y61" s="355"/>
      <c r="Z61" s="355"/>
      <c r="AA61" s="355"/>
      <c r="AB61" s="355"/>
      <c r="AC61" s="355"/>
      <c r="AD61" s="355"/>
      <c r="AE61" s="805"/>
      <c r="AF61" s="355"/>
      <c r="AG61" s="59"/>
      <c r="AH61" s="59"/>
      <c r="AI61" s="59"/>
      <c r="AJ61" s="534"/>
      <c r="AK61" s="212"/>
      <c r="AL61" s="59"/>
      <c r="AM61" s="59"/>
      <c r="AR61" s="149"/>
    </row>
    <row r="62" spans="2:44">
      <c r="B62" s="915" t="s">
        <v>7734</v>
      </c>
      <c r="C62" s="915"/>
      <c r="D62" s="915"/>
      <c r="E62" s="915"/>
      <c r="F62" s="915"/>
      <c r="G62" s="915"/>
      <c r="H62" s="915"/>
      <c r="I62" s="915"/>
      <c r="J62" s="915"/>
      <c r="K62" s="915"/>
      <c r="L62" s="915"/>
      <c r="M62" s="915"/>
      <c r="N62" s="915"/>
      <c r="O62" s="915"/>
      <c r="P62" s="149"/>
      <c r="Q62" s="935" t="s">
        <v>7735</v>
      </c>
      <c r="R62" s="935"/>
      <c r="S62" s="935"/>
      <c r="T62" s="935"/>
      <c r="U62" s="935"/>
      <c r="V62" s="935"/>
      <c r="W62" s="935"/>
      <c r="X62" s="935"/>
      <c r="Y62" s="935"/>
      <c r="Z62" s="935"/>
      <c r="AA62" s="935"/>
      <c r="AB62" s="935"/>
      <c r="AC62" s="935"/>
      <c r="AD62" s="935"/>
      <c r="AE62" s="811"/>
      <c r="AF62" s="772"/>
      <c r="AG62" s="59"/>
      <c r="AH62" s="59"/>
      <c r="AI62" s="59"/>
      <c r="AJ62" s="492"/>
      <c r="AK62" s="213"/>
      <c r="AL62" s="59"/>
      <c r="AM62" s="59"/>
      <c r="AR62" s="149"/>
    </row>
    <row r="63" spans="2:44" s="149" customFormat="1">
      <c r="F63" s="220"/>
      <c r="G63" s="220"/>
      <c r="H63" s="220"/>
      <c r="I63" s="220"/>
      <c r="J63" s="220"/>
      <c r="N63" s="320"/>
      <c r="S63" s="220"/>
      <c r="T63" s="220"/>
      <c r="U63" s="220"/>
      <c r="V63" s="220"/>
      <c r="W63" s="220"/>
      <c r="X63" s="220"/>
      <c r="Y63" s="355"/>
      <c r="Z63" s="355"/>
      <c r="AA63" s="355"/>
      <c r="AB63" s="355"/>
      <c r="AC63" s="355"/>
      <c r="AD63" s="355"/>
      <c r="AE63" s="805"/>
      <c r="AF63" s="355"/>
      <c r="AG63" s="207"/>
      <c r="AH63" s="207"/>
      <c r="AJ63" s="534"/>
      <c r="AK63" s="212"/>
    </row>
    <row r="64" spans="2:44" ht="14.1" customHeight="1">
      <c r="B64" s="890" t="s">
        <v>7662</v>
      </c>
      <c r="C64" s="937"/>
      <c r="D64" s="891"/>
      <c r="E64" s="892"/>
      <c r="F64" s="938" t="s">
        <v>7669</v>
      </c>
      <c r="G64" s="939"/>
      <c r="H64" s="939"/>
      <c r="I64" s="939"/>
      <c r="J64" s="939"/>
      <c r="K64" s="940"/>
      <c r="L64" s="942" t="s">
        <v>136</v>
      </c>
      <c r="M64" s="943" t="s">
        <v>210</v>
      </c>
      <c r="N64" s="944"/>
      <c r="O64" s="945"/>
      <c r="P64" s="149"/>
      <c r="Q64" s="890" t="s">
        <v>6978</v>
      </c>
      <c r="R64" s="892"/>
      <c r="S64" s="933" t="s">
        <v>7666</v>
      </c>
      <c r="T64" s="934"/>
      <c r="U64" s="934"/>
      <c r="V64" s="934"/>
      <c r="W64" s="934"/>
      <c r="X64" s="934"/>
      <c r="Y64" s="955" t="s">
        <v>7543</v>
      </c>
      <c r="Z64" s="956"/>
      <c r="AA64" s="956"/>
      <c r="AB64" s="956"/>
      <c r="AC64" s="956"/>
      <c r="AD64" s="956"/>
      <c r="AE64" s="904" t="s">
        <v>7919</v>
      </c>
      <c r="AF64" s="771"/>
      <c r="AG64" s="207"/>
      <c r="AH64" s="207"/>
      <c r="AI64" s="59"/>
      <c r="AJ64" s="1019" t="s">
        <v>210</v>
      </c>
      <c r="AK64" s="1019"/>
      <c r="AL64" s="59"/>
      <c r="AM64" s="59"/>
      <c r="AR64" s="149"/>
    </row>
    <row r="65" spans="2:44" ht="13.8" thickBot="1">
      <c r="B65" s="896"/>
      <c r="C65" s="897"/>
      <c r="D65" s="897"/>
      <c r="E65" s="898"/>
      <c r="F65" s="312" t="s">
        <v>7426</v>
      </c>
      <c r="G65" s="312" t="s">
        <v>7427</v>
      </c>
      <c r="H65" s="312" t="s">
        <v>7428</v>
      </c>
      <c r="I65" s="312" t="s">
        <v>7429</v>
      </c>
      <c r="J65" s="312" t="s">
        <v>7430</v>
      </c>
      <c r="K65" s="313" t="s">
        <v>7431</v>
      </c>
      <c r="L65" s="942"/>
      <c r="M65" s="946"/>
      <c r="N65" s="947"/>
      <c r="O65" s="948"/>
      <c r="P65" s="149"/>
      <c r="Q65" s="896"/>
      <c r="R65" s="898"/>
      <c r="S65" s="312" t="s">
        <v>7426</v>
      </c>
      <c r="T65" s="312" t="s">
        <v>7427</v>
      </c>
      <c r="U65" s="312" t="s">
        <v>7428</v>
      </c>
      <c r="V65" s="312" t="s">
        <v>7429</v>
      </c>
      <c r="W65" s="312" t="s">
        <v>7430</v>
      </c>
      <c r="X65" s="313" t="s">
        <v>7431</v>
      </c>
      <c r="Y65" s="312" t="s">
        <v>7426</v>
      </c>
      <c r="Z65" s="312" t="s">
        <v>7427</v>
      </c>
      <c r="AA65" s="312" t="s">
        <v>7428</v>
      </c>
      <c r="AB65" s="312" t="s">
        <v>7429</v>
      </c>
      <c r="AC65" s="312" t="s">
        <v>7430</v>
      </c>
      <c r="AD65" s="774" t="s">
        <v>7431</v>
      </c>
      <c r="AE65" s="905"/>
      <c r="AF65" s="364"/>
      <c r="AG65" s="207"/>
      <c r="AH65" s="207"/>
      <c r="AI65" s="59"/>
      <c r="AJ65" s="1019"/>
      <c r="AK65" s="1019"/>
      <c r="AL65" s="59"/>
      <c r="AM65" s="59"/>
      <c r="AR65" s="149"/>
    </row>
    <row r="66" spans="2:44" ht="13.8" thickBot="1">
      <c r="B66" s="907"/>
      <c r="C66" s="908"/>
      <c r="D66" s="908"/>
      <c r="E66" s="625" t="str">
        <f>IFERROR(IF(B66="","",VLOOKUP($B66,IDEAGLIO補助ﾘｽﾄ!$B$2:$F$50,4, FALSE)),"")</f>
        <v/>
      </c>
      <c r="F66" s="695">
        <v>0</v>
      </c>
      <c r="G66" s="691">
        <v>0</v>
      </c>
      <c r="H66" s="691">
        <v>0</v>
      </c>
      <c r="I66" s="691">
        <v>0</v>
      </c>
      <c r="J66" s="691">
        <v>0</v>
      </c>
      <c r="K66" s="692">
        <f t="shared" ref="K66:K67" si="34">SUM(F66:J66)</f>
        <v>0</v>
      </c>
      <c r="L66" s="639" t="s">
        <v>192</v>
      </c>
      <c r="M66" s="479" t="str">
        <f>IFERROR(VLOOKUP($B66,IDEAGLIO補助ﾘｽﾄ!$B$2:$F$50,3,FALSE),"")</f>
        <v/>
      </c>
      <c r="N66" s="480" t="str">
        <f>IFERROR(VLOOKUP($B66,IDEAGLIO補助ﾘｽﾄ!$B$2:$F$50,5,FALSE),"")</f>
        <v/>
      </c>
      <c r="O66" s="213" t="str">
        <f>IF(E66="","","[kgCO2/"&amp;E66&amp;"] ")</f>
        <v/>
      </c>
      <c r="P66" s="149"/>
      <c r="Q66" s="910" t="str">
        <f t="shared" ref="Q66:Q67" si="35">IF(B66="","",B66)</f>
        <v/>
      </c>
      <c r="R66" s="911"/>
      <c r="S66" s="715">
        <f>IFERROR(F66*$N66,0)</f>
        <v>0</v>
      </c>
      <c r="T66" s="715">
        <f t="shared" ref="T66:W66" si="36">IFERROR(G66*$N66,0)</f>
        <v>0</v>
      </c>
      <c r="U66" s="715">
        <f t="shared" si="36"/>
        <v>0</v>
      </c>
      <c r="V66" s="715">
        <f t="shared" si="36"/>
        <v>0</v>
      </c>
      <c r="W66" s="715">
        <f t="shared" si="36"/>
        <v>0</v>
      </c>
      <c r="X66" s="705">
        <f t="shared" ref="X66:X67" si="37">SUM(S66:W66)</f>
        <v>0</v>
      </c>
      <c r="Y66" s="354" t="str">
        <f>IFERROR(IF(S66=0,"",S66*$AJ$170/('製造(P)'!$K$190+'貯蔵・輸送(ST)'!$K$190+'供給(D)'!$K$190)),"")</f>
        <v/>
      </c>
      <c r="Z66" s="354" t="str">
        <f>IFERROR(IF(T66=0,"",T66*$AJ$170/('製造(P)'!$K$190+'貯蔵・輸送(ST)'!$K$190+'供給(D)'!$K$190)),"")</f>
        <v/>
      </c>
      <c r="AA66" s="354" t="str">
        <f>IFERROR(IF(U66=0,"",U66*$AJ$170/('製造(P)'!$K$190+'貯蔵・輸送(ST)'!$K$190+'供給(D)'!$K$190)),"")</f>
        <v/>
      </c>
      <c r="AB66" s="354" t="str">
        <f>IFERROR(IF(V66=0,"",V66*$AJ$170/('製造(P)'!$K$190+'貯蔵・輸送(ST)'!$K$190+'供給(D)'!$K$190)),"")</f>
        <v/>
      </c>
      <c r="AC66" s="354" t="str">
        <f>IFERROR(IF(W66=0,"",W66*$AJ$170/('製造(P)'!$K$190+'貯蔵・輸送(ST)'!$K$190+'供給(D)'!$K$190)),"")</f>
        <v/>
      </c>
      <c r="AD66" s="778" t="str">
        <f>IFERROR(IF(X66=0,"",X66*$AJ$170/('製造(P)'!$K$190+'貯蔵・輸送(ST)'!$K$190+'供給(D)'!$K$190)),"")</f>
        <v/>
      </c>
      <c r="AE66" s="685"/>
      <c r="AF66" s="356"/>
      <c r="AG66" s="207" t="s">
        <v>6938</v>
      </c>
      <c r="AH66" s="207">
        <v>172923100</v>
      </c>
      <c r="AI66" s="59"/>
      <c r="AJ66" s="538">
        <f>VLOOKUP($AH66,IDEAv2原単位!$A$3:$F$4021,6,FALSE)</f>
        <v>6.4674570284784529</v>
      </c>
      <c r="AK66" s="213" t="s">
        <v>54</v>
      </c>
      <c r="AL66" s="59"/>
      <c r="AM66" s="59"/>
      <c r="AR66" s="149"/>
    </row>
    <row r="67" spans="2:44" ht="13.8" thickBot="1">
      <c r="B67" s="907"/>
      <c r="C67" s="908"/>
      <c r="D67" s="908"/>
      <c r="E67" s="625" t="str">
        <f>IFERROR(IF(B67="","",VLOOKUP($B67,IDEAGLIO補助ﾘｽﾄ!$B$2:$F$50,4, FALSE)),"")</f>
        <v/>
      </c>
      <c r="F67" s="695">
        <v>0</v>
      </c>
      <c r="G67" s="691">
        <v>0</v>
      </c>
      <c r="H67" s="691">
        <v>0</v>
      </c>
      <c r="I67" s="691">
        <v>0</v>
      </c>
      <c r="J67" s="691">
        <v>0</v>
      </c>
      <c r="K67" s="692">
        <f t="shared" si="34"/>
        <v>0</v>
      </c>
      <c r="L67" s="639" t="s">
        <v>192</v>
      </c>
      <c r="M67" s="479" t="str">
        <f>IFERROR(VLOOKUP($B67,IDEAGLIO補助ﾘｽﾄ!$B$2:$F$50,3,FALSE),"")</f>
        <v/>
      </c>
      <c r="N67" s="480" t="str">
        <f>IFERROR(VLOOKUP($B67,IDEAGLIO補助ﾘｽﾄ!$B$2:$F$50,5,FALSE),"")</f>
        <v/>
      </c>
      <c r="O67" s="213" t="str">
        <f t="shared" ref="O67:O70" si="38">IF(E67="","","[kgCO2/"&amp;E67&amp;"] ")</f>
        <v/>
      </c>
      <c r="P67" s="149"/>
      <c r="Q67" s="910" t="str">
        <f t="shared" si="35"/>
        <v/>
      </c>
      <c r="R67" s="911"/>
      <c r="S67" s="715">
        <f t="shared" ref="S67:S70" si="39">IFERROR(F67*$N67,0)</f>
        <v>0</v>
      </c>
      <c r="T67" s="715">
        <f t="shared" ref="T67:T70" si="40">IFERROR(G67*$N67,0)</f>
        <v>0</v>
      </c>
      <c r="U67" s="715">
        <f t="shared" ref="U67:U70" si="41">IFERROR(H67*$N67,0)</f>
        <v>0</v>
      </c>
      <c r="V67" s="715">
        <f t="shared" ref="V67:V70" si="42">IFERROR(I67*$N67,0)</f>
        <v>0</v>
      </c>
      <c r="W67" s="715">
        <f t="shared" ref="W67:W70" si="43">IFERROR(J67*$N67,0)</f>
        <v>0</v>
      </c>
      <c r="X67" s="705">
        <f t="shared" si="37"/>
        <v>0</v>
      </c>
      <c r="Y67" s="354" t="str">
        <f>IFERROR(IF(S67=0,"",S67*$AJ$170/('製造(P)'!$K$190+'貯蔵・輸送(ST)'!$K$190+'供給(D)'!$K$190)),"")</f>
        <v/>
      </c>
      <c r="Z67" s="354" t="str">
        <f>IFERROR(IF(T67=0,"",T67*$AJ$170/('製造(P)'!$K$190+'貯蔵・輸送(ST)'!$K$190+'供給(D)'!$K$190)),"")</f>
        <v/>
      </c>
      <c r="AA67" s="354" t="str">
        <f>IFERROR(IF(U67=0,"",U67*$AJ$170/('製造(P)'!$K$190+'貯蔵・輸送(ST)'!$K$190+'供給(D)'!$K$190)),"")</f>
        <v/>
      </c>
      <c r="AB67" s="354" t="str">
        <f>IFERROR(IF(V67=0,"",V67*$AJ$170/('製造(P)'!$K$190+'貯蔵・輸送(ST)'!$K$190+'供給(D)'!$K$190)),"")</f>
        <v/>
      </c>
      <c r="AC67" s="354" t="str">
        <f>IFERROR(IF(W67=0,"",W67*$AJ$170/('製造(P)'!$K$190+'貯蔵・輸送(ST)'!$K$190+'供給(D)'!$K$190)),"")</f>
        <v/>
      </c>
      <c r="AD67" s="778" t="str">
        <f>IFERROR(IF(X67=0,"",X67*$AJ$170/('製造(P)'!$K$190+'貯蔵・輸送(ST)'!$K$190+'供給(D)'!$K$190)),"")</f>
        <v/>
      </c>
      <c r="AE67" s="685"/>
      <c r="AF67" s="356"/>
      <c r="AG67" s="207" t="s">
        <v>6939</v>
      </c>
      <c r="AH67" s="207">
        <v>172111000</v>
      </c>
      <c r="AI67" s="59"/>
      <c r="AJ67" s="538">
        <f>VLOOKUP($AH67,IDEAv2原単位!$A$3:$F$4021,6,FALSE)</f>
        <v>1.3450398702957729</v>
      </c>
      <c r="AK67" s="213" t="s">
        <v>54</v>
      </c>
      <c r="AL67" s="59"/>
      <c r="AM67" s="59"/>
      <c r="AR67" s="149"/>
    </row>
    <row r="68" spans="2:44" ht="15" customHeight="1" thickBot="1">
      <c r="B68" s="907"/>
      <c r="C68" s="908"/>
      <c r="D68" s="908"/>
      <c r="E68" s="625" t="str">
        <f>IFERROR(IF(B68="","",VLOOKUP($B68,IDEAGLIO補助ﾘｽﾄ!$B$2:$F$50,4, FALSE)),"")</f>
        <v/>
      </c>
      <c r="F68" s="695">
        <v>0</v>
      </c>
      <c r="G68" s="691">
        <v>0</v>
      </c>
      <c r="H68" s="691">
        <v>0</v>
      </c>
      <c r="I68" s="691">
        <v>0</v>
      </c>
      <c r="J68" s="691">
        <v>0</v>
      </c>
      <c r="K68" s="692">
        <f>SUM(F68:J68)</f>
        <v>0</v>
      </c>
      <c r="L68" s="639" t="s">
        <v>192</v>
      </c>
      <c r="M68" s="479" t="str">
        <f>IFERROR(VLOOKUP($B68,IDEAGLIO補助ﾘｽﾄ!$B$2:$F$50,3,FALSE),"")</f>
        <v/>
      </c>
      <c r="N68" s="480" t="str">
        <f>IFERROR(VLOOKUP($B68,IDEAGLIO補助ﾘｽﾄ!$B$2:$F$50,5,FALSE),"")</f>
        <v/>
      </c>
      <c r="O68" s="213" t="str">
        <f t="shared" si="38"/>
        <v/>
      </c>
      <c r="P68" s="149"/>
      <c r="Q68" s="910" t="str">
        <f t="shared" ref="Q68" si="44">IF(B68="","",B68)</f>
        <v/>
      </c>
      <c r="R68" s="911"/>
      <c r="S68" s="715">
        <f t="shared" si="39"/>
        <v>0</v>
      </c>
      <c r="T68" s="715">
        <f t="shared" si="40"/>
        <v>0</v>
      </c>
      <c r="U68" s="715">
        <f t="shared" si="41"/>
        <v>0</v>
      </c>
      <c r="V68" s="715">
        <f t="shared" si="42"/>
        <v>0</v>
      </c>
      <c r="W68" s="715">
        <f t="shared" si="43"/>
        <v>0</v>
      </c>
      <c r="X68" s="705">
        <f>SUM(S68:W68)</f>
        <v>0</v>
      </c>
      <c r="Y68" s="354" t="str">
        <f>IFERROR(IF(S68=0,"",S68*$AJ$170/('製造(P)'!$K$190+'貯蔵・輸送(ST)'!$K$190+'供給(D)'!$K$190)),"")</f>
        <v/>
      </c>
      <c r="Z68" s="354" t="str">
        <f>IFERROR(IF(T68=0,"",T68*$AJ$170/('製造(P)'!$K$190+'貯蔵・輸送(ST)'!$K$190+'供給(D)'!$K$190)),"")</f>
        <v/>
      </c>
      <c r="AA68" s="354" t="str">
        <f>IFERROR(IF(U68=0,"",U68*$AJ$170/('製造(P)'!$K$190+'貯蔵・輸送(ST)'!$K$190+'供給(D)'!$K$190)),"")</f>
        <v/>
      </c>
      <c r="AB68" s="354" t="str">
        <f>IFERROR(IF(V68=0,"",V68*$AJ$170/('製造(P)'!$K$190+'貯蔵・輸送(ST)'!$K$190+'供給(D)'!$K$190)),"")</f>
        <v/>
      </c>
      <c r="AC68" s="354" t="str">
        <f>IFERROR(IF(W68=0,"",W68*$AJ$170/('製造(P)'!$K$190+'貯蔵・輸送(ST)'!$K$190+'供給(D)'!$K$190)),"")</f>
        <v/>
      </c>
      <c r="AD68" s="778" t="str">
        <f>IFERROR(IF(X68=0,"",X68*$AJ$170/('製造(P)'!$K$190+'貯蔵・輸送(ST)'!$K$190+'供給(D)'!$K$190)),"")</f>
        <v/>
      </c>
      <c r="AE68" s="685"/>
      <c r="AF68" s="356"/>
      <c r="AG68" s="207"/>
      <c r="AH68" s="207"/>
      <c r="AI68" s="59"/>
      <c r="AJ68" s="492"/>
      <c r="AK68" s="213" t="s">
        <v>54</v>
      </c>
      <c r="AL68" s="59"/>
      <c r="AM68" s="59"/>
      <c r="AR68" s="149"/>
    </row>
    <row r="69" spans="2:44" ht="15" customHeight="1" thickBot="1">
      <c r="B69" s="907"/>
      <c r="C69" s="908"/>
      <c r="D69" s="908"/>
      <c r="E69" s="625" t="str">
        <f>IFERROR(IF(B69="","",VLOOKUP($B69,IDEAGLIO補助ﾘｽﾄ!$B$2:$F$50,4, FALSE)),"")</f>
        <v/>
      </c>
      <c r="F69" s="695">
        <v>0</v>
      </c>
      <c r="G69" s="691">
        <v>0</v>
      </c>
      <c r="H69" s="691">
        <v>0</v>
      </c>
      <c r="I69" s="691">
        <v>0</v>
      </c>
      <c r="J69" s="691">
        <v>0</v>
      </c>
      <c r="K69" s="692">
        <f>SUM(F69:J69)</f>
        <v>0</v>
      </c>
      <c r="L69" s="639" t="s">
        <v>192</v>
      </c>
      <c r="M69" s="479" t="str">
        <f>IFERROR(VLOOKUP($B69,IDEAGLIO補助ﾘｽﾄ!$B$2:$F$50,3,FALSE),"")</f>
        <v/>
      </c>
      <c r="N69" s="480" t="str">
        <f>IFERROR(VLOOKUP($B69,IDEAGLIO補助ﾘｽﾄ!$B$2:$F$50,5,FALSE),"")</f>
        <v/>
      </c>
      <c r="O69" s="213" t="str">
        <f t="shared" si="38"/>
        <v/>
      </c>
      <c r="P69" s="149"/>
      <c r="Q69" s="910" t="str">
        <f t="shared" ref="Q69:Q70" si="45">IF(B69="","",B69)</f>
        <v/>
      </c>
      <c r="R69" s="911"/>
      <c r="S69" s="715">
        <f t="shared" si="39"/>
        <v>0</v>
      </c>
      <c r="T69" s="715">
        <f t="shared" si="40"/>
        <v>0</v>
      </c>
      <c r="U69" s="715">
        <f t="shared" si="41"/>
        <v>0</v>
      </c>
      <c r="V69" s="715">
        <f t="shared" si="42"/>
        <v>0</v>
      </c>
      <c r="W69" s="715">
        <f t="shared" si="43"/>
        <v>0</v>
      </c>
      <c r="X69" s="705">
        <f>SUM(S69:W69)</f>
        <v>0</v>
      </c>
      <c r="Y69" s="354" t="str">
        <f>IFERROR(IF(S69=0,"",S69*$AJ$170/('製造(P)'!$K$190+'貯蔵・輸送(ST)'!$K$190+'供給(D)'!$K$190)),"")</f>
        <v/>
      </c>
      <c r="Z69" s="354" t="str">
        <f>IFERROR(IF(T69=0,"",T69*$AJ$170/('製造(P)'!$K$190+'貯蔵・輸送(ST)'!$K$190+'供給(D)'!$K$190)),"")</f>
        <v/>
      </c>
      <c r="AA69" s="354" t="str">
        <f>IFERROR(IF(U69=0,"",U69*$AJ$170/('製造(P)'!$K$190+'貯蔵・輸送(ST)'!$K$190+'供給(D)'!$K$190)),"")</f>
        <v/>
      </c>
      <c r="AB69" s="354" t="str">
        <f>IFERROR(IF(V69=0,"",V69*$AJ$170/('製造(P)'!$K$190+'貯蔵・輸送(ST)'!$K$190+'供給(D)'!$K$190)),"")</f>
        <v/>
      </c>
      <c r="AC69" s="354" t="str">
        <f>IFERROR(IF(W69=0,"",W69*$AJ$170/('製造(P)'!$K$190+'貯蔵・輸送(ST)'!$K$190+'供給(D)'!$K$190)),"")</f>
        <v/>
      </c>
      <c r="AD69" s="778" t="str">
        <f>IFERROR(IF(X69=0,"",X69*$AJ$170/('製造(P)'!$K$190+'貯蔵・輸送(ST)'!$K$190+'供給(D)'!$K$190)),"")</f>
        <v/>
      </c>
      <c r="AE69" s="685"/>
      <c r="AF69" s="356"/>
      <c r="AG69" s="207"/>
      <c r="AH69" s="207"/>
      <c r="AI69" s="59"/>
      <c r="AJ69" s="492"/>
      <c r="AK69" s="213" t="s">
        <v>54</v>
      </c>
      <c r="AL69" s="59"/>
      <c r="AM69" s="59"/>
      <c r="AR69" s="149"/>
    </row>
    <row r="70" spans="2:44" ht="15" customHeight="1" thickBot="1">
      <c r="B70" s="907"/>
      <c r="C70" s="908"/>
      <c r="D70" s="908"/>
      <c r="E70" s="625" t="str">
        <f>IFERROR(IF(B70="","",VLOOKUP($B70,IDEAGLIO補助ﾘｽﾄ!$B$2:$F$50,4, FALSE)),"")</f>
        <v/>
      </c>
      <c r="F70" s="695">
        <v>0</v>
      </c>
      <c r="G70" s="691">
        <v>0</v>
      </c>
      <c r="H70" s="691">
        <v>0</v>
      </c>
      <c r="I70" s="691">
        <v>0</v>
      </c>
      <c r="J70" s="691">
        <v>0</v>
      </c>
      <c r="K70" s="692">
        <f>SUM(F70:J70)</f>
        <v>0</v>
      </c>
      <c r="L70" s="639" t="s">
        <v>192</v>
      </c>
      <c r="M70" s="479" t="str">
        <f>IFERROR(VLOOKUP($B70,IDEAGLIO補助ﾘｽﾄ!$B$2:$F$50,3,FALSE),"")</f>
        <v/>
      </c>
      <c r="N70" s="480" t="str">
        <f>IFERROR(VLOOKUP($B70,IDEAGLIO補助ﾘｽﾄ!$B$2:$F$50,5,FALSE),"")</f>
        <v/>
      </c>
      <c r="O70" s="213" t="str">
        <f t="shared" si="38"/>
        <v/>
      </c>
      <c r="P70" s="149"/>
      <c r="Q70" s="910" t="str">
        <f t="shared" si="45"/>
        <v/>
      </c>
      <c r="R70" s="911"/>
      <c r="S70" s="715">
        <f t="shared" si="39"/>
        <v>0</v>
      </c>
      <c r="T70" s="715">
        <f t="shared" si="40"/>
        <v>0</v>
      </c>
      <c r="U70" s="715">
        <f t="shared" si="41"/>
        <v>0</v>
      </c>
      <c r="V70" s="715">
        <f t="shared" si="42"/>
        <v>0</v>
      </c>
      <c r="W70" s="715">
        <f t="shared" si="43"/>
        <v>0</v>
      </c>
      <c r="X70" s="705">
        <f>SUM(S70:W70)</f>
        <v>0</v>
      </c>
      <c r="Y70" s="354" t="str">
        <f>IFERROR(IF(S70=0,"",S70*$AJ$170/('製造(P)'!$K$190+'貯蔵・輸送(ST)'!$K$190+'供給(D)'!$K$190)),"")</f>
        <v/>
      </c>
      <c r="Z70" s="354" t="str">
        <f>IFERROR(IF(T70=0,"",T70*$AJ$170/('製造(P)'!$K$190+'貯蔵・輸送(ST)'!$K$190+'供給(D)'!$K$190)),"")</f>
        <v/>
      </c>
      <c r="AA70" s="354" t="str">
        <f>IFERROR(IF(U70=0,"",U70*$AJ$170/('製造(P)'!$K$190+'貯蔵・輸送(ST)'!$K$190+'供給(D)'!$K$190)),"")</f>
        <v/>
      </c>
      <c r="AB70" s="354" t="str">
        <f>IFERROR(IF(V70=0,"",V70*$AJ$170/('製造(P)'!$K$190+'貯蔵・輸送(ST)'!$K$190+'供給(D)'!$K$190)),"")</f>
        <v/>
      </c>
      <c r="AC70" s="354" t="str">
        <f>IFERROR(IF(W70=0,"",W70*$AJ$170/('製造(P)'!$K$190+'貯蔵・輸送(ST)'!$K$190+'供給(D)'!$K$190)),"")</f>
        <v/>
      </c>
      <c r="AD70" s="778" t="str">
        <f>IFERROR(IF(X70=0,"",X70*$AJ$170/('製造(P)'!$K$190+'貯蔵・輸送(ST)'!$K$190+'供給(D)'!$K$190)),"")</f>
        <v/>
      </c>
      <c r="AE70" s="685"/>
      <c r="AF70" s="356"/>
      <c r="AG70" s="207"/>
      <c r="AH70" s="207"/>
      <c r="AI70" s="59"/>
      <c r="AJ70" s="492"/>
      <c r="AK70" s="213" t="s">
        <v>54</v>
      </c>
      <c r="AL70" s="59"/>
      <c r="AM70" s="59"/>
      <c r="AR70" s="149"/>
    </row>
    <row r="71" spans="2:44">
      <c r="B71" s="150"/>
      <c r="C71" s="150"/>
      <c r="D71" s="151"/>
      <c r="E71" s="151"/>
      <c r="F71" s="225"/>
      <c r="G71" s="225"/>
      <c r="H71" s="225"/>
      <c r="I71" s="225"/>
      <c r="J71" s="225"/>
      <c r="K71" s="152"/>
      <c r="L71" s="152"/>
      <c r="M71" s="152"/>
      <c r="N71" s="322"/>
      <c r="O71" s="153"/>
      <c r="P71" s="149"/>
      <c r="Q71" s="396" t="s">
        <v>144</v>
      </c>
      <c r="R71" s="397"/>
      <c r="S71" s="716">
        <f>SUM(S66:S70)</f>
        <v>0</v>
      </c>
      <c r="T71" s="716">
        <f t="shared" ref="T71:X71" si="46">SUM(T66:T70)</f>
        <v>0</v>
      </c>
      <c r="U71" s="716">
        <f t="shared" si="46"/>
        <v>0</v>
      </c>
      <c r="V71" s="716">
        <f t="shared" si="46"/>
        <v>0</v>
      </c>
      <c r="W71" s="716">
        <f t="shared" si="46"/>
        <v>0</v>
      </c>
      <c r="X71" s="716">
        <f t="shared" si="46"/>
        <v>0</v>
      </c>
      <c r="Y71" s="354">
        <f>IFERROR(S71*$AJ$170/('製造(P)'!$K$190+'貯蔵・輸送(ST)'!$K$190+'供給(D)'!$K$190),"")</f>
        <v>0</v>
      </c>
      <c r="Z71" s="354">
        <f>IFERROR(T71*$AJ$170/('製造(P)'!$K$190+'貯蔵・輸送(ST)'!$K$190+'供給(D)'!$K$190),"")</f>
        <v>0</v>
      </c>
      <c r="AA71" s="354">
        <f>IFERROR(U71*$AJ$170/('製造(P)'!$K$190+'貯蔵・輸送(ST)'!$K$190+'供給(D)'!$K$190),"")</f>
        <v>0</v>
      </c>
      <c r="AB71" s="354">
        <f>IFERROR(V71*$AJ$170/('製造(P)'!$K$190+'貯蔵・輸送(ST)'!$K$190+'供給(D)'!$K$190),"")</f>
        <v>0</v>
      </c>
      <c r="AC71" s="354">
        <f>IFERROR(W71*$AJ$170/('製造(P)'!$K$190+'貯蔵・輸送(ST)'!$K$190+'供給(D)'!$K$190),"")</f>
        <v>0</v>
      </c>
      <c r="AD71" s="354">
        <f>IFERROR(X71*$AJ$170/('製造(P)'!$K$190+'貯蔵・輸送(ST)'!$K$190+'供給(D)'!$K$190),"")</f>
        <v>0</v>
      </c>
      <c r="AE71" s="796"/>
      <c r="AF71" s="356"/>
      <c r="AG71" s="59"/>
      <c r="AH71" s="59"/>
      <c r="AI71" s="59"/>
      <c r="AJ71" s="534"/>
      <c r="AK71" s="212"/>
      <c r="AL71" s="59"/>
      <c r="AM71" s="59"/>
      <c r="AR71" s="149"/>
    </row>
    <row r="72" spans="2:44" s="149" customFormat="1">
      <c r="F72" s="220"/>
      <c r="G72" s="220"/>
      <c r="H72" s="220"/>
      <c r="I72" s="220"/>
      <c r="J72" s="220"/>
      <c r="N72" s="320"/>
      <c r="S72" s="220"/>
      <c r="T72" s="220"/>
      <c r="U72" s="220"/>
      <c r="V72" s="220"/>
      <c r="W72" s="220"/>
      <c r="X72" s="220"/>
      <c r="Y72" s="355"/>
      <c r="Z72" s="355"/>
      <c r="AA72" s="355"/>
      <c r="AB72" s="355"/>
      <c r="AC72" s="355"/>
      <c r="AD72" s="355"/>
      <c r="AE72" s="805"/>
      <c r="AF72" s="355"/>
      <c r="AJ72" s="534"/>
      <c r="AK72" s="212"/>
    </row>
    <row r="73" spans="2:44">
      <c r="B73" s="915" t="s">
        <v>7462</v>
      </c>
      <c r="C73" s="915"/>
      <c r="D73" s="915"/>
      <c r="E73" s="915"/>
      <c r="F73" s="915"/>
      <c r="G73" s="915"/>
      <c r="H73" s="915"/>
      <c r="I73" s="915"/>
      <c r="J73" s="915"/>
      <c r="K73" s="915"/>
      <c r="L73" s="915"/>
      <c r="M73" s="915"/>
      <c r="N73" s="915"/>
      <c r="O73" s="915"/>
      <c r="P73" s="149"/>
      <c r="Q73" s="935" t="s">
        <v>7736</v>
      </c>
      <c r="R73" s="935"/>
      <c r="S73" s="935"/>
      <c r="T73" s="935"/>
      <c r="U73" s="935"/>
      <c r="V73" s="935"/>
      <c r="W73" s="935"/>
      <c r="X73" s="935"/>
      <c r="Y73" s="935"/>
      <c r="Z73" s="935"/>
      <c r="AA73" s="935"/>
      <c r="AB73" s="935"/>
      <c r="AC73" s="935"/>
      <c r="AD73" s="935"/>
      <c r="AE73" s="811"/>
      <c r="AF73" s="772"/>
      <c r="AG73" s="59"/>
      <c r="AH73" s="59"/>
      <c r="AI73" s="59"/>
      <c r="AJ73" s="492"/>
      <c r="AK73" s="213"/>
      <c r="AL73" s="59"/>
      <c r="AM73" s="59"/>
      <c r="AR73" s="149"/>
    </row>
    <row r="74" spans="2:44" s="149" customFormat="1">
      <c r="F74" s="220"/>
      <c r="G74" s="220"/>
      <c r="H74" s="220"/>
      <c r="I74" s="220"/>
      <c r="J74" s="220"/>
      <c r="N74" s="320"/>
      <c r="S74" s="220"/>
      <c r="T74" s="220"/>
      <c r="U74" s="220"/>
      <c r="V74" s="220"/>
      <c r="W74" s="220"/>
      <c r="X74" s="220"/>
      <c r="Y74" s="355"/>
      <c r="Z74" s="355"/>
      <c r="AA74" s="355"/>
      <c r="AB74" s="355"/>
      <c r="AC74" s="355"/>
      <c r="AD74" s="355"/>
      <c r="AE74" s="805"/>
      <c r="AF74" s="355"/>
      <c r="AG74" s="207"/>
      <c r="AH74" s="207"/>
      <c r="AJ74" s="534"/>
      <c r="AK74" s="212"/>
    </row>
    <row r="75" spans="2:44" ht="14.1" customHeight="1">
      <c r="B75" s="954" t="s">
        <v>7661</v>
      </c>
      <c r="C75" s="937"/>
      <c r="D75" s="937"/>
      <c r="E75" s="286"/>
      <c r="F75" s="938" t="s">
        <v>7669</v>
      </c>
      <c r="G75" s="939"/>
      <c r="H75" s="939"/>
      <c r="I75" s="939"/>
      <c r="J75" s="939"/>
      <c r="K75" s="940"/>
      <c r="L75" s="955" t="s">
        <v>136</v>
      </c>
      <c r="M75" s="854"/>
      <c r="N75" s="957"/>
      <c r="O75" s="957"/>
      <c r="P75" s="149"/>
      <c r="Q75" s="954" t="s">
        <v>7765</v>
      </c>
      <c r="R75" s="975"/>
      <c r="S75" s="933" t="s">
        <v>7666</v>
      </c>
      <c r="T75" s="934"/>
      <c r="U75" s="934"/>
      <c r="V75" s="934"/>
      <c r="W75" s="934"/>
      <c r="X75" s="934"/>
      <c r="Y75" s="949" t="s">
        <v>7543</v>
      </c>
      <c r="Z75" s="950"/>
      <c r="AA75" s="950"/>
      <c r="AB75" s="950"/>
      <c r="AC75" s="950"/>
      <c r="AD75" s="950"/>
      <c r="AE75" s="906" t="s">
        <v>7921</v>
      </c>
      <c r="AF75" s="771"/>
      <c r="AG75" s="207"/>
      <c r="AH75" s="207"/>
      <c r="AI75" s="59"/>
      <c r="AJ75" s="1019" t="s">
        <v>210</v>
      </c>
      <c r="AK75" s="1019"/>
      <c r="AL75" s="59"/>
      <c r="AM75" s="59"/>
      <c r="AR75" s="149"/>
    </row>
    <row r="76" spans="2:44">
      <c r="B76" s="893"/>
      <c r="C76" s="894"/>
      <c r="D76" s="897"/>
      <c r="E76" s="287"/>
      <c r="F76" s="266" t="s">
        <v>7432</v>
      </c>
      <c r="G76" s="266" t="s">
        <v>7051</v>
      </c>
      <c r="H76" s="266" t="s">
        <v>7052</v>
      </c>
      <c r="I76" s="266" t="s">
        <v>7053</v>
      </c>
      <c r="J76" s="266" t="s">
        <v>6964</v>
      </c>
      <c r="K76" s="278"/>
      <c r="L76" s="956"/>
      <c r="M76" s="957"/>
      <c r="N76" s="957"/>
      <c r="O76" s="957"/>
      <c r="P76" s="149"/>
      <c r="Q76" s="896"/>
      <c r="R76" s="898"/>
      <c r="S76" s="370" t="s">
        <v>7521</v>
      </c>
      <c r="T76" s="370" t="s">
        <v>7522</v>
      </c>
      <c r="U76" s="370" t="s">
        <v>7523</v>
      </c>
      <c r="V76" s="370" t="s">
        <v>7524</v>
      </c>
      <c r="W76" s="370" t="s">
        <v>7525</v>
      </c>
      <c r="X76" s="313" t="s">
        <v>7431</v>
      </c>
      <c r="Y76" s="792" t="s">
        <v>7922</v>
      </c>
      <c r="Z76" s="792" t="s">
        <v>7923</v>
      </c>
      <c r="AA76" s="792" t="s">
        <v>7924</v>
      </c>
      <c r="AB76" s="792" t="s">
        <v>7685</v>
      </c>
      <c r="AC76" s="792" t="s">
        <v>7925</v>
      </c>
      <c r="AD76" s="791" t="s">
        <v>7431</v>
      </c>
      <c r="AE76" s="906"/>
      <c r="AF76" s="777"/>
      <c r="AG76" s="207"/>
      <c r="AH76" s="207"/>
      <c r="AI76" s="59"/>
      <c r="AJ76" s="1019"/>
      <c r="AK76" s="1019"/>
      <c r="AL76" s="59"/>
      <c r="AM76" s="59"/>
      <c r="AR76" s="149"/>
    </row>
    <row r="77" spans="2:44" ht="13.8" thickBot="1">
      <c r="B77" s="985" t="s">
        <v>7042</v>
      </c>
      <c r="C77" s="986"/>
      <c r="D77" s="273" t="s">
        <v>7018</v>
      </c>
      <c r="E77" s="274" t="s">
        <v>7033</v>
      </c>
      <c r="F77" s="696"/>
      <c r="G77" s="696"/>
      <c r="H77" s="696"/>
      <c r="I77" s="696"/>
      <c r="J77" s="696"/>
      <c r="K77" s="279"/>
      <c r="L77" s="639" t="s">
        <v>192</v>
      </c>
      <c r="M77" s="152"/>
      <c r="N77" s="323"/>
      <c r="O77" s="153"/>
      <c r="P77" s="149"/>
      <c r="Q77" s="1010" t="s">
        <v>7018</v>
      </c>
      <c r="R77" s="1011"/>
      <c r="S77" s="718">
        <f>IFERROR(IF($Q$77=$B$78,IF(F78="ガソリン",F77*IDEAv2原単位!$F$1697*共通データ!$F$9,IF(F78="軽油", F77*IDEAv2原単位!$F$1706*共通データ!$F$11,"")),0),0)</f>
        <v>0</v>
      </c>
      <c r="T77" s="718">
        <f>IFERROR(IF($Q$77=$B$78,IF(G78="ガソリン",G77*IDEAv2原単位!$F$1697*共通データ!$F$9,IF(G78="軽油", G77*IDEAv2原単位!$F$1706*共通データ!$F$11,"")),0),0)</f>
        <v>0</v>
      </c>
      <c r="U77" s="718">
        <f>IFERROR(IF($Q$77=$B$78,IF(H78="ガソリン",H77*IDEAv2原単位!$F$1697*共通データ!$F$9,IF(H78="軽油", H77*IDEAv2原単位!$F$1706*共通データ!$F$11,"")),0),0)</f>
        <v>0</v>
      </c>
      <c r="V77" s="718">
        <f>IFERROR(IF($Q$77=$B$78,IF(I78="ガソリン",I77*IDEAv2原単位!$F$1697*共通データ!$F$9,IF(I78="軽油", I77*IDEAv2原単位!$F$1706*共通データ!$F$11,"")),0),0)</f>
        <v>0</v>
      </c>
      <c r="W77" s="718">
        <f>IFERROR(IF($Q$77=$B$78,IF(J78="ガソリン",J77*IDEAv2原単位!$F$1697*共通データ!$F$9,IF(J78="軽油", J77*IDEAv2原単位!$F$1706*共通データ!$F$11,"")),0),0)</f>
        <v>0</v>
      </c>
      <c r="X77" s="719">
        <f t="shared" ref="X77" si="47">SUM(S77:W77)</f>
        <v>0</v>
      </c>
      <c r="Y77" s="354" t="str">
        <f>IFERROR(IF(S77=0,"",S77*$AJ$170/('製造(P)'!$K$190+'貯蔵・輸送(ST)'!$K$190+'供給(D)'!$K$190)),"")</f>
        <v/>
      </c>
      <c r="Z77" s="354" t="str">
        <f>IFERROR(IF(T77=0,"",T77*$AJ$170/('製造(P)'!$K$190+'貯蔵・輸送(ST)'!$K$190+'供給(D)'!$K$190)),"")</f>
        <v/>
      </c>
      <c r="AA77" s="354" t="str">
        <f>IFERROR(IF(U77=0,"",U77*$AJ$170/('製造(P)'!$K$190+'貯蔵・輸送(ST)'!$K$190+'供給(D)'!$K$190)),"")</f>
        <v/>
      </c>
      <c r="AB77" s="354" t="str">
        <f>IFERROR(IF(V77=0,"",V77*$AJ$170/('製造(P)'!$K$190+'貯蔵・輸送(ST)'!$K$190+'供給(D)'!$K$190)),"")</f>
        <v/>
      </c>
      <c r="AC77" s="354" t="str">
        <f>IFERROR(IF(W77=0,"",W77*$AJ$170/('製造(P)'!$K$190+'貯蔵・輸送(ST)'!$K$190+'供給(D)'!$K$190)),"")</f>
        <v/>
      </c>
      <c r="AD77" s="778" t="str">
        <f>IFERROR(IF(X77=0,"",X77*$AJ$170/('製造(P)'!$K$190+'貯蔵・輸送(ST)'!$K$190+'供給(D)'!$K$190)),"")</f>
        <v/>
      </c>
      <c r="AE77" s="786"/>
      <c r="AF77" s="356"/>
      <c r="AG77" s="207" t="s">
        <v>6938</v>
      </c>
      <c r="AH77" s="207">
        <v>172923100</v>
      </c>
      <c r="AI77" s="59"/>
      <c r="AJ77" s="538">
        <f>VLOOKUP($AH77,IDEAv2原単位!$A$3:$F$4021,6,FALSE)</f>
        <v>6.4674570284784529</v>
      </c>
      <c r="AK77" s="213" t="s">
        <v>54</v>
      </c>
      <c r="AL77" s="59"/>
      <c r="AM77" s="59"/>
      <c r="AR77" s="149"/>
    </row>
    <row r="78" spans="2:44" ht="13.8" thickBot="1">
      <c r="B78" s="987" t="s">
        <v>7019</v>
      </c>
      <c r="C78" s="988"/>
      <c r="D78" s="242"/>
      <c r="E78" s="242" t="s">
        <v>7032</v>
      </c>
      <c r="F78" s="645"/>
      <c r="G78" s="645"/>
      <c r="H78" s="645"/>
      <c r="I78" s="645"/>
      <c r="J78" s="645"/>
      <c r="K78" s="403"/>
      <c r="L78" s="639" t="s">
        <v>192</v>
      </c>
      <c r="M78" s="152"/>
      <c r="N78" s="323"/>
      <c r="O78" s="153"/>
      <c r="P78" s="149"/>
      <c r="Q78" s="357"/>
      <c r="R78" s="358"/>
      <c r="S78" s="351"/>
      <c r="T78" s="351"/>
      <c r="U78" s="351"/>
      <c r="V78" s="351"/>
      <c r="W78" s="351"/>
      <c r="X78" s="241"/>
      <c r="Y78" s="356"/>
      <c r="Z78" s="356"/>
      <c r="AA78" s="356"/>
      <c r="AB78" s="356"/>
      <c r="AC78" s="356"/>
      <c r="AD78" s="356"/>
      <c r="AE78" s="807"/>
      <c r="AF78" s="356"/>
      <c r="AG78" s="207"/>
      <c r="AH78" s="207"/>
      <c r="AI78" s="59"/>
      <c r="AJ78" s="538"/>
      <c r="AK78" s="213"/>
      <c r="AL78" s="59"/>
      <c r="AM78" s="59"/>
      <c r="AR78" s="149"/>
    </row>
    <row r="79" spans="2:44">
      <c r="B79" s="336"/>
      <c r="C79" s="334"/>
      <c r="D79" s="273" t="s">
        <v>7019</v>
      </c>
      <c r="E79" s="274" t="s">
        <v>7036</v>
      </c>
      <c r="F79" s="697"/>
      <c r="G79" s="698"/>
      <c r="H79" s="698"/>
      <c r="I79" s="698"/>
      <c r="J79" s="698"/>
      <c r="K79" s="280"/>
      <c r="L79" s="639" t="s">
        <v>192</v>
      </c>
      <c r="M79" s="152"/>
      <c r="N79" s="323"/>
      <c r="O79" s="153"/>
      <c r="P79" s="149"/>
      <c r="Q79" s="1012" t="str">
        <f>D79</f>
        <v>燃費法</v>
      </c>
      <c r="R79" s="1013"/>
      <c r="S79" s="718" t="str">
        <f>IF($Q$79=$B$78,IF(F80="",AL79,AL80),0)</f>
        <v/>
      </c>
      <c r="T79" s="718" t="str">
        <f>IF($Q$79=$B$78,IF(G80="",AM79,AM80),0)</f>
        <v/>
      </c>
      <c r="U79" s="718" t="str">
        <f>IF($Q$79=$B$78,IF(H80="",AN79,AN80),0)</f>
        <v/>
      </c>
      <c r="V79" s="718" t="str">
        <f>IF($Q$79=$B$78,IF(I80="",AO79,AO80),0)</f>
        <v/>
      </c>
      <c r="W79" s="718" t="str">
        <f>IF($Q$79=$B$78,IF(J80="",AP79,AP80),0)</f>
        <v/>
      </c>
      <c r="X79" s="719">
        <f>SUM(S79:W79)</f>
        <v>0</v>
      </c>
      <c r="Y79" s="354" t="str">
        <f>IFERROR(IF(S79=0,"",S79*$AJ$170/('製造(P)'!$K$190+'貯蔵・輸送(ST)'!$K$190+'供給(D)'!$K$190)),"")</f>
        <v/>
      </c>
      <c r="Z79" s="354" t="str">
        <f>IFERROR(IF(T79=0,"",T79*$AJ$170/('製造(P)'!$K$190+'貯蔵・輸送(ST)'!$K$190+'供給(D)'!$K$190)),"")</f>
        <v/>
      </c>
      <c r="AA79" s="354" t="str">
        <f>IFERROR(IF(U79=0,"",U79*$AJ$170/('製造(P)'!$K$190+'貯蔵・輸送(ST)'!$K$190+'供給(D)'!$K$190)),"")</f>
        <v/>
      </c>
      <c r="AB79" s="354" t="str">
        <f>IFERROR(IF(V79=0,"",V79*$AJ$170/('製造(P)'!$K$190+'貯蔵・輸送(ST)'!$K$190+'供給(D)'!$K$190)),"")</f>
        <v/>
      </c>
      <c r="AC79" s="354" t="str">
        <f>IFERROR(IF(W79=0,"",W79*$AJ$170/('製造(P)'!$K$190+'貯蔵・輸送(ST)'!$K$190+'供給(D)'!$K$190)),"")</f>
        <v/>
      </c>
      <c r="AD79" s="778" t="str">
        <f>IFERROR(IF(X79=0,"",X79*$AJ$170/('製造(P)'!$K$190+'貯蔵・輸送(ST)'!$K$190+'供給(D)'!$K$190)),"")</f>
        <v/>
      </c>
      <c r="AE79" s="785"/>
      <c r="AF79" s="356"/>
      <c r="AG79" s="207"/>
      <c r="AH79" s="207"/>
      <c r="AI79" s="59"/>
      <c r="AJ79" s="538"/>
      <c r="AK79" s="213"/>
      <c r="AL79" s="283" t="str">
        <f>IFERROR(IF(F81="ガソリン",F79/4.96/1000*IDEAv2原単位!$F$1697*共通データ!$E$9,IF(F81="軽油",F79/VLOOKUP(F82,輸送算定用!$B$17:$C$22,2,FALSE)/1000*IDEAv2原単位!$F$1706*共通データ!$E$11,"")),"")</f>
        <v/>
      </c>
      <c r="AM79" s="283" t="str">
        <f>IFERROR(IF(G81="ガソリン",G79/4.96/1000*IDEAv2原単位!$F$1697*共通データ!$E$9,IF(G81="軽油",G79/VLOOKUP(G82,輸送算定用!$B$17:$C$22,2,FALSE)/1000*IDEAv2原単位!$F$1706*共通データ!$E$11,"")),"")</f>
        <v/>
      </c>
      <c r="AN79" s="283" t="str">
        <f>IFERROR(IF(H81="ガソリン",H79/4.96/1000*IDEAv2原単位!$F$1697*共通データ!$E$9,IF(H81="軽油",H79/VLOOKUP(H82,輸送算定用!$B$17:$C$22,2,FALSE)/1000*IDEAv2原単位!$F$1706*共通データ!$E$11,"")),"")</f>
        <v/>
      </c>
      <c r="AO79" s="283" t="str">
        <f>IFERROR(IF(I81="ガソリン",I79/4.96/1000*IDEAv2原単位!$F$1697*共通データ!$E$9,IF(I81="軽油",I79/VLOOKUP(I82,輸送算定用!$B$17:$C$22,2,FALSE)/1000*IDEAv2原単位!$F$1706*共通データ!$E$11,"")),"")</f>
        <v/>
      </c>
      <c r="AP79" s="283" t="str">
        <f>IFERROR(IF(J81="ガソリン",J79/4.96/1000*IDEAv2原単位!$F$1697*共通データ!$E$9,IF(J81="軽油",J79/VLOOKUP(J82,輸送算定用!$B$17:$C$22,2,FALSE)/1000*IDEAv2原単位!$F$1706*共通データ!$E$11,"")),"")</f>
        <v/>
      </c>
      <c r="AQ79" s="283" t="str">
        <f>IFERROR(IF(K81="ガソリン",K79/4.96/1000*IDEAv2原単位!$F$1697*共通データ!$E$9,IF(K81="軽油",K79/VLOOKUP(K82,輸送算定用!$B$17:$C$22,2,FALSE)/1000*IDEAv2原単位!$F$1706*共通データ!$E$11,"")),"")</f>
        <v/>
      </c>
      <c r="AR79" s="149"/>
    </row>
    <row r="80" spans="2:44" ht="13.8" thickBot="1">
      <c r="B80" s="336"/>
      <c r="C80" s="334"/>
      <c r="D80" s="242"/>
      <c r="E80" s="275" t="s">
        <v>7037</v>
      </c>
      <c r="F80" s="699"/>
      <c r="G80" s="696"/>
      <c r="H80" s="696"/>
      <c r="I80" s="696"/>
      <c r="J80" s="696"/>
      <c r="K80" s="279"/>
      <c r="L80" s="639" t="s">
        <v>192</v>
      </c>
      <c r="M80" s="152"/>
      <c r="N80" s="323"/>
      <c r="O80" s="153"/>
      <c r="P80" s="149"/>
      <c r="Q80" s="1024"/>
      <c r="R80" s="1025"/>
      <c r="S80" s="351"/>
      <c r="T80" s="351"/>
      <c r="U80" s="351"/>
      <c r="V80" s="351"/>
      <c r="W80" s="351"/>
      <c r="X80" s="241"/>
      <c r="Y80" s="356"/>
      <c r="Z80" s="356"/>
      <c r="AA80" s="356"/>
      <c r="AB80" s="356"/>
      <c r="AC80" s="356"/>
      <c r="AD80" s="783"/>
      <c r="AE80" s="782"/>
      <c r="AF80" s="356"/>
      <c r="AG80" s="207"/>
      <c r="AH80" s="207"/>
      <c r="AI80" s="59"/>
      <c r="AJ80" s="538"/>
      <c r="AK80" s="213"/>
      <c r="AL80" s="284" t="str">
        <f>IFERROR(IF(F81="ガソリン",F79/F80/1000*IDEAv2原単位!$F$1697*共通データ!$E$9,IF(F81="軽油",F79/F80/1000*IDEAv2原単位!$F$1706*共通データ!$E$11,"")),"")</f>
        <v/>
      </c>
      <c r="AM80" s="284" t="str">
        <f>IFERROR(IF(G81="ガソリン",G79/G80/1000*IDEAv2原単位!$F$1697*共通データ!$E$9,IF(G81="軽油",G79/G80/1000*IDEAv2原単位!$F$1706*共通データ!$E$11,"")),"")</f>
        <v/>
      </c>
      <c r="AN80" s="284" t="str">
        <f>IFERROR(IF(H81="ガソリン",H79/H80/1000*IDEAv2原単位!$F$1697*共通データ!$E$9,IF(H81="軽油",H79/H80/1000*IDEAv2原単位!$F$1706*共通データ!$E$11,"")),"")</f>
        <v/>
      </c>
      <c r="AO80" s="284" t="str">
        <f>IFERROR(IF(I81="ガソリン",I79/I80/1000*IDEAv2原単位!$F$1697*共通データ!$E$9,IF(I81="軽油",I79/I80/1000*IDEAv2原単位!$F$1706*共通データ!$E$11,"")),"")</f>
        <v/>
      </c>
      <c r="AP80" s="284" t="str">
        <f>IFERROR(IF(J81="ガソリン",J79/J80/1000*IDEAv2原単位!$F$1697*共通データ!$E$9,IF(J81="軽油",J79/J80/1000*IDEAv2原単位!$F$1706*共通データ!$E$11,"")),"")</f>
        <v/>
      </c>
      <c r="AQ80" s="284" t="str">
        <f>IFERROR(IF(K81="ガソリン",K79/K80/1000*IDEAv2原単位!$F$1697*共通データ!$E$9,IF(K81="軽油",K79/K80/1000*IDEAv2原単位!$F$1706*共通データ!$E$11,"")),"")</f>
        <v/>
      </c>
      <c r="AR80" s="149"/>
    </row>
    <row r="81" spans="2:44" ht="13.8" thickBot="1">
      <c r="B81" s="336"/>
      <c r="C81" s="334"/>
      <c r="D81" s="242"/>
      <c r="E81" s="242" t="s">
        <v>7032</v>
      </c>
      <c r="F81" s="645"/>
      <c r="G81" s="645"/>
      <c r="H81" s="645"/>
      <c r="I81" s="645"/>
      <c r="J81" s="645"/>
      <c r="K81" s="403"/>
      <c r="L81" s="639" t="s">
        <v>192</v>
      </c>
      <c r="M81" s="152"/>
      <c r="N81" s="323"/>
      <c r="O81" s="153"/>
      <c r="P81" s="149"/>
      <c r="Q81" s="1020"/>
      <c r="R81" s="1021"/>
      <c r="S81" s="351"/>
      <c r="T81" s="351"/>
      <c r="U81" s="351"/>
      <c r="V81" s="351"/>
      <c r="W81" s="351"/>
      <c r="X81" s="241"/>
      <c r="Y81" s="356"/>
      <c r="Z81" s="356"/>
      <c r="AA81" s="356"/>
      <c r="AB81" s="356"/>
      <c r="AC81" s="356"/>
      <c r="AD81" s="806"/>
      <c r="AE81" s="807"/>
      <c r="AF81" s="356"/>
      <c r="AG81" s="207"/>
      <c r="AH81" s="207"/>
      <c r="AI81" s="59"/>
      <c r="AJ81" s="538"/>
      <c r="AK81" s="213"/>
      <c r="AL81" s="59"/>
      <c r="AM81" s="59"/>
      <c r="AR81" s="149"/>
    </row>
    <row r="82" spans="2:44" ht="13.8" thickBot="1">
      <c r="B82" s="336"/>
      <c r="C82" s="334"/>
      <c r="D82" s="276"/>
      <c r="E82" s="276" t="s">
        <v>7038</v>
      </c>
      <c r="F82" s="700"/>
      <c r="G82" s="700"/>
      <c r="H82" s="700"/>
      <c r="I82" s="700"/>
      <c r="J82" s="700"/>
      <c r="K82" s="403"/>
      <c r="L82" s="639" t="s">
        <v>192</v>
      </c>
      <c r="M82" s="152"/>
      <c r="N82" s="323"/>
      <c r="O82" s="153"/>
      <c r="P82" s="149"/>
      <c r="Q82" s="1022"/>
      <c r="R82" s="1023"/>
      <c r="S82" s="351"/>
      <c r="T82" s="351"/>
      <c r="U82" s="351"/>
      <c r="V82" s="351"/>
      <c r="W82" s="351"/>
      <c r="X82" s="241"/>
      <c r="Y82" s="356"/>
      <c r="Z82" s="356"/>
      <c r="AA82" s="356"/>
      <c r="AB82" s="356"/>
      <c r="AC82" s="356"/>
      <c r="AD82" s="781"/>
      <c r="AE82" s="780"/>
      <c r="AF82" s="356"/>
      <c r="AG82" s="207"/>
      <c r="AH82" s="207"/>
      <c r="AI82" s="59"/>
      <c r="AJ82" s="538"/>
      <c r="AK82" s="213"/>
      <c r="AL82" s="59"/>
      <c r="AM82" s="59"/>
      <c r="AR82" s="149"/>
    </row>
    <row r="83" spans="2:44" ht="15" customHeight="1">
      <c r="B83" s="336"/>
      <c r="C83" s="334"/>
      <c r="D83" s="273" t="s">
        <v>7020</v>
      </c>
      <c r="E83" s="274" t="s">
        <v>7036</v>
      </c>
      <c r="F83" s="697"/>
      <c r="G83" s="698"/>
      <c r="H83" s="698"/>
      <c r="I83" s="698"/>
      <c r="J83" s="698"/>
      <c r="K83" s="279"/>
      <c r="L83" s="639" t="s">
        <v>192</v>
      </c>
      <c r="M83" s="152"/>
      <c r="N83" s="324"/>
      <c r="O83" s="264"/>
      <c r="P83" s="149"/>
      <c r="Q83" s="1014" t="str">
        <f>D83</f>
        <v>改良トンキロ法</v>
      </c>
      <c r="R83" s="1015"/>
      <c r="S83" s="718">
        <f>IFERROR(IF($B$78=$Q$83,IF(F85="ガソリン", F83*F84*EXP(2.67+LN(F86/100)*(-0.927)+LN(F87)*(-0.648))/1000*IDEAv2原単位!$F$1697*共通データ!$F$9,IF(F85="軽油", F83*F84*EXP(2.71+LN(F86/100)*(-0.812)+LN(F87)*(-0.654))/1000*IDEAv2原単位!$F$1706*共通データ!$F$11,0)),0),0)</f>
        <v>0</v>
      </c>
      <c r="T83" s="718">
        <f>IFERROR(IF($B$78=$Q$83,IF(G85="ガソリン", G83*G84*EXP(2.67+LN(G86/100)*(-0.927)+LN(G87)*(-0.648))/1000*IDEAv2原単位!$F$1697*共通データ!$F$9,IF(G85="軽油", G83*G84*EXP(2.71+LN(G86/100)*(-0.812)+LN(G87)*(-0.654))/1000*IDEAv2原単位!$F$1706*共通データ!$F$11,0)),0),0)</f>
        <v>0</v>
      </c>
      <c r="U83" s="718">
        <f>IFERROR(IF($B$78=$Q$83,IF(H85="ガソリン", H83*H84*EXP(2.67+LN(H86/100)*(-0.927)+LN(H87)*(-0.648))/1000*IDEAv2原単位!$F$1697*共通データ!$F$9,IF(H85="軽油", H83*H84*EXP(2.71+LN(H86/100)*(-0.812)+LN(H87)*(-0.654))/1000*IDEAv2原単位!$F$1706*共通データ!$F$11,0)),0),0)</f>
        <v>0</v>
      </c>
      <c r="V83" s="718">
        <f>IFERROR(IF($B$78=$Q$83,IF(I85="ガソリン", I83*I84*EXP(2.67+LN(I86/100)*(-0.927)+LN(I87)*(-0.648))/1000*IDEAv2原単位!$F$1697*共通データ!$F$9,IF(I85="軽油", I83*I84*EXP(2.71+LN(I86/100)*(-0.812)+LN(I87)*(-0.654))/1000*IDEAv2原単位!$F$1706*共通データ!$F$11,0)),0),0)</f>
        <v>0</v>
      </c>
      <c r="W83" s="718">
        <f>IFERROR(IF($B$78=$Q$83,IF(J85="ガソリン", J83*J84*EXP(2.67+LN(J86/100)*(-0.927)+LN(J87)*(-0.648))/1000*IDEAv2原単位!$F$1697*共通データ!$F$9,IF(J85="軽油", J83*J84*EXP(2.71+LN(J86/100)*(-0.812)+LN(J87)*(-0.654))/1000*IDEAv2原単位!$F$1706*共通データ!$F$11,0)),0),0)</f>
        <v>0</v>
      </c>
      <c r="X83" s="719">
        <f t="shared" ref="X83" si="48">SUM(S83:W83)</f>
        <v>0</v>
      </c>
      <c r="Y83" s="354" t="str">
        <f>IFERROR(IF(S83=0,"",S83*$AJ$170/('製造(P)'!$K$190+'貯蔵・輸送(ST)'!$K$190+'供給(D)'!$K$190)),"")</f>
        <v/>
      </c>
      <c r="Z83" s="354" t="str">
        <f>IFERROR(IF(T83=0,"",T83*$AJ$170/('製造(P)'!$K$190+'貯蔵・輸送(ST)'!$K$190+'供給(D)'!$K$190)),"")</f>
        <v/>
      </c>
      <c r="AA83" s="354" t="str">
        <f>IFERROR(IF(U83=0,"",U83*$AJ$170/('製造(P)'!$K$190+'貯蔵・輸送(ST)'!$K$190+'供給(D)'!$K$190)),"")</f>
        <v/>
      </c>
      <c r="AB83" s="354" t="str">
        <f>IFERROR(IF(V83=0,"",V83*$AJ$170/('製造(P)'!$K$190+'貯蔵・輸送(ST)'!$K$190+'供給(D)'!$K$190)),"")</f>
        <v/>
      </c>
      <c r="AC83" s="354" t="str">
        <f>IFERROR(IF(W83=0,"",W83*$AJ$170/('製造(P)'!$K$190+'貯蔵・輸送(ST)'!$K$190+'供給(D)'!$K$190)),"")</f>
        <v/>
      </c>
      <c r="AD83" s="778" t="str">
        <f>IFERROR(IF(X83=0,"",X83*$AJ$170/('製造(P)'!$K$190+'貯蔵・輸送(ST)'!$K$190+'供給(D)'!$K$190)),"")</f>
        <v/>
      </c>
      <c r="AE83" s="785"/>
      <c r="AF83" s="356"/>
      <c r="AG83" s="207"/>
      <c r="AH83" s="207"/>
      <c r="AI83" s="59"/>
      <c r="AJ83" s="492"/>
      <c r="AK83" s="213" t="s">
        <v>54</v>
      </c>
      <c r="AL83" s="59"/>
      <c r="AM83" s="59"/>
      <c r="AR83" s="149"/>
    </row>
    <row r="84" spans="2:44" ht="15" customHeight="1" thickBot="1">
      <c r="B84" s="336"/>
      <c r="C84" s="334"/>
      <c r="D84" s="242"/>
      <c r="E84" s="275" t="s">
        <v>7040</v>
      </c>
      <c r="F84" s="699"/>
      <c r="G84" s="696"/>
      <c r="H84" s="696"/>
      <c r="I84" s="696"/>
      <c r="J84" s="696"/>
      <c r="K84" s="279"/>
      <c r="L84" s="639" t="s">
        <v>192</v>
      </c>
      <c r="M84" s="152"/>
      <c r="N84" s="324"/>
      <c r="O84" s="264"/>
      <c r="P84" s="149"/>
      <c r="Q84" s="281"/>
      <c r="R84" s="282"/>
      <c r="S84" s="351"/>
      <c r="T84" s="351"/>
      <c r="U84" s="351"/>
      <c r="V84" s="351"/>
      <c r="W84" s="351"/>
      <c r="X84" s="241"/>
      <c r="Y84" s="356"/>
      <c r="Z84" s="356"/>
      <c r="AA84" s="356"/>
      <c r="AB84" s="356"/>
      <c r="AC84" s="356"/>
      <c r="AD84" s="783"/>
      <c r="AE84" s="782"/>
      <c r="AF84" s="356"/>
      <c r="AG84" s="207"/>
      <c r="AH84" s="207"/>
      <c r="AI84" s="59"/>
      <c r="AJ84" s="492"/>
      <c r="AK84" s="213"/>
      <c r="AL84" s="59"/>
      <c r="AM84" s="59"/>
      <c r="AR84" s="149"/>
    </row>
    <row r="85" spans="2:44" ht="15" customHeight="1" thickBot="1">
      <c r="B85" s="336"/>
      <c r="C85" s="334"/>
      <c r="D85" s="242"/>
      <c r="E85" s="242" t="s">
        <v>7032</v>
      </c>
      <c r="F85" s="645"/>
      <c r="G85" s="645"/>
      <c r="H85" s="645"/>
      <c r="I85" s="645"/>
      <c r="J85" s="645"/>
      <c r="K85" s="403"/>
      <c r="L85" s="639" t="s">
        <v>192</v>
      </c>
      <c r="M85" s="152"/>
      <c r="N85" s="324"/>
      <c r="O85" s="264"/>
      <c r="P85" s="149"/>
      <c r="Q85" s="281"/>
      <c r="R85" s="282"/>
      <c r="S85" s="351"/>
      <c r="T85" s="351"/>
      <c r="U85" s="351"/>
      <c r="V85" s="351"/>
      <c r="W85" s="351"/>
      <c r="X85" s="241"/>
      <c r="Y85" s="356"/>
      <c r="Z85" s="356"/>
      <c r="AA85" s="356"/>
      <c r="AB85" s="356"/>
      <c r="AC85" s="356"/>
      <c r="AD85" s="806"/>
      <c r="AE85" s="807"/>
      <c r="AF85" s="356"/>
      <c r="AG85" s="207"/>
      <c r="AH85" s="207"/>
      <c r="AI85" s="59"/>
      <c r="AJ85" s="492"/>
      <c r="AK85" s="213" t="s">
        <v>54</v>
      </c>
      <c r="AL85" s="59"/>
      <c r="AM85" s="59"/>
      <c r="AR85" s="149"/>
    </row>
    <row r="86" spans="2:44" ht="15" customHeight="1" thickBot="1">
      <c r="B86" s="336"/>
      <c r="C86" s="334"/>
      <c r="D86" s="242"/>
      <c r="E86" s="275" t="s">
        <v>7041</v>
      </c>
      <c r="F86" s="646"/>
      <c r="G86" s="646"/>
      <c r="H86" s="646"/>
      <c r="I86" s="646"/>
      <c r="J86" s="646"/>
      <c r="K86" s="279"/>
      <c r="L86" s="639" t="s">
        <v>192</v>
      </c>
      <c r="M86" s="152"/>
      <c r="N86" s="324"/>
      <c r="O86" s="264"/>
      <c r="P86" s="149"/>
      <c r="Q86" s="281"/>
      <c r="R86" s="282"/>
      <c r="S86" s="351"/>
      <c r="T86" s="351"/>
      <c r="U86" s="351"/>
      <c r="V86" s="351"/>
      <c r="W86" s="351"/>
      <c r="X86" s="241"/>
      <c r="Y86" s="356"/>
      <c r="Z86" s="356"/>
      <c r="AA86" s="356"/>
      <c r="AB86" s="356"/>
      <c r="AC86" s="356"/>
      <c r="AD86" s="806"/>
      <c r="AE86" s="807"/>
      <c r="AF86" s="356"/>
      <c r="AG86" s="207"/>
      <c r="AH86" s="207"/>
      <c r="AI86" s="59"/>
      <c r="AJ86" s="492"/>
      <c r="AK86" s="213"/>
      <c r="AL86" s="59"/>
      <c r="AM86" s="59"/>
      <c r="AR86" s="149"/>
    </row>
    <row r="87" spans="2:44" ht="15" customHeight="1" thickBot="1">
      <c r="B87" s="337"/>
      <c r="C87" s="335"/>
      <c r="D87" s="276"/>
      <c r="E87" s="276" t="s">
        <v>7038</v>
      </c>
      <c r="F87" s="701"/>
      <c r="G87" s="701"/>
      <c r="H87" s="701"/>
      <c r="I87" s="701"/>
      <c r="J87" s="701"/>
      <c r="K87" s="403"/>
      <c r="L87" s="639" t="s">
        <v>192</v>
      </c>
      <c r="M87" s="152"/>
      <c r="N87" s="324"/>
      <c r="O87" s="264"/>
      <c r="P87" s="149"/>
      <c r="Q87" s="281"/>
      <c r="R87" s="282"/>
      <c r="S87" s="351"/>
      <c r="T87" s="351"/>
      <c r="U87" s="351"/>
      <c r="V87" s="351"/>
      <c r="W87" s="351"/>
      <c r="X87" s="241"/>
      <c r="Y87" s="356"/>
      <c r="Z87" s="356"/>
      <c r="AA87" s="356"/>
      <c r="AB87" s="356"/>
      <c r="AC87" s="356"/>
      <c r="AD87" s="806"/>
      <c r="AE87" s="807"/>
      <c r="AF87" s="356"/>
      <c r="AG87" s="207"/>
      <c r="AH87" s="207"/>
      <c r="AI87" s="59"/>
      <c r="AJ87" s="492"/>
      <c r="AK87" s="213" t="s">
        <v>54</v>
      </c>
      <c r="AL87" s="59"/>
      <c r="AM87" s="59"/>
      <c r="AR87" s="149"/>
    </row>
    <row r="88" spans="2:44">
      <c r="B88" s="150"/>
      <c r="C88" s="150"/>
      <c r="D88" s="151"/>
      <c r="E88" s="151"/>
      <c r="F88" s="225"/>
      <c r="G88" s="225"/>
      <c r="H88" s="225"/>
      <c r="I88" s="225"/>
      <c r="J88" s="225"/>
      <c r="K88" s="152"/>
      <c r="L88" s="152"/>
      <c r="M88" s="152"/>
      <c r="N88" s="322"/>
      <c r="O88" s="153"/>
      <c r="P88" s="149"/>
      <c r="Q88" s="1014" t="s">
        <v>144</v>
      </c>
      <c r="R88" s="1015"/>
      <c r="S88" s="720">
        <f>SUM(S77,S79,S83)</f>
        <v>0</v>
      </c>
      <c r="T88" s="720">
        <f t="shared" ref="T88:W88" si="49">SUM(T77,T79,T83)</f>
        <v>0</v>
      </c>
      <c r="U88" s="720">
        <f t="shared" si="49"/>
        <v>0</v>
      </c>
      <c r="V88" s="720">
        <f t="shared" si="49"/>
        <v>0</v>
      </c>
      <c r="W88" s="720">
        <f t="shared" si="49"/>
        <v>0</v>
      </c>
      <c r="X88" s="720">
        <f t="shared" ref="X88" si="50">SUMIFS(X77:X87,V77:V87,H78)</f>
        <v>0</v>
      </c>
      <c r="Y88" s="354">
        <f>IFERROR(S88*$AJ$170/('製造(P)'!$K$190+'貯蔵・輸送(ST)'!$K$190+'供給(D)'!$K$190),"")</f>
        <v>0</v>
      </c>
      <c r="Z88" s="354">
        <f>IFERROR(T88*$AJ$170/('製造(P)'!$K$190+'貯蔵・輸送(ST)'!$K$190+'供給(D)'!$K$190),"")</f>
        <v>0</v>
      </c>
      <c r="AA88" s="354">
        <f>IFERROR(U88*$AJ$170/('製造(P)'!$K$190+'貯蔵・輸送(ST)'!$K$190+'供給(D)'!$K$190),"")</f>
        <v>0</v>
      </c>
      <c r="AB88" s="354">
        <f>IFERROR(V88*$AJ$170/('製造(P)'!$K$190+'貯蔵・輸送(ST)'!$K$190+'供給(D)'!$K$190),"")</f>
        <v>0</v>
      </c>
      <c r="AC88" s="354">
        <f>IFERROR(W88*$AJ$170/('製造(P)'!$K$190+'貯蔵・輸送(ST)'!$K$190+'供給(D)'!$K$190),"")</f>
        <v>0</v>
      </c>
      <c r="AD88" s="354">
        <f>IFERROR(X88*$AJ$170/('製造(P)'!$K$190+'貯蔵・輸送(ST)'!$K$190+'供給(D)'!$K$190),"")</f>
        <v>0</v>
      </c>
      <c r="AE88" s="784"/>
      <c r="AF88" s="356"/>
      <c r="AG88" s="59"/>
      <c r="AH88" s="59"/>
      <c r="AI88" s="59"/>
      <c r="AJ88" s="534"/>
      <c r="AK88" s="212"/>
      <c r="AL88" s="59"/>
      <c r="AM88" s="59"/>
      <c r="AR88" s="149"/>
    </row>
    <row r="89" spans="2:44" s="149" customFormat="1">
      <c r="F89" s="220"/>
      <c r="G89" s="220"/>
      <c r="H89" s="220"/>
      <c r="I89" s="220"/>
      <c r="J89" s="220"/>
      <c r="N89" s="320"/>
      <c r="S89" s="220"/>
      <c r="T89" s="220"/>
      <c r="U89" s="220"/>
      <c r="V89" s="220"/>
      <c r="W89" s="220"/>
      <c r="X89" s="220"/>
      <c r="Y89" s="355"/>
      <c r="Z89" s="355"/>
      <c r="AA89" s="355"/>
      <c r="AB89" s="355"/>
      <c r="AC89" s="355"/>
      <c r="AD89" s="355"/>
      <c r="AE89" s="805"/>
      <c r="AF89" s="355"/>
      <c r="AJ89" s="534"/>
      <c r="AK89" s="212"/>
    </row>
    <row r="90" spans="2:44">
      <c r="B90" s="915" t="s">
        <v>7738</v>
      </c>
      <c r="C90" s="915"/>
      <c r="D90" s="915"/>
      <c r="E90" s="915"/>
      <c r="F90" s="915"/>
      <c r="G90" s="915"/>
      <c r="H90" s="915"/>
      <c r="I90" s="915"/>
      <c r="J90" s="915"/>
      <c r="K90" s="915"/>
      <c r="L90" s="915"/>
      <c r="M90" s="915"/>
      <c r="N90" s="915"/>
      <c r="O90" s="915"/>
      <c r="P90" s="149"/>
      <c r="Q90" s="935" t="s">
        <v>7737</v>
      </c>
      <c r="R90" s="935"/>
      <c r="S90" s="935"/>
      <c r="T90" s="935"/>
      <c r="U90" s="935"/>
      <c r="V90" s="935"/>
      <c r="W90" s="935"/>
      <c r="X90" s="935"/>
      <c r="Y90" s="935"/>
      <c r="Z90" s="935"/>
      <c r="AA90" s="935"/>
      <c r="AB90" s="935"/>
      <c r="AC90" s="935"/>
      <c r="AD90" s="935"/>
      <c r="AE90" s="811"/>
      <c r="AF90" s="772"/>
      <c r="AG90" s="59"/>
      <c r="AH90" s="59"/>
      <c r="AI90" s="59"/>
      <c r="AJ90" s="492"/>
      <c r="AK90" s="213"/>
      <c r="AL90" s="59"/>
      <c r="AM90" s="59"/>
      <c r="AR90" s="149"/>
    </row>
    <row r="91" spans="2:44" s="149" customFormat="1">
      <c r="F91" s="220"/>
      <c r="G91" s="220"/>
      <c r="H91" s="220"/>
      <c r="I91" s="220"/>
      <c r="J91" s="220"/>
      <c r="N91" s="320"/>
      <c r="S91" s="220"/>
      <c r="T91" s="220"/>
      <c r="U91" s="220"/>
      <c r="V91" s="220"/>
      <c r="W91" s="220"/>
      <c r="X91" s="220"/>
      <c r="Y91" s="355"/>
      <c r="Z91" s="355"/>
      <c r="AA91" s="355"/>
      <c r="AB91" s="355"/>
      <c r="AC91" s="355"/>
      <c r="AD91" s="355"/>
      <c r="AE91" s="805"/>
      <c r="AF91" s="355"/>
      <c r="AG91" s="207"/>
      <c r="AH91" s="207"/>
      <c r="AI91" s="207"/>
      <c r="AJ91" s="534"/>
      <c r="AK91" s="212"/>
    </row>
    <row r="92" spans="2:44" ht="14.1" customHeight="1">
      <c r="B92" s="954" t="s">
        <v>7677</v>
      </c>
      <c r="C92" s="937"/>
      <c r="D92" s="937"/>
      <c r="E92" s="975"/>
      <c r="F92" s="938" t="s">
        <v>7669</v>
      </c>
      <c r="G92" s="939"/>
      <c r="H92" s="939"/>
      <c r="I92" s="939"/>
      <c r="J92" s="939"/>
      <c r="K92" s="940"/>
      <c r="L92" s="973" t="s">
        <v>136</v>
      </c>
      <c r="M92" s="943" t="s">
        <v>210</v>
      </c>
      <c r="N92" s="944"/>
      <c r="O92" s="945"/>
      <c r="P92" s="149"/>
      <c r="Q92" s="954" t="s">
        <v>161</v>
      </c>
      <c r="R92" s="975"/>
      <c r="S92" s="933" t="s">
        <v>7666</v>
      </c>
      <c r="T92" s="934"/>
      <c r="U92" s="934"/>
      <c r="V92" s="934"/>
      <c r="W92" s="934"/>
      <c r="X92" s="934"/>
      <c r="Y92" s="955" t="s">
        <v>7543</v>
      </c>
      <c r="Z92" s="956"/>
      <c r="AA92" s="956"/>
      <c r="AB92" s="956"/>
      <c r="AC92" s="956"/>
      <c r="AD92" s="956"/>
      <c r="AE92" s="906" t="s">
        <v>7921</v>
      </c>
      <c r="AF92" s="771"/>
      <c r="AG92" s="207"/>
      <c r="AH92" s="207"/>
      <c r="AI92" s="207"/>
      <c r="AJ92" s="1032" t="s">
        <v>210</v>
      </c>
      <c r="AK92" s="1033"/>
      <c r="AL92" s="59"/>
      <c r="AM92" s="59"/>
      <c r="AR92" s="149"/>
    </row>
    <row r="93" spans="2:44">
      <c r="B93" s="896"/>
      <c r="C93" s="897"/>
      <c r="D93" s="897"/>
      <c r="E93" s="898"/>
      <c r="F93" s="312" t="s">
        <v>7426</v>
      </c>
      <c r="G93" s="312" t="s">
        <v>7427</v>
      </c>
      <c r="H93" s="312" t="s">
        <v>7428</v>
      </c>
      <c r="I93" s="312" t="s">
        <v>7429</v>
      </c>
      <c r="J93" s="312" t="s">
        <v>7430</v>
      </c>
      <c r="K93" s="313" t="s">
        <v>7431</v>
      </c>
      <c r="L93" s="974"/>
      <c r="M93" s="946"/>
      <c r="N93" s="947"/>
      <c r="O93" s="948"/>
      <c r="P93" s="149"/>
      <c r="Q93" s="896"/>
      <c r="R93" s="898"/>
      <c r="S93" s="312" t="s">
        <v>7426</v>
      </c>
      <c r="T93" s="312" t="s">
        <v>7427</v>
      </c>
      <c r="U93" s="312" t="s">
        <v>7428</v>
      </c>
      <c r="V93" s="312" t="s">
        <v>7429</v>
      </c>
      <c r="W93" s="312" t="s">
        <v>7430</v>
      </c>
      <c r="X93" s="313" t="s">
        <v>7431</v>
      </c>
      <c r="Y93" s="312" t="s">
        <v>7426</v>
      </c>
      <c r="Z93" s="312" t="s">
        <v>7427</v>
      </c>
      <c r="AA93" s="312" t="s">
        <v>7428</v>
      </c>
      <c r="AB93" s="312" t="s">
        <v>7429</v>
      </c>
      <c r="AC93" s="312" t="s">
        <v>7430</v>
      </c>
      <c r="AD93" s="789" t="s">
        <v>7431</v>
      </c>
      <c r="AE93" s="906"/>
      <c r="AF93" s="364"/>
      <c r="AG93" s="207"/>
      <c r="AH93" s="207"/>
      <c r="AI93" s="207"/>
      <c r="AJ93" s="1034"/>
      <c r="AK93" s="1035"/>
      <c r="AL93" s="59"/>
      <c r="AM93" s="59"/>
      <c r="AR93" s="149"/>
    </row>
    <row r="94" spans="2:44">
      <c r="B94" s="980" t="s">
        <v>139</v>
      </c>
      <c r="C94" s="981"/>
      <c r="D94" s="147"/>
      <c r="E94" s="401" t="s">
        <v>138</v>
      </c>
      <c r="F94" s="691">
        <v>0</v>
      </c>
      <c r="G94" s="691">
        <v>0</v>
      </c>
      <c r="H94" s="691">
        <v>0</v>
      </c>
      <c r="I94" s="691">
        <v>0</v>
      </c>
      <c r="J94" s="691">
        <v>0</v>
      </c>
      <c r="K94" s="702">
        <f>SUM(F94:J94)</f>
        <v>0</v>
      </c>
      <c r="L94" s="639" t="s">
        <v>192</v>
      </c>
      <c r="M94" s="479" t="str">
        <f>IFERROR(VLOOKUP(AH94,IDEAv2原単位!$A$3:$F$4021,2,FALSE),"")</f>
        <v>工業排水処理</v>
      </c>
      <c r="N94" s="486">
        <f>IFERROR(VLOOKUP($AH94,IDEAv2原単位!$A$3:$F$4021,6,FALSE),"")</f>
        <v>1.8330643817765866</v>
      </c>
      <c r="O94" s="213" t="s">
        <v>140</v>
      </c>
      <c r="P94" s="149"/>
      <c r="Q94" s="62" t="s">
        <v>139</v>
      </c>
      <c r="R94" s="65"/>
      <c r="S94" s="715">
        <f>IFERROR(F94*$N94,0)</f>
        <v>0</v>
      </c>
      <c r="T94" s="715">
        <f t="shared" ref="T94:W94" si="51">IFERROR(G94*$N94,0)</f>
        <v>0</v>
      </c>
      <c r="U94" s="715">
        <f t="shared" si="51"/>
        <v>0</v>
      </c>
      <c r="V94" s="715">
        <f t="shared" si="51"/>
        <v>0</v>
      </c>
      <c r="W94" s="715">
        <f t="shared" si="51"/>
        <v>0</v>
      </c>
      <c r="X94" s="705">
        <f>SUM(S94:W94)</f>
        <v>0</v>
      </c>
      <c r="Y94" s="354" t="str">
        <f>IFERROR(IF(S94=0,"",S94*$AJ$170/('製造(P)'!$K$190+'貯蔵・輸送(ST)'!$K$190+'供給(D)'!$K$190)),"")</f>
        <v/>
      </c>
      <c r="Z94" s="354" t="str">
        <f>IFERROR(IF(T94=0,"",T94*$AJ$170/('製造(P)'!$K$190+'貯蔵・輸送(ST)'!$K$190+'供給(D)'!$K$190)),"")</f>
        <v/>
      </c>
      <c r="AA94" s="354" t="str">
        <f>IFERROR(IF(U94=0,"",U94*$AJ$170/('製造(P)'!$K$190+'貯蔵・輸送(ST)'!$K$190+'供給(D)'!$K$190)),"")</f>
        <v/>
      </c>
      <c r="AB94" s="354" t="str">
        <f>IFERROR(IF(V94=0,"",V94*$AJ$170/('製造(P)'!$K$190+'貯蔵・輸送(ST)'!$K$190+'供給(D)'!$K$190)),"")</f>
        <v/>
      </c>
      <c r="AC94" s="354" t="str">
        <f>IFERROR(IF(W94=0,"",W94*$AJ$170/('製造(P)'!$K$190+'貯蔵・輸送(ST)'!$K$190+'供給(D)'!$K$190)),"")</f>
        <v/>
      </c>
      <c r="AD94" s="778" t="str">
        <f>IFERROR(IF(X94=0,"",X94*$AJ$170/('製造(P)'!$K$190+'貯蔵・輸送(ST)'!$K$190+'供給(D)'!$K$190)),"")</f>
        <v/>
      </c>
      <c r="AE94" s="685"/>
      <c r="AF94" s="356"/>
      <c r="AG94" s="207" t="s">
        <v>7597</v>
      </c>
      <c r="AH94" s="207">
        <v>852511000</v>
      </c>
      <c r="AI94" s="207"/>
      <c r="AJ94" s="538">
        <f>VLOOKUP($AH94,IDEAv2原単位!$A$3:$F$4021,6,FALSE)</f>
        <v>1.8330643817765866</v>
      </c>
      <c r="AK94" s="213" t="s">
        <v>140</v>
      </c>
      <c r="AL94" s="59"/>
      <c r="AM94" s="59"/>
      <c r="AR94" s="149"/>
    </row>
    <row r="95" spans="2:44" ht="13.8" thickBot="1">
      <c r="B95" s="338"/>
      <c r="C95" s="339"/>
      <c r="D95" s="647"/>
      <c r="E95" s="63" t="str">
        <f>IF(D95="","","[kg]")</f>
        <v/>
      </c>
      <c r="F95" s="691">
        <v>0</v>
      </c>
      <c r="G95" s="691">
        <v>0</v>
      </c>
      <c r="H95" s="691">
        <v>0</v>
      </c>
      <c r="I95" s="691">
        <v>0</v>
      </c>
      <c r="J95" s="691">
        <v>0</v>
      </c>
      <c r="K95" s="702">
        <f>SUM(F95:J95)</f>
        <v>0</v>
      </c>
      <c r="L95" s="639" t="s">
        <v>192</v>
      </c>
      <c r="M95" s="479" t="str">
        <f>IFERROR(VLOOKUP(AH95,IDEAv2原単位!$A$3:$F$4021,2,FALSE),"")</f>
        <v/>
      </c>
      <c r="N95" s="486" t="str">
        <f>IFERROR(VLOOKUP($AH95,IDEAv2原単位!$A$3:$F$4021,6,FALSE),"")</f>
        <v/>
      </c>
      <c r="O95" s="315" t="str">
        <f>IF(D95="","","[kgCO2/kg] ")</f>
        <v/>
      </c>
      <c r="P95" s="149"/>
      <c r="Q95" s="910" t="str">
        <f>IF(D95="","",D95)</f>
        <v/>
      </c>
      <c r="R95" s="911"/>
      <c r="S95" s="715">
        <f t="shared" ref="S95:S97" si="52">IFERROR(F95*$N95,0)</f>
        <v>0</v>
      </c>
      <c r="T95" s="715">
        <f t="shared" ref="T95:T97" si="53">IFERROR(G95*$N95,0)</f>
        <v>0</v>
      </c>
      <c r="U95" s="715">
        <f t="shared" ref="U95:U97" si="54">IFERROR(H95*$N95,0)</f>
        <v>0</v>
      </c>
      <c r="V95" s="715">
        <f t="shared" ref="V95:V97" si="55">IFERROR(I95*$N95,0)</f>
        <v>0</v>
      </c>
      <c r="W95" s="715">
        <f t="shared" ref="W95:W97" si="56">IFERROR(J95*$N95,0)</f>
        <v>0</v>
      </c>
      <c r="X95" s="705">
        <f>SUM(S95:W95)</f>
        <v>0</v>
      </c>
      <c r="Y95" s="354" t="str">
        <f>IFERROR(IF(S95=0,"",S95*$AJ$170/('製造(P)'!$K$190+'貯蔵・輸送(ST)'!$K$190+'供給(D)'!$K$190)),"")</f>
        <v/>
      </c>
      <c r="Z95" s="354" t="str">
        <f>IFERROR(IF(T95=0,"",T95*$AJ$170/('製造(P)'!$K$190+'貯蔵・輸送(ST)'!$K$190+'供給(D)'!$K$190)),"")</f>
        <v/>
      </c>
      <c r="AA95" s="354" t="str">
        <f>IFERROR(IF(U95=0,"",U95*$AJ$170/('製造(P)'!$K$190+'貯蔵・輸送(ST)'!$K$190+'供給(D)'!$K$190)),"")</f>
        <v/>
      </c>
      <c r="AB95" s="354" t="str">
        <f>IFERROR(IF(V95=0,"",V95*$AJ$170/('製造(P)'!$K$190+'貯蔵・輸送(ST)'!$K$190+'供給(D)'!$K$190)),"")</f>
        <v/>
      </c>
      <c r="AC95" s="354" t="str">
        <f>IFERROR(IF(W95=0,"",W95*$AJ$170/('製造(P)'!$K$190+'貯蔵・輸送(ST)'!$K$190+'供給(D)'!$K$190)),"")</f>
        <v/>
      </c>
      <c r="AD95" s="778" t="str">
        <f>IFERROR(IF(X95=0,"",X95*$AJ$170/('製造(P)'!$K$190+'貯蔵・輸送(ST)'!$K$190+'供給(D)'!$K$190)),"")</f>
        <v/>
      </c>
      <c r="AE95" s="685"/>
      <c r="AF95" s="356"/>
      <c r="AG95" s="207"/>
      <c r="AH95" s="207" t="str">
        <f>IF(D95="燃え殻",852200201,IF(D95="汚泥",852200202,IF(D95="廃油",852200203,IF(D95="廃酸",852200204,IF(D95="廃アルカリ",852200205,IF(D95="廃プラスチック類",852200206,IF(D95="紙くず",852200207,IF(D95="木くず",852200208,IF(D95="繊維くず",852200209,IF(D95="動植物性残渣",852200210,IF(D95="ゴムくず",852200211,IF(D95="金属くず",852200212,IF(D95="ガラス・陶磁器くず",852200213,IF(D95="鉱さい",852200214,IF(D95="がれき類",852200215,IF(D95="動物のふん尿",852200216,IF(D95="動物の死体",852200217,IF(D95="ばいじん",852200218,IF(D95="埋立",852211000,"")))))))))))))))))))</f>
        <v/>
      </c>
      <c r="AI95" s="207"/>
      <c r="AJ95" s="538" t="e">
        <f>VLOOKUP($AH95,IDEAv2原単位!$A$3:$F$4021,6,FALSE)</f>
        <v>#N/A</v>
      </c>
      <c r="AK95" s="213" t="s">
        <v>54</v>
      </c>
      <c r="AL95" s="59"/>
      <c r="AM95" s="59"/>
      <c r="AR95" s="149"/>
    </row>
    <row r="96" spans="2:44" ht="13.8" thickBot="1">
      <c r="B96" s="978" t="s">
        <v>165</v>
      </c>
      <c r="C96" s="982"/>
      <c r="D96" s="648"/>
      <c r="E96" s="63" t="str">
        <f>IF(D96="","","[kg]")</f>
        <v/>
      </c>
      <c r="F96" s="691">
        <v>0</v>
      </c>
      <c r="G96" s="691">
        <v>0</v>
      </c>
      <c r="H96" s="691">
        <v>0</v>
      </c>
      <c r="I96" s="691">
        <v>0</v>
      </c>
      <c r="J96" s="691">
        <v>0</v>
      </c>
      <c r="K96" s="702">
        <f>SUM(F96:J96)</f>
        <v>0</v>
      </c>
      <c r="L96" s="639" t="s">
        <v>192</v>
      </c>
      <c r="M96" s="479" t="str">
        <f>IFERROR(VLOOKUP(AH96,IDEAv2原単位!$A$3:$F$4021,2,FALSE),"")</f>
        <v/>
      </c>
      <c r="N96" s="486" t="str">
        <f>IFERROR(VLOOKUP($AH96,IDEAv2原単位!$A$3:$F$4021,6,FALSE),"")</f>
        <v/>
      </c>
      <c r="O96" s="315" t="str">
        <f>IF(D96="","","[kgCO2/kg] ")</f>
        <v/>
      </c>
      <c r="P96" s="149"/>
      <c r="Q96" s="910" t="str">
        <f t="shared" ref="Q96:Q97" si="57">IF(D96="","",D96)</f>
        <v/>
      </c>
      <c r="R96" s="911"/>
      <c r="S96" s="715">
        <f t="shared" si="52"/>
        <v>0</v>
      </c>
      <c r="T96" s="715">
        <f t="shared" si="53"/>
        <v>0</v>
      </c>
      <c r="U96" s="715">
        <f t="shared" si="54"/>
        <v>0</v>
      </c>
      <c r="V96" s="715">
        <f t="shared" si="55"/>
        <v>0</v>
      </c>
      <c r="W96" s="715">
        <f t="shared" si="56"/>
        <v>0</v>
      </c>
      <c r="X96" s="705">
        <f>SUM(S96:W96)</f>
        <v>0</v>
      </c>
      <c r="Y96" s="354" t="str">
        <f>IFERROR(IF(S96=0,"",S96*$AJ$170/('製造(P)'!$K$190+'貯蔵・輸送(ST)'!$K$190+'供給(D)'!$K$190)),"")</f>
        <v/>
      </c>
      <c r="Z96" s="354" t="str">
        <f>IFERROR(IF(T96=0,"",T96*$AJ$170/('製造(P)'!$K$190+'貯蔵・輸送(ST)'!$K$190+'供給(D)'!$K$190)),"")</f>
        <v/>
      </c>
      <c r="AA96" s="354" t="str">
        <f>IFERROR(IF(U96=0,"",U96*$AJ$170/('製造(P)'!$K$190+'貯蔵・輸送(ST)'!$K$190+'供給(D)'!$K$190)),"")</f>
        <v/>
      </c>
      <c r="AB96" s="354" t="str">
        <f>IFERROR(IF(V96=0,"",V96*$AJ$170/('製造(P)'!$K$190+'貯蔵・輸送(ST)'!$K$190+'供給(D)'!$K$190)),"")</f>
        <v/>
      </c>
      <c r="AC96" s="354" t="str">
        <f>IFERROR(IF(W96=0,"",W96*$AJ$170/('製造(P)'!$K$190+'貯蔵・輸送(ST)'!$K$190+'供給(D)'!$K$190)),"")</f>
        <v/>
      </c>
      <c r="AD96" s="778" t="str">
        <f>IFERROR(IF(X96=0,"",X96*$AJ$170/('製造(P)'!$K$190+'貯蔵・輸送(ST)'!$K$190+'供給(D)'!$K$190)),"")</f>
        <v/>
      </c>
      <c r="AE96" s="685"/>
      <c r="AF96" s="356"/>
      <c r="AG96" s="207" t="s">
        <v>6941</v>
      </c>
      <c r="AH96" s="207" t="str">
        <f>IF(D96="燃え殻",852200201,IF(D96="汚泥",852200202,IF(D96="廃油",852200203,IF(D96="廃酸",852200204,IF(D96="廃アルカリ",852200205,IF(D96="廃プラスチック類",852200206,IF(D96="紙くず",852200207,IF(D96="木くず",852200208,IF(D96="繊維くず",852200209,IF(D96="動植物性残渣",852200210,IF(D96="ゴムくず",852200211,IF(D96="金属くず",852200212,IF(D96="ガラス・陶磁器くず",852200213,IF(D96="鉱さい",852200214,IF(D96="がれき類",852200215,IF(D96="動物のふん尿",852200216,IF(D96="動物の死体",852200217,IF(D96="ばいじん",852200218,IF(D96="埋立",852211000,"")))))))))))))))))))</f>
        <v/>
      </c>
      <c r="AI96" s="207"/>
      <c r="AJ96" s="538" t="e">
        <f>VLOOKUP($AH96,IDEAv2原単位!$A$3:$F$4021,6,FALSE)</f>
        <v>#N/A</v>
      </c>
      <c r="AK96" s="213" t="s">
        <v>54</v>
      </c>
      <c r="AL96" s="59"/>
      <c r="AM96" s="59"/>
      <c r="AR96" s="149"/>
    </row>
    <row r="97" spans="2:44" ht="13.8" thickBot="1">
      <c r="B97" s="70"/>
      <c r="C97" s="340"/>
      <c r="D97" s="648"/>
      <c r="E97" s="63" t="str">
        <f>IF(D97="","","[kg]")</f>
        <v/>
      </c>
      <c r="F97" s="691">
        <v>0</v>
      </c>
      <c r="G97" s="691">
        <v>0</v>
      </c>
      <c r="H97" s="691">
        <v>0</v>
      </c>
      <c r="I97" s="691">
        <v>0</v>
      </c>
      <c r="J97" s="691">
        <v>0</v>
      </c>
      <c r="K97" s="702">
        <f>SUM(F97:J97)</f>
        <v>0</v>
      </c>
      <c r="L97" s="639" t="s">
        <v>192</v>
      </c>
      <c r="M97" s="479" t="str">
        <f>IFERROR(VLOOKUP(AH97,IDEAv2原単位!$A$3:$F$4021,2,FALSE),"")</f>
        <v/>
      </c>
      <c r="N97" s="490" t="str">
        <f>IFERROR(VLOOKUP($AH97,IDEAv2原単位!$A$3:$F$4021,6,FALSE),"")</f>
        <v/>
      </c>
      <c r="O97" s="315" t="str">
        <f>IF(D97="","","[kgCO2/kg] ")</f>
        <v/>
      </c>
      <c r="P97" s="149"/>
      <c r="Q97" s="910" t="str">
        <f t="shared" si="57"/>
        <v/>
      </c>
      <c r="R97" s="911"/>
      <c r="S97" s="715">
        <f t="shared" si="52"/>
        <v>0</v>
      </c>
      <c r="T97" s="715">
        <f t="shared" si="53"/>
        <v>0</v>
      </c>
      <c r="U97" s="715">
        <f t="shared" si="54"/>
        <v>0</v>
      </c>
      <c r="V97" s="715">
        <f t="shared" si="55"/>
        <v>0</v>
      </c>
      <c r="W97" s="715">
        <f t="shared" si="56"/>
        <v>0</v>
      </c>
      <c r="X97" s="705">
        <f>SUM(S97:W97)</f>
        <v>0</v>
      </c>
      <c r="Y97" s="354" t="str">
        <f>IFERROR(IF(S97=0,"",S97*$AJ$170/('製造(P)'!$K$190+'貯蔵・輸送(ST)'!$K$190+'供給(D)'!$K$190)),"")</f>
        <v/>
      </c>
      <c r="Z97" s="354" t="str">
        <f>IFERROR(IF(T97=0,"",T97*$AJ$170/('製造(P)'!$K$190+'貯蔵・輸送(ST)'!$K$190+'供給(D)'!$K$190)),"")</f>
        <v/>
      </c>
      <c r="AA97" s="354" t="str">
        <f>IFERROR(IF(U97=0,"",U97*$AJ$170/('製造(P)'!$K$190+'貯蔵・輸送(ST)'!$K$190+'供給(D)'!$K$190)),"")</f>
        <v/>
      </c>
      <c r="AB97" s="354" t="str">
        <f>IFERROR(IF(V97=0,"",V97*$AJ$170/('製造(P)'!$K$190+'貯蔵・輸送(ST)'!$K$190+'供給(D)'!$K$190)),"")</f>
        <v/>
      </c>
      <c r="AC97" s="354" t="str">
        <f>IFERROR(IF(W97=0,"",W97*$AJ$170/('製造(P)'!$K$190+'貯蔵・輸送(ST)'!$K$190+'供給(D)'!$K$190)),"")</f>
        <v/>
      </c>
      <c r="AD97" s="778" t="str">
        <f>IFERROR(IF(X97=0,"",X97*$AJ$170/('製造(P)'!$K$190+'貯蔵・輸送(ST)'!$K$190+'供給(D)'!$K$190)),"")</f>
        <v/>
      </c>
      <c r="AE97" s="685"/>
      <c r="AF97" s="356"/>
      <c r="AG97" s="207"/>
      <c r="AH97" s="207" t="str">
        <f>IF(D97="燃え殻",852200201,IF(D97="汚泥",852200202,IF(D97="廃油",852200203,IF(D97="廃酸",852200204,IF(D97="廃アルカリ",852200205,IF(D97="廃プラスチック類",852200206,IF(D97="紙くず",852200207,IF(D97="木くず",852200208,IF(D97="繊維くず",852200209,IF(D97="動植物性残渣",852200210,IF(D97="ゴムくず",852200211,IF(D97="金属くず",852200212,IF(D97="ガラス・陶磁器くず",852200213,IF(D97="鉱さい",852200214,IF(D97="がれき類",852200215,IF(D97="動物のふん尿",852200216,IF(D97="動物の死体",852200217,IF(D97="ばいじん",852200218,IF(D97="埋立",852211000,"")))))))))))))))))))</f>
        <v/>
      </c>
      <c r="AI97" s="207"/>
      <c r="AJ97" s="538" t="e">
        <f>VLOOKUP($AH97,IDEAv2原単位!$A$3:$F$4021,6,FALSE)</f>
        <v>#N/A</v>
      </c>
      <c r="AK97" s="213" t="s">
        <v>54</v>
      </c>
      <c r="AL97" s="59"/>
      <c r="AM97" s="59"/>
      <c r="AR97" s="149"/>
    </row>
    <row r="98" spans="2:44">
      <c r="B98" s="153"/>
      <c r="C98" s="153"/>
      <c r="D98" s="153"/>
      <c r="E98" s="150"/>
      <c r="F98" s="225"/>
      <c r="G98" s="225"/>
      <c r="H98" s="225"/>
      <c r="I98" s="225"/>
      <c r="J98" s="225"/>
      <c r="K98" s="152"/>
      <c r="L98" s="152"/>
      <c r="M98" s="152"/>
      <c r="N98" s="322"/>
      <c r="O98" s="153"/>
      <c r="P98" s="149"/>
      <c r="Q98" s="147" t="s">
        <v>144</v>
      </c>
      <c r="R98" s="148"/>
      <c r="S98" s="716">
        <f>SUM(S94:S97)</f>
        <v>0</v>
      </c>
      <c r="T98" s="716">
        <f t="shared" ref="T98:X98" si="58">SUM(T94:T97)</f>
        <v>0</v>
      </c>
      <c r="U98" s="716">
        <f t="shared" si="58"/>
        <v>0</v>
      </c>
      <c r="V98" s="716">
        <f t="shared" si="58"/>
        <v>0</v>
      </c>
      <c r="W98" s="716">
        <f t="shared" si="58"/>
        <v>0</v>
      </c>
      <c r="X98" s="716">
        <f t="shared" si="58"/>
        <v>0</v>
      </c>
      <c r="Y98" s="354">
        <f>IFERROR(S98*$AJ$170/('製造(P)'!$K$190+'貯蔵・輸送(ST)'!$K$190+'供給(D)'!$K$190),"")</f>
        <v>0</v>
      </c>
      <c r="Z98" s="354">
        <f>IFERROR(T98*$AJ$170/('製造(P)'!$K$190+'貯蔵・輸送(ST)'!$K$190+'供給(D)'!$K$190),"")</f>
        <v>0</v>
      </c>
      <c r="AA98" s="354">
        <f>IFERROR(U98*$AJ$170/('製造(P)'!$K$190+'貯蔵・輸送(ST)'!$K$190+'供給(D)'!$K$190),"")</f>
        <v>0</v>
      </c>
      <c r="AB98" s="354">
        <f>IFERROR(V98*$AJ$170/('製造(P)'!$K$190+'貯蔵・輸送(ST)'!$K$190+'供給(D)'!$K$190),"")</f>
        <v>0</v>
      </c>
      <c r="AC98" s="354">
        <f>IFERROR(W98*$AJ$170/('製造(P)'!$K$190+'貯蔵・輸送(ST)'!$K$190+'供給(D)'!$K$190),"")</f>
        <v>0</v>
      </c>
      <c r="AD98" s="354">
        <f>IFERROR(X98*$AJ$170/('製造(P)'!$K$190+'貯蔵・輸送(ST)'!$K$190+'供給(D)'!$K$190),"")</f>
        <v>0</v>
      </c>
      <c r="AE98" s="796"/>
      <c r="AF98" s="356"/>
      <c r="AG98" s="207"/>
      <c r="AH98" s="207"/>
      <c r="AI98" s="207"/>
      <c r="AJ98" s="534"/>
      <c r="AK98" s="212"/>
      <c r="AL98" s="59"/>
      <c r="AM98" s="59"/>
      <c r="AR98" s="149"/>
    </row>
    <row r="99" spans="2:44" s="149" customFormat="1" ht="14.25" customHeight="1">
      <c r="B99" s="153"/>
      <c r="C99" s="153"/>
      <c r="D99" s="153"/>
      <c r="E99" s="150"/>
      <c r="F99" s="225"/>
      <c r="G99" s="225"/>
      <c r="H99" s="225"/>
      <c r="I99" s="225"/>
      <c r="J99" s="225"/>
      <c r="K99" s="152"/>
      <c r="L99" s="152"/>
      <c r="M99" s="152"/>
      <c r="N99" s="322"/>
      <c r="O99" s="153"/>
      <c r="Q99" s="150"/>
      <c r="R99" s="150"/>
      <c r="S99" s="241"/>
      <c r="T99" s="241"/>
      <c r="U99" s="241"/>
      <c r="V99" s="241"/>
      <c r="W99" s="241"/>
      <c r="X99" s="241"/>
      <c r="Y99" s="356"/>
      <c r="Z99" s="356"/>
      <c r="AA99" s="356"/>
      <c r="AB99" s="356"/>
      <c r="AC99" s="356"/>
      <c r="AD99" s="356"/>
      <c r="AE99" s="806"/>
      <c r="AF99" s="356"/>
      <c r="AG99" s="242"/>
      <c r="AH99" s="242"/>
      <c r="AI99" s="242"/>
      <c r="AJ99" s="534"/>
      <c r="AK99" s="212"/>
    </row>
    <row r="100" spans="2:44">
      <c r="B100" s="915" t="s">
        <v>7447</v>
      </c>
      <c r="C100" s="915"/>
      <c r="D100" s="915"/>
      <c r="E100" s="915"/>
      <c r="F100" s="915"/>
      <c r="G100" s="915"/>
      <c r="H100" s="915"/>
      <c r="I100" s="915"/>
      <c r="J100" s="915"/>
      <c r="K100" s="915"/>
      <c r="L100" s="915"/>
      <c r="M100" s="915"/>
      <c r="N100" s="915"/>
      <c r="O100" s="915"/>
      <c r="P100" s="149"/>
      <c r="Q100" s="935" t="s">
        <v>7739</v>
      </c>
      <c r="R100" s="935"/>
      <c r="S100" s="935"/>
      <c r="T100" s="935"/>
      <c r="U100" s="935"/>
      <c r="V100" s="935"/>
      <c r="W100" s="935"/>
      <c r="X100" s="935"/>
      <c r="Y100" s="935"/>
      <c r="Z100" s="935"/>
      <c r="AA100" s="935"/>
      <c r="AB100" s="935"/>
      <c r="AC100" s="935"/>
      <c r="AD100" s="935"/>
      <c r="AE100" s="811"/>
      <c r="AF100" s="772"/>
      <c r="AG100" s="207"/>
      <c r="AH100" s="207"/>
      <c r="AI100" s="207"/>
      <c r="AJ100" s="214"/>
      <c r="AK100" s="214"/>
      <c r="AL100" s="59"/>
      <c r="AM100" s="59"/>
      <c r="AR100" s="149"/>
    </row>
    <row r="101" spans="2:44" s="149" customFormat="1">
      <c r="F101" s="220"/>
      <c r="G101" s="220"/>
      <c r="H101" s="220"/>
      <c r="I101" s="220"/>
      <c r="J101" s="220"/>
      <c r="N101" s="320"/>
      <c r="S101" s="220"/>
      <c r="T101" s="220"/>
      <c r="U101" s="220"/>
      <c r="V101" s="220"/>
      <c r="W101" s="220"/>
      <c r="X101" s="220"/>
      <c r="Y101" s="355"/>
      <c r="Z101" s="355"/>
      <c r="AA101" s="355"/>
      <c r="AB101" s="355"/>
      <c r="AC101" s="355"/>
      <c r="AD101" s="355"/>
      <c r="AE101" s="805"/>
      <c r="AF101" s="355"/>
      <c r="AG101" s="207"/>
      <c r="AH101" s="207"/>
      <c r="AI101" s="207"/>
      <c r="AJ101" s="534"/>
      <c r="AK101" s="212"/>
    </row>
    <row r="102" spans="2:44" ht="14.1" customHeight="1">
      <c r="B102" s="890" t="s">
        <v>7663</v>
      </c>
      <c r="C102" s="937"/>
      <c r="D102" s="891"/>
      <c r="E102" s="892"/>
      <c r="F102" s="938" t="s">
        <v>7669</v>
      </c>
      <c r="G102" s="939"/>
      <c r="H102" s="939"/>
      <c r="I102" s="939"/>
      <c r="J102" s="939"/>
      <c r="K102" s="940"/>
      <c r="L102" s="955" t="s">
        <v>7445</v>
      </c>
      <c r="M102" s="956"/>
      <c r="N102" s="956" t="s">
        <v>7446</v>
      </c>
      <c r="O102" s="956"/>
      <c r="P102" s="149"/>
      <c r="Q102" s="954" t="s">
        <v>5438</v>
      </c>
      <c r="R102" s="975"/>
      <c r="S102" s="933" t="s">
        <v>7666</v>
      </c>
      <c r="T102" s="934"/>
      <c r="U102" s="934"/>
      <c r="V102" s="934"/>
      <c r="W102" s="934"/>
      <c r="X102" s="934"/>
      <c r="Y102" s="955" t="s">
        <v>7543</v>
      </c>
      <c r="Z102" s="956"/>
      <c r="AA102" s="956"/>
      <c r="AB102" s="956"/>
      <c r="AC102" s="956"/>
      <c r="AD102" s="956"/>
      <c r="AE102" s="810"/>
      <c r="AF102" s="771"/>
      <c r="AG102" s="207"/>
      <c r="AH102" s="207"/>
      <c r="AI102" s="207"/>
      <c r="AJ102" s="1019" t="s">
        <v>210</v>
      </c>
      <c r="AK102" s="1019"/>
      <c r="AL102" s="59"/>
      <c r="AM102" s="59"/>
      <c r="AR102" s="149"/>
    </row>
    <row r="103" spans="2:44" ht="13.8" thickBot="1">
      <c r="B103" s="893"/>
      <c r="C103" s="894"/>
      <c r="D103" s="894"/>
      <c r="E103" s="898"/>
      <c r="F103" s="312" t="s">
        <v>7426</v>
      </c>
      <c r="G103" s="312" t="s">
        <v>7427</v>
      </c>
      <c r="H103" s="312" t="s">
        <v>7428</v>
      </c>
      <c r="I103" s="312" t="s">
        <v>7429</v>
      </c>
      <c r="J103" s="312" t="s">
        <v>7430</v>
      </c>
      <c r="K103" s="313" t="s">
        <v>7431</v>
      </c>
      <c r="L103" s="956"/>
      <c r="M103" s="956"/>
      <c r="N103" s="956"/>
      <c r="O103" s="956"/>
      <c r="P103" s="149"/>
      <c r="Q103" s="896"/>
      <c r="R103" s="898"/>
      <c r="S103" s="312" t="s">
        <v>7426</v>
      </c>
      <c r="T103" s="312" t="s">
        <v>7427</v>
      </c>
      <c r="U103" s="312" t="s">
        <v>7428</v>
      </c>
      <c r="V103" s="312" t="s">
        <v>7429</v>
      </c>
      <c r="W103" s="312" t="s">
        <v>7430</v>
      </c>
      <c r="X103" s="313" t="s">
        <v>7431</v>
      </c>
      <c r="Y103" s="312" t="s">
        <v>7426</v>
      </c>
      <c r="Z103" s="312" t="s">
        <v>7427</v>
      </c>
      <c r="AA103" s="312" t="s">
        <v>7428</v>
      </c>
      <c r="AB103" s="312" t="s">
        <v>7429</v>
      </c>
      <c r="AC103" s="312" t="s">
        <v>7430</v>
      </c>
      <c r="AD103" s="774" t="s">
        <v>7431</v>
      </c>
      <c r="AE103" s="364"/>
      <c r="AF103" s="364"/>
      <c r="AG103" s="207"/>
      <c r="AH103" s="207"/>
      <c r="AI103" s="207"/>
      <c r="AJ103" s="1019"/>
      <c r="AK103" s="1019"/>
      <c r="AL103" s="59"/>
      <c r="AM103" s="59"/>
      <c r="AR103" s="149"/>
    </row>
    <row r="104" spans="2:44" ht="13.8" thickBot="1">
      <c r="B104" s="907"/>
      <c r="C104" s="908"/>
      <c r="D104" s="909"/>
      <c r="E104" s="63" t="str">
        <f>IF(B104="","","[kg]")</f>
        <v/>
      </c>
      <c r="F104" s="691">
        <v>0</v>
      </c>
      <c r="G104" s="691">
        <v>0</v>
      </c>
      <c r="H104" s="691">
        <v>0</v>
      </c>
      <c r="I104" s="691">
        <v>0</v>
      </c>
      <c r="J104" s="691">
        <v>0</v>
      </c>
      <c r="K104" s="702">
        <f>SUM(F104:J104)</f>
        <v>0</v>
      </c>
      <c r="L104" s="912" t="s">
        <v>7831</v>
      </c>
      <c r="M104" s="913"/>
      <c r="N104" s="613" t="str">
        <f>IFERROR(VLOOKUP($B104,GWP!$A$4:$D$36,4,FALSE),"")</f>
        <v/>
      </c>
      <c r="O104" s="227" t="str">
        <f>IF(E104="","","[kgCO2/kg] ")</f>
        <v/>
      </c>
      <c r="P104" s="149"/>
      <c r="Q104" s="910" t="str">
        <f t="shared" ref="Q104:Q106" si="59">IF(B104="","",B104)</f>
        <v/>
      </c>
      <c r="R104" s="911"/>
      <c r="S104" s="715">
        <f>IFERROR(F104*$N104,0)</f>
        <v>0</v>
      </c>
      <c r="T104" s="715">
        <f t="shared" ref="T104:W104" si="60">IFERROR(G104*$N104,0)</f>
        <v>0</v>
      </c>
      <c r="U104" s="715">
        <f t="shared" si="60"/>
        <v>0</v>
      </c>
      <c r="V104" s="715">
        <f t="shared" si="60"/>
        <v>0</v>
      </c>
      <c r="W104" s="715">
        <f t="shared" si="60"/>
        <v>0</v>
      </c>
      <c r="X104" s="705">
        <f>SUM(S104:W104)</f>
        <v>0</v>
      </c>
      <c r="Y104" s="354" t="str">
        <f>IFERROR(IF(S104=0,"",S104*$AJ$170/('製造(P)'!$K$190+'貯蔵・輸送(ST)'!$K$190+'供給(D)'!$K$190)),"")</f>
        <v/>
      </c>
      <c r="Z104" s="354" t="str">
        <f>IFERROR(IF(T104=0,"",T104*$AJ$170/('製造(P)'!$K$190+'貯蔵・輸送(ST)'!$K$190+'供給(D)'!$K$190)),"")</f>
        <v/>
      </c>
      <c r="AA104" s="354" t="str">
        <f>IFERROR(IF(U104=0,"",U104*$AJ$170/('製造(P)'!$K$190+'貯蔵・輸送(ST)'!$K$190+'供給(D)'!$K$190)),"")</f>
        <v/>
      </c>
      <c r="AB104" s="354" t="str">
        <f>IFERROR(IF(V104=0,"",V104*$AJ$170/('製造(P)'!$K$190+'貯蔵・輸送(ST)'!$K$190+'供給(D)'!$K$190)),"")</f>
        <v/>
      </c>
      <c r="AC104" s="354" t="str">
        <f>IFERROR(IF(W104=0,"",W104*$AJ$170/('製造(P)'!$K$190+'貯蔵・輸送(ST)'!$K$190+'供給(D)'!$K$190)),"")</f>
        <v/>
      </c>
      <c r="AD104" s="778" t="str">
        <f>IFERROR(IF(X104=0,"",X104*$AJ$170/('製造(P)'!$K$190+'貯蔵・輸送(ST)'!$K$190+'供給(D)'!$K$190)),"")</f>
        <v/>
      </c>
      <c r="AE104" s="806"/>
      <c r="AF104" s="356"/>
      <c r="AG104" s="207"/>
      <c r="AH104" s="207"/>
      <c r="AI104" s="207"/>
      <c r="AJ104" s="491" t="e">
        <f>VLOOKUP($B104,GWP!$A$4:$D$36,4,FALSE)</f>
        <v>#N/A</v>
      </c>
      <c r="AK104" s="213" t="s">
        <v>54</v>
      </c>
      <c r="AL104" s="59"/>
      <c r="AM104" s="59"/>
      <c r="AR104" s="149"/>
    </row>
    <row r="105" spans="2:44" ht="13.8" thickBot="1">
      <c r="B105" s="907"/>
      <c r="C105" s="908"/>
      <c r="D105" s="909"/>
      <c r="E105" s="63" t="str">
        <f>IF(B105="","","[kg]")</f>
        <v/>
      </c>
      <c r="F105" s="691">
        <v>0</v>
      </c>
      <c r="G105" s="691">
        <v>0</v>
      </c>
      <c r="H105" s="691">
        <v>0</v>
      </c>
      <c r="I105" s="691">
        <v>0</v>
      </c>
      <c r="J105" s="691">
        <v>0</v>
      </c>
      <c r="K105" s="702">
        <f>SUM(F105:J105)</f>
        <v>0</v>
      </c>
      <c r="L105" s="912" t="s">
        <v>7831</v>
      </c>
      <c r="M105" s="913"/>
      <c r="N105" s="613" t="str">
        <f>IFERROR(VLOOKUP($B105,GWP!$A$4:$D$36,4,FALSE),"")</f>
        <v/>
      </c>
      <c r="O105" s="227" t="str">
        <f>IF(E105="","","[kgCO2/kg] ")</f>
        <v/>
      </c>
      <c r="P105" s="149"/>
      <c r="Q105" s="910" t="str">
        <f t="shared" si="59"/>
        <v/>
      </c>
      <c r="R105" s="911"/>
      <c r="S105" s="715">
        <f t="shared" ref="S105:S106" si="61">IFERROR(F105*$N105,0)</f>
        <v>0</v>
      </c>
      <c r="T105" s="715">
        <f t="shared" ref="T105:T106" si="62">IFERROR(G105*$N105,0)</f>
        <v>0</v>
      </c>
      <c r="U105" s="715">
        <f t="shared" ref="U105:U106" si="63">IFERROR(H105*$N105,0)</f>
        <v>0</v>
      </c>
      <c r="V105" s="715">
        <f t="shared" ref="V105:V106" si="64">IFERROR(I105*$N105,0)</f>
        <v>0</v>
      </c>
      <c r="W105" s="715">
        <f t="shared" ref="W105:W106" si="65">IFERROR(J105*$N105,0)</f>
        <v>0</v>
      </c>
      <c r="X105" s="705">
        <f>SUM(S105:W105)</f>
        <v>0</v>
      </c>
      <c r="Y105" s="354" t="str">
        <f>IFERROR(IF(S105=0,"",S105*$AJ$170/('製造(P)'!$K$190+'貯蔵・輸送(ST)'!$K$190+'供給(D)'!$K$190)),"")</f>
        <v/>
      </c>
      <c r="Z105" s="354" t="str">
        <f>IFERROR(IF(T105=0,"",T105*$AJ$170/('製造(P)'!$K$190+'貯蔵・輸送(ST)'!$K$190+'供給(D)'!$K$190)),"")</f>
        <v/>
      </c>
      <c r="AA105" s="354" t="str">
        <f>IFERROR(IF(U105=0,"",U105*$AJ$170/('製造(P)'!$K$190+'貯蔵・輸送(ST)'!$K$190+'供給(D)'!$K$190)),"")</f>
        <v/>
      </c>
      <c r="AB105" s="354" t="str">
        <f>IFERROR(IF(V105=0,"",V105*$AJ$170/('製造(P)'!$K$190+'貯蔵・輸送(ST)'!$K$190+'供給(D)'!$K$190)),"")</f>
        <v/>
      </c>
      <c r="AC105" s="354" t="str">
        <f>IFERROR(IF(W105=0,"",W105*$AJ$170/('製造(P)'!$K$190+'貯蔵・輸送(ST)'!$K$190+'供給(D)'!$K$190)),"")</f>
        <v/>
      </c>
      <c r="AD105" s="778" t="str">
        <f>IFERROR(IF(X105=0,"",X105*$AJ$170/('製造(P)'!$K$190+'貯蔵・輸送(ST)'!$K$190+'供給(D)'!$K$190)),"")</f>
        <v/>
      </c>
      <c r="AE105" s="806"/>
      <c r="AF105" s="356"/>
      <c r="AG105" s="207"/>
      <c r="AH105" s="207"/>
      <c r="AI105" s="207"/>
      <c r="AJ105" s="491" t="e">
        <f>VLOOKUP($B105,GWP!$A$4:$D$36,4,FALSE)</f>
        <v>#N/A</v>
      </c>
      <c r="AK105" s="213" t="s">
        <v>54</v>
      </c>
      <c r="AL105" s="59"/>
      <c r="AM105" s="59"/>
      <c r="AR105" s="149"/>
    </row>
    <row r="106" spans="2:44" ht="13.8" thickBot="1">
      <c r="B106" s="907"/>
      <c r="C106" s="908"/>
      <c r="D106" s="909"/>
      <c r="E106" s="63" t="str">
        <f>IF(B106="","","[kg]")</f>
        <v/>
      </c>
      <c r="F106" s="691">
        <v>0</v>
      </c>
      <c r="G106" s="691">
        <v>0</v>
      </c>
      <c r="H106" s="691">
        <v>0</v>
      </c>
      <c r="I106" s="691">
        <v>0</v>
      </c>
      <c r="J106" s="691">
        <v>0</v>
      </c>
      <c r="K106" s="702">
        <f>SUM(F106:J106)</f>
        <v>0</v>
      </c>
      <c r="L106" s="912" t="s">
        <v>7831</v>
      </c>
      <c r="M106" s="913"/>
      <c r="N106" s="614" t="str">
        <f>IFERROR(VLOOKUP($B106,GWP!$A$4:$D$36,4,FALSE),"")</f>
        <v/>
      </c>
      <c r="O106" s="227" t="str">
        <f>IF(E106="","","[kgCO2/kg] ")</f>
        <v/>
      </c>
      <c r="P106" s="149"/>
      <c r="Q106" s="910" t="str">
        <f t="shared" si="59"/>
        <v/>
      </c>
      <c r="R106" s="911"/>
      <c r="S106" s="715">
        <f t="shared" si="61"/>
        <v>0</v>
      </c>
      <c r="T106" s="715">
        <f t="shared" si="62"/>
        <v>0</v>
      </c>
      <c r="U106" s="715">
        <f t="shared" si="63"/>
        <v>0</v>
      </c>
      <c r="V106" s="715">
        <f t="shared" si="64"/>
        <v>0</v>
      </c>
      <c r="W106" s="715">
        <f t="shared" si="65"/>
        <v>0</v>
      </c>
      <c r="X106" s="705">
        <f>SUM(S106:W106)</f>
        <v>0</v>
      </c>
      <c r="Y106" s="354" t="str">
        <f>IFERROR(IF(S106=0,"",S106*$AJ$170/('製造(P)'!$K$190+'貯蔵・輸送(ST)'!$K$190+'供給(D)'!$K$190)),"")</f>
        <v/>
      </c>
      <c r="Z106" s="354" t="str">
        <f>IFERROR(IF(T106=0,"",T106*$AJ$170/('製造(P)'!$K$190+'貯蔵・輸送(ST)'!$K$190+'供給(D)'!$K$190)),"")</f>
        <v/>
      </c>
      <c r="AA106" s="354" t="str">
        <f>IFERROR(IF(U106=0,"",U106*$AJ$170/('製造(P)'!$K$190+'貯蔵・輸送(ST)'!$K$190+'供給(D)'!$K$190)),"")</f>
        <v/>
      </c>
      <c r="AB106" s="354" t="str">
        <f>IFERROR(IF(V106=0,"",V106*$AJ$170/('製造(P)'!$K$190+'貯蔵・輸送(ST)'!$K$190+'供給(D)'!$K$190)),"")</f>
        <v/>
      </c>
      <c r="AC106" s="354" t="str">
        <f>IFERROR(IF(W106=0,"",W106*$AJ$170/('製造(P)'!$K$190+'貯蔵・輸送(ST)'!$K$190+'供給(D)'!$K$190)),"")</f>
        <v/>
      </c>
      <c r="AD106" s="778" t="str">
        <f>IFERROR(IF(X106=0,"",X106*$AJ$170/('製造(P)'!$K$190+'貯蔵・輸送(ST)'!$K$190+'供給(D)'!$K$190)),"")</f>
        <v/>
      </c>
      <c r="AE106" s="806"/>
      <c r="AF106" s="356"/>
      <c r="AG106" s="207"/>
      <c r="AH106" s="207"/>
      <c r="AI106" s="207"/>
      <c r="AJ106" s="491" t="e">
        <f>VLOOKUP($B106,GWP!$A$4:$D$36,4,FALSE)</f>
        <v>#N/A</v>
      </c>
      <c r="AK106" s="213" t="s">
        <v>54</v>
      </c>
      <c r="AL106" s="59"/>
      <c r="AM106" s="59"/>
      <c r="AR106" s="149"/>
    </row>
    <row r="107" spans="2:44">
      <c r="B107" s="332" t="s">
        <v>7461</v>
      </c>
      <c r="C107" s="332"/>
      <c r="D107" s="153"/>
      <c r="E107" s="150"/>
      <c r="F107" s="225"/>
      <c r="G107" s="225"/>
      <c r="H107" s="225"/>
      <c r="I107" s="225"/>
      <c r="J107" s="225"/>
      <c r="K107" s="152"/>
      <c r="L107" s="152"/>
      <c r="M107" s="152"/>
      <c r="N107" s="322"/>
      <c r="O107" s="153"/>
      <c r="P107" s="149"/>
      <c r="Q107" s="147" t="s">
        <v>144</v>
      </c>
      <c r="R107" s="148"/>
      <c r="S107" s="716">
        <f t="shared" ref="S107:X107" si="66">SUM(S104:S106)</f>
        <v>0</v>
      </c>
      <c r="T107" s="716">
        <f t="shared" si="66"/>
        <v>0</v>
      </c>
      <c r="U107" s="716">
        <f t="shared" si="66"/>
        <v>0</v>
      </c>
      <c r="V107" s="716">
        <f t="shared" si="66"/>
        <v>0</v>
      </c>
      <c r="W107" s="716">
        <f t="shared" si="66"/>
        <v>0</v>
      </c>
      <c r="X107" s="716">
        <f t="shared" si="66"/>
        <v>0</v>
      </c>
      <c r="Y107" s="354">
        <f>IFERROR(S107*$AJ$170/('製造(P)'!$K$190+'貯蔵・輸送(ST)'!$K$190+'供給(D)'!$K$190),"")</f>
        <v>0</v>
      </c>
      <c r="Z107" s="354">
        <f>IFERROR(T107*$AJ$170/('製造(P)'!$K$190+'貯蔵・輸送(ST)'!$K$190+'供給(D)'!$K$190),"")</f>
        <v>0</v>
      </c>
      <c r="AA107" s="354">
        <f>IFERROR(U107*$AJ$170/('製造(P)'!$K$190+'貯蔵・輸送(ST)'!$K$190+'供給(D)'!$K$190),"")</f>
        <v>0</v>
      </c>
      <c r="AB107" s="354">
        <f>IFERROR(V107*$AJ$170/('製造(P)'!$K$190+'貯蔵・輸送(ST)'!$K$190+'供給(D)'!$K$190),"")</f>
        <v>0</v>
      </c>
      <c r="AC107" s="354">
        <f>IFERROR(W107*$AJ$170/('製造(P)'!$K$190+'貯蔵・輸送(ST)'!$K$190+'供給(D)'!$K$190),"")</f>
        <v>0</v>
      </c>
      <c r="AD107" s="354">
        <f>IFERROR(X107*$AJ$170/('製造(P)'!$K$190+'貯蔵・輸送(ST)'!$K$190+'供給(D)'!$K$190),"")</f>
        <v>0</v>
      </c>
      <c r="AE107" s="806"/>
      <c r="AF107" s="356"/>
      <c r="AG107" s="207"/>
      <c r="AH107" s="207"/>
      <c r="AI107" s="207"/>
      <c r="AJ107" s="548"/>
      <c r="AK107" s="359"/>
      <c r="AL107" s="59"/>
      <c r="AM107" s="59"/>
      <c r="AR107" s="149"/>
    </row>
    <row r="108" spans="2:44" s="149" customFormat="1">
      <c r="F108" s="220"/>
      <c r="G108" s="220"/>
      <c r="H108" s="220"/>
      <c r="I108" s="220"/>
      <c r="J108" s="220"/>
      <c r="N108" s="320"/>
      <c r="S108" s="220"/>
      <c r="T108" s="220"/>
      <c r="U108" s="220"/>
      <c r="V108" s="220"/>
      <c r="W108" s="220"/>
      <c r="X108" s="220"/>
      <c r="Y108" s="355"/>
      <c r="Z108" s="355"/>
      <c r="AA108" s="355"/>
      <c r="AB108" s="355"/>
      <c r="AC108" s="355"/>
      <c r="AD108" s="355"/>
      <c r="AE108" s="805"/>
      <c r="AF108" s="355"/>
      <c r="AG108" s="207"/>
      <c r="AH108" s="207"/>
      <c r="AI108" s="207"/>
      <c r="AJ108" s="535"/>
      <c r="AK108" s="153"/>
    </row>
    <row r="109" spans="2:44">
      <c r="B109" s="915" t="s">
        <v>7514</v>
      </c>
      <c r="C109" s="915"/>
      <c r="D109" s="915"/>
      <c r="E109" s="915"/>
      <c r="F109" s="915"/>
      <c r="G109" s="915"/>
      <c r="H109" s="915"/>
      <c r="I109" s="915"/>
      <c r="J109" s="915"/>
      <c r="K109" s="915"/>
      <c r="L109" s="915"/>
      <c r="M109" s="915"/>
      <c r="N109" s="915"/>
      <c r="O109" s="915"/>
      <c r="P109" s="149"/>
      <c r="Q109" s="935" t="s">
        <v>7740</v>
      </c>
      <c r="R109" s="935"/>
      <c r="S109" s="935"/>
      <c r="T109" s="935"/>
      <c r="U109" s="935"/>
      <c r="V109" s="935"/>
      <c r="W109" s="935"/>
      <c r="X109" s="935"/>
      <c r="Y109" s="935"/>
      <c r="Z109" s="935"/>
      <c r="AA109" s="935"/>
      <c r="AB109" s="935"/>
      <c r="AC109" s="935"/>
      <c r="AD109" s="935"/>
      <c r="AE109" s="811"/>
      <c r="AF109" s="772"/>
      <c r="AG109" s="207"/>
      <c r="AH109" s="207"/>
      <c r="AI109" s="207"/>
      <c r="AJ109" s="214"/>
      <c r="AK109" s="214"/>
      <c r="AL109" s="59"/>
      <c r="AM109" s="59"/>
      <c r="AR109" s="149"/>
    </row>
    <row r="110" spans="2:44" s="149" customFormat="1">
      <c r="F110" s="220"/>
      <c r="G110" s="220"/>
      <c r="H110" s="220"/>
      <c r="I110" s="220"/>
      <c r="J110" s="220"/>
      <c r="N110" s="320"/>
      <c r="S110" s="220"/>
      <c r="T110" s="220"/>
      <c r="U110" s="220"/>
      <c r="V110" s="220"/>
      <c r="W110" s="220"/>
      <c r="X110" s="220"/>
      <c r="Y110" s="355"/>
      <c r="Z110" s="355"/>
      <c r="AA110" s="355"/>
      <c r="AB110" s="355"/>
      <c r="AC110" s="355"/>
      <c r="AD110" s="355"/>
      <c r="AE110" s="805"/>
      <c r="AF110" s="355"/>
      <c r="AG110" s="207"/>
      <c r="AH110" s="207"/>
      <c r="AI110" s="207"/>
      <c r="AJ110" s="534"/>
      <c r="AK110" s="212"/>
    </row>
    <row r="111" spans="2:44" s="149" customFormat="1" ht="14.25" customHeight="1">
      <c r="B111" s="1005"/>
      <c r="C111" s="1005"/>
      <c r="D111" s="1005"/>
      <c r="E111" s="1005"/>
      <c r="F111" s="1006"/>
      <c r="G111" s="1007"/>
      <c r="H111" s="1007"/>
      <c r="I111" s="1007"/>
      <c r="J111" s="1007"/>
      <c r="K111" s="1007"/>
      <c r="L111" s="1008"/>
      <c r="M111" s="1009"/>
      <c r="N111" s="1009"/>
      <c r="O111" s="1009"/>
      <c r="Q111" s="971" t="s">
        <v>6974</v>
      </c>
      <c r="R111" s="972"/>
      <c r="S111" s="933" t="s">
        <v>7666</v>
      </c>
      <c r="T111" s="934"/>
      <c r="U111" s="934"/>
      <c r="V111" s="934"/>
      <c r="W111" s="934"/>
      <c r="X111" s="934"/>
      <c r="Y111" s="955" t="s">
        <v>7543</v>
      </c>
      <c r="Z111" s="956"/>
      <c r="AA111" s="956"/>
      <c r="AB111" s="956"/>
      <c r="AC111" s="956"/>
      <c r="AD111" s="956"/>
      <c r="AE111" s="906" t="s">
        <v>7921</v>
      </c>
      <c r="AF111" s="771"/>
      <c r="AG111" s="207"/>
      <c r="AH111" s="207"/>
      <c r="AI111" s="207"/>
      <c r="AJ111" s="535"/>
      <c r="AK111" s="153"/>
    </row>
    <row r="112" spans="2:44" s="149" customFormat="1">
      <c r="B112" s="1005"/>
      <c r="C112" s="1005"/>
      <c r="D112" s="1005"/>
      <c r="E112" s="1005"/>
      <c r="F112" s="363"/>
      <c r="G112" s="363"/>
      <c r="H112" s="363"/>
      <c r="I112" s="363"/>
      <c r="J112" s="363"/>
      <c r="K112" s="364"/>
      <c r="L112" s="1009"/>
      <c r="M112" s="1009"/>
      <c r="N112" s="1009"/>
      <c r="O112" s="1009"/>
      <c r="Q112" s="896"/>
      <c r="R112" s="898"/>
      <c r="S112" s="362" t="s">
        <v>7426</v>
      </c>
      <c r="T112" s="312" t="s">
        <v>7427</v>
      </c>
      <c r="U112" s="312" t="s">
        <v>7428</v>
      </c>
      <c r="V112" s="312" t="s">
        <v>7429</v>
      </c>
      <c r="W112" s="312" t="s">
        <v>7430</v>
      </c>
      <c r="X112" s="313" t="s">
        <v>7431</v>
      </c>
      <c r="Y112" s="312" t="s">
        <v>7426</v>
      </c>
      <c r="Z112" s="312" t="s">
        <v>7427</v>
      </c>
      <c r="AA112" s="312" t="s">
        <v>7428</v>
      </c>
      <c r="AB112" s="312" t="s">
        <v>7429</v>
      </c>
      <c r="AC112" s="312" t="s">
        <v>7430</v>
      </c>
      <c r="AD112" s="774" t="s">
        <v>7431</v>
      </c>
      <c r="AE112" s="906"/>
      <c r="AF112" s="364"/>
      <c r="AG112" s="407" t="s">
        <v>7584</v>
      </c>
      <c r="AH112" s="207"/>
      <c r="AI112" s="207"/>
      <c r="AJ112" s="535"/>
      <c r="AK112" s="153"/>
    </row>
    <row r="113" spans="2:44" s="149" customFormat="1">
      <c r="B113" s="936"/>
      <c r="C113" s="936"/>
      <c r="D113" s="936"/>
      <c r="E113" s="150"/>
      <c r="F113" s="225"/>
      <c r="G113" s="225"/>
      <c r="H113" s="225"/>
      <c r="I113" s="225"/>
      <c r="J113" s="225"/>
      <c r="K113" s="152"/>
      <c r="L113" s="970"/>
      <c r="M113" s="970"/>
      <c r="N113" s="365"/>
      <c r="O113" s="366"/>
      <c r="Q113" s="923" t="str">
        <f>IFERROR(IF(MAX(資本財!$U$5:$U$30)&lt;1,"",INDEX(資本財!$D$5:$D$30,MATCH(ROW(T1),資本財!$U$5:$U$30,0))),"")</f>
        <v>受変電・電気設備</v>
      </c>
      <c r="R113" s="924"/>
      <c r="S113" s="721">
        <f>IFERROR(IF(INDEX(資本財!$C$5:$C$30,MATCH(ROW(R1),資本財!$U$5:$U$30,0))=S$112,INDEX(資本財!$P$5:$P$30,MATCH(ROW(R1),資本財!$U$5:$U$30,0))*$AG113,0),"")</f>
        <v>6.6111482721463082</v>
      </c>
      <c r="T113" s="721">
        <f>IFERROR(IF(INDEX(資本財!$C$5:$C$30,MATCH(ROW(S1),資本財!$U$5:$U$30,0))=T$112,INDEX(資本財!$P$5:$P$30,MATCH(ROW(S1),資本財!$U$5:$U$30,0))*$AG113,0),"")</f>
        <v>0</v>
      </c>
      <c r="U113" s="721">
        <f>IFERROR(IF(INDEX(資本財!$C$5:$C$30,MATCH(ROW(T1),資本財!$U$5:$U$30,0))=U$112,INDEX(資本財!$P$5:$P$30,MATCH(ROW(T1),資本財!$U$5:$U$30,0))*$AG113,0),"")</f>
        <v>0</v>
      </c>
      <c r="V113" s="721">
        <f>IFERROR(IF(INDEX(資本財!$C$5:$C$30,MATCH(ROW(U1),資本財!$U$5:$U$30,0))=V$112,INDEX(資本財!$P$5:$P$30,MATCH(ROW(U1),資本財!$U$5:$U$30,0))*$AG113,0),"")</f>
        <v>0</v>
      </c>
      <c r="W113" s="721">
        <f>IFERROR(IF(INDEX(資本財!$C$5:$C$30,MATCH(ROW(V1),資本財!$U$5:$U$30,0))=W$112,INDEX(資本財!$P$5:$P$30,MATCH(ROW(V1),資本財!$U$5:$U$30,0))*$AG113,0),"")</f>
        <v>0</v>
      </c>
      <c r="X113" s="705">
        <f>SUM(S113:W113)</f>
        <v>6.6111482721463082</v>
      </c>
      <c r="Y113" s="354">
        <f>IFERROR(S113*$AJ$170/('製造(P)'!$K$190+'貯蔵・輸送(ST)'!$K$190+'供給(D)'!$K$190),"")</f>
        <v>7.0013781389120025E-2</v>
      </c>
      <c r="Z113" s="354">
        <f>IFERROR(T113*$AJ$170/('製造(P)'!$K$190+'貯蔵・輸送(ST)'!$K$190+'供給(D)'!$K$190),"")</f>
        <v>0</v>
      </c>
      <c r="AA113" s="354">
        <f>IFERROR(U113*$AJ$170/('製造(P)'!$K$190+'貯蔵・輸送(ST)'!$K$190+'供給(D)'!$K$190),"")</f>
        <v>0</v>
      </c>
      <c r="AB113" s="354">
        <f>IFERROR(V113*$AJ$170/('製造(P)'!$K$190+'貯蔵・輸送(ST)'!$K$190+'供給(D)'!$K$190),"")</f>
        <v>0</v>
      </c>
      <c r="AC113" s="354">
        <f>IFERROR(W113*$AJ$170/('製造(P)'!$K$190+'貯蔵・輸送(ST)'!$K$190+'供給(D)'!$K$190),"")</f>
        <v>0</v>
      </c>
      <c r="AD113" s="778">
        <f>IFERROR(IF(X113=0,"",X113*$AJ$170/('製造(P)'!$K$190+'貯蔵・輸送(ST)'!$K$190+'供給(D)'!$K$190)),"")</f>
        <v>7.0013781389120025E-2</v>
      </c>
      <c r="AE113" s="685"/>
      <c r="AF113" s="356"/>
      <c r="AG113" s="408">
        <f>IFERROR(IF(INDEX(資本財!$H$5:$H$30,MATCH(ROW(R1),資本財!$U$5:$U$30,0))="[Nm3]",$D$6,IF(INDEX(資本財!$H$5:$H$30,MATCH(ROW(R1),資本財!$U$5:$U$30,0))="[MJ]",$D$10,IF(INDEX(資本財!$H$5:$H$30,MATCH(ROW(R1),資本財!$U$5:$U$30,0))="[kg]",$D$9,""))),"")</f>
        <v>100</v>
      </c>
      <c r="AJ113" s="333"/>
    </row>
    <row r="114" spans="2:44" s="149" customFormat="1" ht="15" customHeight="1">
      <c r="B114" s="936"/>
      <c r="C114" s="936"/>
      <c r="D114" s="936"/>
      <c r="E114" s="150"/>
      <c r="F114" s="225"/>
      <c r="G114" s="225"/>
      <c r="H114" s="225"/>
      <c r="I114" s="225"/>
      <c r="J114" s="225"/>
      <c r="K114" s="152"/>
      <c r="L114" s="970"/>
      <c r="M114" s="970"/>
      <c r="N114" s="365"/>
      <c r="O114" s="366"/>
      <c r="Q114" s="923" t="str">
        <f>IFERROR(IF(MAX(資本財!$U$5:$U$30)&lt;1,"",INDEX(資本財!$D$5:$D$30,MATCH(ROW(T2),資本財!$U$5:$U$30,0))),"")</f>
        <v>蓄電システム</v>
      </c>
      <c r="R114" s="924"/>
      <c r="S114" s="721">
        <f>IFERROR(IF(INDEX(資本財!$C$5:$C$30,MATCH(ROW(R2),資本財!$U$5:$U$30,0))=S$112,INDEX(資本財!$P$5:$P$30,MATCH(ROW(R2),資本財!$U$5:$U$30,0))*$AG114,0),"")</f>
        <v>28.307262660491212</v>
      </c>
      <c r="T114" s="721">
        <f>IFERROR(IF(INDEX(資本財!$C$5:$C$30,MATCH(ROW(S2),資本財!$U$5:$U$30,0))=T$112,INDEX(資本財!$P$5:$P$30,MATCH(ROW(S2),資本財!$U$5:$U$30,0))*$AG114,0),"")</f>
        <v>0</v>
      </c>
      <c r="U114" s="721">
        <f>IFERROR(IF(INDEX(資本財!$C$5:$C$30,MATCH(ROW(T2),資本財!$U$5:$U$30,0))=U$112,INDEX(資本財!$P$5:$P$30,MATCH(ROW(T2),資本財!$U$5:$U$30,0))*$AG114,0),"")</f>
        <v>0</v>
      </c>
      <c r="V114" s="721">
        <f>IFERROR(IF(INDEX(資本財!$C$5:$C$30,MATCH(ROW(U2),資本財!$U$5:$U$30,0))=V$112,INDEX(資本財!$P$5:$P$30,MATCH(ROW(U2),資本財!$U$5:$U$30,0))*$AG114,0),"")</f>
        <v>0</v>
      </c>
      <c r="W114" s="721">
        <f>IFERROR(IF(INDEX(資本財!$C$5:$C$30,MATCH(ROW(V2),資本財!$U$5:$U$30,0))=W$112,INDEX(資本財!$P$5:$P$30,MATCH(ROW(V2),資本財!$U$5:$U$30,0))*$AG114,0),"")</f>
        <v>0</v>
      </c>
      <c r="X114" s="705">
        <f t="shared" ref="X114:X122" si="67">SUM(S114:W114)</f>
        <v>28.307262660491212</v>
      </c>
      <c r="Y114" s="354">
        <f>IFERROR(S114*$AJ$170/('製造(P)'!$K$190+'貯蔵・輸送(ST)'!$K$190+'供給(D)'!$K$190),"")</f>
        <v>0.29978128126184178</v>
      </c>
      <c r="Z114" s="354">
        <f>IFERROR(T114*$AJ$170/('製造(P)'!$K$190+'貯蔵・輸送(ST)'!$K$190+'供給(D)'!$K$190),"")</f>
        <v>0</v>
      </c>
      <c r="AA114" s="354">
        <f>IFERROR(U114*$AJ$170/('製造(P)'!$K$190+'貯蔵・輸送(ST)'!$K$190+'供給(D)'!$K$190),"")</f>
        <v>0</v>
      </c>
      <c r="AB114" s="354">
        <f>IFERROR(V114*$AJ$170/('製造(P)'!$K$190+'貯蔵・輸送(ST)'!$K$190+'供給(D)'!$K$190),"")</f>
        <v>0</v>
      </c>
      <c r="AC114" s="354">
        <f>IFERROR(W114*$AJ$170/('製造(P)'!$K$190+'貯蔵・輸送(ST)'!$K$190+'供給(D)'!$K$190),"")</f>
        <v>0</v>
      </c>
      <c r="AD114" s="778">
        <f>IFERROR(IF(X114=0,"",X114*$AJ$170/('製造(P)'!$K$190+'貯蔵・輸送(ST)'!$K$190+'供給(D)'!$K$190)),"")</f>
        <v>0.29978128126184178</v>
      </c>
      <c r="AE114" s="685"/>
      <c r="AF114" s="356"/>
      <c r="AG114" s="408">
        <f>IFERROR(IF(INDEX(資本財!$H$5:$H$30,MATCH(ROW(R2),資本財!$U$5:$U$30,0))="[Nm3]",$D$6,IF(INDEX(資本財!$H$5:$H$30,MATCH(ROW(R2),資本財!$U$5:$U$30,0))="[MJ]",$D$10,IF(INDEX(資本財!$H$5:$H$30,MATCH(ROW(R2),資本財!$U$5:$U$30,0))="[kg]",$D$9,""))),"")</f>
        <v>100</v>
      </c>
      <c r="AJ114" s="333"/>
    </row>
    <row r="115" spans="2:44" s="149" customFormat="1" ht="15" customHeight="1">
      <c r="B115" s="936"/>
      <c r="C115" s="936"/>
      <c r="D115" s="936"/>
      <c r="E115" s="150"/>
      <c r="F115" s="225"/>
      <c r="G115" s="225"/>
      <c r="H115" s="225"/>
      <c r="I115" s="225"/>
      <c r="J115" s="225"/>
      <c r="K115" s="152"/>
      <c r="L115" s="970"/>
      <c r="M115" s="970"/>
      <c r="N115" s="365"/>
      <c r="O115" s="366"/>
      <c r="Q115" s="923" t="str">
        <f>IFERROR(IF(MAX(資本財!$U$5:$U$30)&lt;1,"",INDEX(資本財!$D$5:$D$30,MATCH(ROW(T3),資本財!$U$5:$U$30,0))),"")</f>
        <v>水電解装置</v>
      </c>
      <c r="R115" s="924"/>
      <c r="S115" s="721">
        <f>IFERROR(IF(INDEX(資本財!$C$5:$C$30,MATCH(ROW(R3),資本財!$U$5:$U$30,0))=S$112,INDEX(資本財!$P$5:$P$30,MATCH(ROW(R3),資本財!$U$5:$U$30,0))*$AG115,0),"")</f>
        <v>2.5476536394442095</v>
      </c>
      <c r="T115" s="721">
        <f>IFERROR(IF(INDEX(資本財!$C$5:$C$30,MATCH(ROW(S3),資本財!$U$5:$U$30,0))=T$112,INDEX(資本財!$P$5:$P$30,MATCH(ROW(S3),資本財!$U$5:$U$30,0))*$AG115,0),"")</f>
        <v>0</v>
      </c>
      <c r="U115" s="721">
        <f>IFERROR(IF(INDEX(資本財!$C$5:$C$30,MATCH(ROW(T3),資本財!$U$5:$U$30,0))=U$112,INDEX(資本財!$P$5:$P$30,MATCH(ROW(T3),資本財!$U$5:$U$30,0))*$AG115,0),"")</f>
        <v>0</v>
      </c>
      <c r="V115" s="721">
        <f>IFERROR(IF(INDEX(資本財!$C$5:$C$30,MATCH(ROW(U3),資本財!$U$5:$U$30,0))=V$112,INDEX(資本財!$P$5:$P$30,MATCH(ROW(U3),資本財!$U$5:$U$30,0))*$AG115,0),"")</f>
        <v>0</v>
      </c>
      <c r="W115" s="721">
        <f>IFERROR(IF(INDEX(資本財!$C$5:$C$30,MATCH(ROW(V3),資本財!$U$5:$U$30,0))=W$112,INDEX(資本財!$P$5:$P$30,MATCH(ROW(V3),資本財!$U$5:$U$30,0))*$AG115,0),"")</f>
        <v>0</v>
      </c>
      <c r="X115" s="705">
        <f t="shared" si="67"/>
        <v>2.5476536394442095</v>
      </c>
      <c r="Y115" s="354">
        <f>IFERROR(S115*$AJ$170/('製造(P)'!$K$190+'貯蔵・輸送(ST)'!$K$190+'供給(D)'!$K$190),"")</f>
        <v>2.6980315313565768E-2</v>
      </c>
      <c r="Z115" s="354">
        <f>IFERROR(T115*$AJ$170/('製造(P)'!$K$190+'貯蔵・輸送(ST)'!$K$190+'供給(D)'!$K$190),"")</f>
        <v>0</v>
      </c>
      <c r="AA115" s="354">
        <f>IFERROR(U115*$AJ$170/('製造(P)'!$K$190+'貯蔵・輸送(ST)'!$K$190+'供給(D)'!$K$190),"")</f>
        <v>0</v>
      </c>
      <c r="AB115" s="354">
        <f>IFERROR(V115*$AJ$170/('製造(P)'!$K$190+'貯蔵・輸送(ST)'!$K$190+'供給(D)'!$K$190),"")</f>
        <v>0</v>
      </c>
      <c r="AC115" s="354">
        <f>IFERROR(W115*$AJ$170/('製造(P)'!$K$190+'貯蔵・輸送(ST)'!$K$190+'供給(D)'!$K$190),"")</f>
        <v>0</v>
      </c>
      <c r="AD115" s="778">
        <f>IFERROR(IF(X115=0,"",X115*$AJ$170/('製造(P)'!$K$190+'貯蔵・輸送(ST)'!$K$190+'供給(D)'!$K$190)),"")</f>
        <v>2.6980315313565768E-2</v>
      </c>
      <c r="AE115" s="685"/>
      <c r="AF115" s="356"/>
      <c r="AG115" s="408">
        <f>IFERROR(IF(INDEX(資本財!$H$5:$H$30,MATCH(ROW(R3),資本財!$U$5:$U$30,0))="[Nm3]",$D$6,IF(INDEX(資本財!$H$5:$H$30,MATCH(ROW(R3),資本財!$U$5:$U$30,0))="[MJ]",$D$10,IF(INDEX(資本財!$H$5:$H$30,MATCH(ROW(R3),資本財!$U$5:$U$30,0))="[kg]",$D$9,""))),"")</f>
        <v>100</v>
      </c>
      <c r="AJ115" s="333"/>
    </row>
    <row r="116" spans="2:44" s="149" customFormat="1" ht="15" customHeight="1">
      <c r="B116" s="936"/>
      <c r="C116" s="936"/>
      <c r="D116" s="936"/>
      <c r="E116" s="150"/>
      <c r="F116" s="225"/>
      <c r="G116" s="225"/>
      <c r="H116" s="225"/>
      <c r="I116" s="225"/>
      <c r="J116" s="225"/>
      <c r="K116" s="152"/>
      <c r="L116" s="970"/>
      <c r="M116" s="970"/>
      <c r="N116" s="365"/>
      <c r="O116" s="366"/>
      <c r="Q116" s="923" t="str">
        <f>IFERROR(IF(MAX(資本財!$U$5:$U$30)&lt;1,"",INDEX(資本財!$D$5:$D$30,MATCH(ROW(T4),資本財!$U$5:$U$30,0))),"")</f>
        <v/>
      </c>
      <c r="R116" s="924"/>
      <c r="S116" s="721" t="str">
        <f>IFERROR(IF(INDEX(資本財!$C$5:$C$30,MATCH(ROW(R4),資本財!$U$5:$U$30,0))=S$112,INDEX(資本財!$P$5:$P$30,MATCH(ROW(R4),資本財!$U$5:$U$30,0))*$AG116,0),"")</f>
        <v/>
      </c>
      <c r="T116" s="721" t="str">
        <f>IFERROR(IF(INDEX(資本財!$C$5:$C$30,MATCH(ROW(S4),資本財!$U$5:$U$30,0))=T$112,INDEX(資本財!$P$5:$P$30,MATCH(ROW(S4),資本財!$U$5:$U$30,0))*$AG116,0),"")</f>
        <v/>
      </c>
      <c r="U116" s="721" t="str">
        <f>IFERROR(IF(INDEX(資本財!$C$5:$C$30,MATCH(ROW(T4),資本財!$U$5:$U$30,0))=U$112,INDEX(資本財!$P$5:$P$30,MATCH(ROW(T4),資本財!$U$5:$U$30,0))*$AG116,0),"")</f>
        <v/>
      </c>
      <c r="V116" s="721" t="str">
        <f>IFERROR(IF(INDEX(資本財!$C$5:$C$30,MATCH(ROW(U4),資本財!$U$5:$U$30,0))=V$112,INDEX(資本財!$P$5:$P$30,MATCH(ROW(U4),資本財!$U$5:$U$30,0))*$AG116,0),"")</f>
        <v/>
      </c>
      <c r="W116" s="721" t="str">
        <f>IFERROR(IF(INDEX(資本財!$C$5:$C$30,MATCH(ROW(V4),資本財!$U$5:$U$30,0))=W$112,INDEX(資本財!$P$5:$P$30,MATCH(ROW(V4),資本財!$U$5:$U$30,0))*$AG116,0),"")</f>
        <v/>
      </c>
      <c r="X116" s="705">
        <f t="shared" si="67"/>
        <v>0</v>
      </c>
      <c r="Y116" s="354" t="str">
        <f>IFERROR(S116*$AJ$170/('製造(P)'!$K$190+'貯蔵・輸送(ST)'!$K$190+'供給(D)'!$K$190),"")</f>
        <v/>
      </c>
      <c r="Z116" s="354" t="str">
        <f>IFERROR(T116*$AJ$170/('製造(P)'!$K$190+'貯蔵・輸送(ST)'!$K$190+'供給(D)'!$K$190),"")</f>
        <v/>
      </c>
      <c r="AA116" s="354" t="str">
        <f>IFERROR(U116*$AJ$170/('製造(P)'!$K$190+'貯蔵・輸送(ST)'!$K$190+'供給(D)'!$K$190),"")</f>
        <v/>
      </c>
      <c r="AB116" s="354" t="str">
        <f>IFERROR(V116*$AJ$170/('製造(P)'!$K$190+'貯蔵・輸送(ST)'!$K$190+'供給(D)'!$K$190),"")</f>
        <v/>
      </c>
      <c r="AC116" s="354" t="str">
        <f>IFERROR(W116*$AJ$170/('製造(P)'!$K$190+'貯蔵・輸送(ST)'!$K$190+'供給(D)'!$K$190),"")</f>
        <v/>
      </c>
      <c r="AD116" s="778" t="str">
        <f>IFERROR(IF(X116=0,"",X116*$AJ$170/('製造(P)'!$K$190+'貯蔵・輸送(ST)'!$K$190+'供給(D)'!$K$190)),"")</f>
        <v/>
      </c>
      <c r="AE116" s="685"/>
      <c r="AF116" s="356"/>
      <c r="AG116" s="408" t="str">
        <f>IFERROR(IF(INDEX(資本財!$H$5:$H$30,MATCH(ROW(R4),資本財!$U$5:$U$30,0))="[Nm3]",$D$6,IF(INDEX(資本財!$H$5:$H$30,MATCH(ROW(R4),資本財!$U$5:$U$30,0))="[MJ]",$D$10,IF(INDEX(資本財!$H$5:$H$30,MATCH(ROW(R4),資本財!$U$5:$U$30,0))="[kg]",$D$9,""))),"")</f>
        <v/>
      </c>
      <c r="AJ116" s="333"/>
    </row>
    <row r="117" spans="2:44" s="149" customFormat="1" ht="15" customHeight="1">
      <c r="B117" s="936"/>
      <c r="C117" s="936"/>
      <c r="D117" s="936"/>
      <c r="E117" s="150"/>
      <c r="F117" s="225"/>
      <c r="G117" s="225"/>
      <c r="H117" s="225"/>
      <c r="I117" s="225"/>
      <c r="J117" s="225"/>
      <c r="K117" s="152"/>
      <c r="L117" s="970"/>
      <c r="M117" s="970"/>
      <c r="N117" s="365"/>
      <c r="O117" s="366"/>
      <c r="Q117" s="923" t="str">
        <f>IFERROR(IF(MAX(資本財!$U$5:$U$30)&lt;1,"",INDEX(資本財!$D$5:$D$30,MATCH(ROW(T5),資本財!$U$5:$U$30,0))),"")</f>
        <v/>
      </c>
      <c r="R117" s="924"/>
      <c r="S117" s="721" t="str">
        <f>IFERROR(IF(INDEX(資本財!$C$5:$C$30,MATCH(ROW(R5),資本財!$U$5:$U$30,0))=S$112,INDEX(資本財!$P$5:$P$30,MATCH(ROW(R5),資本財!$U$5:$U$30,0))*$AG117,0),"")</f>
        <v/>
      </c>
      <c r="T117" s="721" t="str">
        <f>IFERROR(IF(INDEX(資本財!$C$5:$C$30,MATCH(ROW(S5),資本財!$U$5:$U$30,0))=T$112,INDEX(資本財!$P$5:$P$30,MATCH(ROW(S5),資本財!$U$5:$U$30,0))*$AG117,0),"")</f>
        <v/>
      </c>
      <c r="U117" s="721" t="str">
        <f>IFERROR(IF(INDEX(資本財!$C$5:$C$30,MATCH(ROW(T5),資本財!$U$5:$U$30,0))=U$112,INDEX(資本財!$P$5:$P$30,MATCH(ROW(T5),資本財!$U$5:$U$30,0))*$AG117,0),"")</f>
        <v/>
      </c>
      <c r="V117" s="721" t="str">
        <f>IFERROR(IF(INDEX(資本財!$C$5:$C$30,MATCH(ROW(U5),資本財!$U$5:$U$30,0))=V$112,INDEX(資本財!$P$5:$P$30,MATCH(ROW(U5),資本財!$U$5:$U$30,0))*$AG117,0),"")</f>
        <v/>
      </c>
      <c r="W117" s="721" t="str">
        <f>IFERROR(IF(INDEX(資本財!$C$5:$C$30,MATCH(ROW(V5),資本財!$U$5:$U$30,0))=W$112,INDEX(資本財!$P$5:$P$30,MATCH(ROW(V5),資本財!$U$5:$U$30,0))*$AG117,0),"")</f>
        <v/>
      </c>
      <c r="X117" s="705">
        <f t="shared" si="67"/>
        <v>0</v>
      </c>
      <c r="Y117" s="354" t="str">
        <f>IFERROR(S117*$AJ$170/('製造(P)'!$K$190+'貯蔵・輸送(ST)'!$K$190+'供給(D)'!$K$190),"")</f>
        <v/>
      </c>
      <c r="Z117" s="354" t="str">
        <f>IFERROR(T117*$AJ$170/('製造(P)'!$K$190+'貯蔵・輸送(ST)'!$K$190+'供給(D)'!$K$190),"")</f>
        <v/>
      </c>
      <c r="AA117" s="354" t="str">
        <f>IFERROR(U117*$AJ$170/('製造(P)'!$K$190+'貯蔵・輸送(ST)'!$K$190+'供給(D)'!$K$190),"")</f>
        <v/>
      </c>
      <c r="AB117" s="354" t="str">
        <f>IFERROR(V117*$AJ$170/('製造(P)'!$K$190+'貯蔵・輸送(ST)'!$K$190+'供給(D)'!$K$190),"")</f>
        <v/>
      </c>
      <c r="AC117" s="354" t="str">
        <f>IFERROR(W117*$AJ$170/('製造(P)'!$K$190+'貯蔵・輸送(ST)'!$K$190+'供給(D)'!$K$190),"")</f>
        <v/>
      </c>
      <c r="AD117" s="778" t="str">
        <f>IFERROR(IF(X117=0,"",X117*$AJ$170/('製造(P)'!$K$190+'貯蔵・輸送(ST)'!$K$190+'供給(D)'!$K$190)),"")</f>
        <v/>
      </c>
      <c r="AE117" s="685"/>
      <c r="AF117" s="356"/>
      <c r="AG117" s="408" t="str">
        <f>IFERROR(IF(INDEX(資本財!$H$5:$H$30,MATCH(ROW(R5),資本財!$U$5:$U$30,0))="[Nm3]",$D$6,IF(INDEX(資本財!$H$5:$H$30,MATCH(ROW(R5),資本財!$U$5:$U$30,0))="[MJ]",$D$10,IF(INDEX(資本財!$H$5:$H$30,MATCH(ROW(R5),資本財!$U$5:$U$30,0))="[kg]",$D$9,""))),"")</f>
        <v/>
      </c>
      <c r="AJ117" s="333"/>
    </row>
    <row r="118" spans="2:44" s="149" customFormat="1" ht="15" customHeight="1">
      <c r="B118" s="936"/>
      <c r="C118" s="936"/>
      <c r="D118" s="936"/>
      <c r="E118" s="150"/>
      <c r="F118" s="225"/>
      <c r="G118" s="225"/>
      <c r="H118" s="225"/>
      <c r="I118" s="225"/>
      <c r="J118" s="225"/>
      <c r="K118" s="152"/>
      <c r="L118" s="367"/>
      <c r="M118" s="367"/>
      <c r="N118" s="365"/>
      <c r="O118" s="366"/>
      <c r="Q118" s="923" t="str">
        <f>IFERROR(IF(MAX(資本財!$U$5:$U$30)&lt;1,"",INDEX(資本財!$D$5:$D$30,MATCH(ROW(T6),資本財!$U$5:$U$30,0))),"")</f>
        <v/>
      </c>
      <c r="R118" s="924"/>
      <c r="S118" s="721" t="str">
        <f>IFERROR(IF(INDEX(資本財!$C$5:$C$30,MATCH(ROW(R6),資本財!$U$5:$U$30,0))=S$112,INDEX(資本財!$P$5:$P$30,MATCH(ROW(R6),資本財!$U$5:$U$30,0))*$AG118,0),"")</f>
        <v/>
      </c>
      <c r="T118" s="721" t="str">
        <f>IFERROR(IF(INDEX(資本財!$C$5:$C$30,MATCH(ROW(S6),資本財!$U$5:$U$30,0))=T$112,INDEX(資本財!$P$5:$P$30,MATCH(ROW(S6),資本財!$U$5:$U$30,0))*$AG118,0),"")</f>
        <v/>
      </c>
      <c r="U118" s="721" t="str">
        <f>IFERROR(IF(INDEX(資本財!$C$5:$C$30,MATCH(ROW(T6),資本財!$U$5:$U$30,0))=U$112,INDEX(資本財!$P$5:$P$30,MATCH(ROW(T6),資本財!$U$5:$U$30,0))*$AG118,0),"")</f>
        <v/>
      </c>
      <c r="V118" s="721" t="str">
        <f>IFERROR(IF(INDEX(資本財!$C$5:$C$30,MATCH(ROW(U6),資本財!$U$5:$U$30,0))=V$112,INDEX(資本財!$P$5:$P$30,MATCH(ROW(U6),資本財!$U$5:$U$30,0))*$AG118,0),"")</f>
        <v/>
      </c>
      <c r="W118" s="721" t="str">
        <f>IFERROR(IF(INDEX(資本財!$C$5:$C$30,MATCH(ROW(V6),資本財!$U$5:$U$30,0))=W$112,INDEX(資本財!$P$5:$P$30,MATCH(ROW(V6),資本財!$U$5:$U$30,0))*$AG118,0),"")</f>
        <v/>
      </c>
      <c r="X118" s="705">
        <f t="shared" si="67"/>
        <v>0</v>
      </c>
      <c r="Y118" s="354" t="str">
        <f>IFERROR(S118*$AJ$170/('製造(P)'!$K$190+'貯蔵・輸送(ST)'!$K$190+'供給(D)'!$K$190),"")</f>
        <v/>
      </c>
      <c r="Z118" s="354" t="str">
        <f>IFERROR(T118*$AJ$170/('製造(P)'!$K$190+'貯蔵・輸送(ST)'!$K$190+'供給(D)'!$K$190),"")</f>
        <v/>
      </c>
      <c r="AA118" s="354" t="str">
        <f>IFERROR(U118*$AJ$170/('製造(P)'!$K$190+'貯蔵・輸送(ST)'!$K$190+'供給(D)'!$K$190),"")</f>
        <v/>
      </c>
      <c r="AB118" s="354" t="str">
        <f>IFERROR(V118*$AJ$170/('製造(P)'!$K$190+'貯蔵・輸送(ST)'!$K$190+'供給(D)'!$K$190),"")</f>
        <v/>
      </c>
      <c r="AC118" s="354" t="str">
        <f>IFERROR(W118*$AJ$170/('製造(P)'!$K$190+'貯蔵・輸送(ST)'!$K$190+'供給(D)'!$K$190),"")</f>
        <v/>
      </c>
      <c r="AD118" s="778" t="str">
        <f>IFERROR(IF(X118=0,"",X118*$AJ$170/('製造(P)'!$K$190+'貯蔵・輸送(ST)'!$K$190+'供給(D)'!$K$190)),"")</f>
        <v/>
      </c>
      <c r="AE118" s="685"/>
      <c r="AF118" s="356"/>
      <c r="AG118" s="408" t="str">
        <f>IFERROR(IF(INDEX(資本財!$H$5:$H$30,MATCH(ROW(R6),資本財!$U$5:$U$30,0))="[Nm3]",$D$6,IF(INDEX(資本財!$H$5:$H$30,MATCH(ROW(R6),資本財!$U$5:$U$30,0))="[MJ]",$D$10,IF(INDEX(資本財!$H$5:$H$30,MATCH(ROW(R6),資本財!$U$5:$U$30,0))="[kg]",$D$9,""))),"")</f>
        <v/>
      </c>
      <c r="AJ118" s="333"/>
    </row>
    <row r="119" spans="2:44" s="149" customFormat="1" ht="15" customHeight="1">
      <c r="B119" s="936"/>
      <c r="C119" s="936"/>
      <c r="D119" s="936"/>
      <c r="E119" s="150"/>
      <c r="F119" s="225"/>
      <c r="G119" s="225"/>
      <c r="H119" s="225"/>
      <c r="I119" s="225"/>
      <c r="J119" s="225"/>
      <c r="K119" s="152"/>
      <c r="L119" s="367"/>
      <c r="M119" s="367"/>
      <c r="N119" s="365"/>
      <c r="O119" s="366"/>
      <c r="Q119" s="923" t="str">
        <f>IFERROR(IF(MAX(資本財!$U$5:$U$30)&lt;1,"",INDEX(資本財!$D$5:$D$30,MATCH(ROW(T7),資本財!$U$5:$U$30,0))),"")</f>
        <v/>
      </c>
      <c r="R119" s="924"/>
      <c r="S119" s="721" t="str">
        <f>IFERROR(IF(INDEX(資本財!$C$5:$C$30,MATCH(ROW(R7),資本財!$U$5:$U$30,0))=S$112,INDEX(資本財!$P$5:$P$30,MATCH(ROW(R7),資本財!$U$5:$U$30,0))*$AG119,0),"")</f>
        <v/>
      </c>
      <c r="T119" s="721" t="str">
        <f>IFERROR(IF(INDEX(資本財!$C$5:$C$30,MATCH(ROW(S7),資本財!$U$5:$U$30,0))=T$112,INDEX(資本財!$P$5:$P$30,MATCH(ROW(S7),資本財!$U$5:$U$30,0))*$AG119,0),"")</f>
        <v/>
      </c>
      <c r="U119" s="721" t="str">
        <f>IFERROR(IF(INDEX(資本財!$C$5:$C$30,MATCH(ROW(T7),資本財!$U$5:$U$30,0))=U$112,INDEX(資本財!$P$5:$P$30,MATCH(ROW(T7),資本財!$U$5:$U$30,0))*$AG119,0),"")</f>
        <v/>
      </c>
      <c r="V119" s="721" t="str">
        <f>IFERROR(IF(INDEX(資本財!$C$5:$C$30,MATCH(ROW(U7),資本財!$U$5:$U$30,0))=V$112,INDEX(資本財!$P$5:$P$30,MATCH(ROW(U7),資本財!$U$5:$U$30,0))*$AG119,0),"")</f>
        <v/>
      </c>
      <c r="W119" s="721" t="str">
        <f>IFERROR(IF(INDEX(資本財!$C$5:$C$30,MATCH(ROW(V7),資本財!$U$5:$U$30,0))=W$112,INDEX(資本財!$P$5:$P$30,MATCH(ROW(V7),資本財!$U$5:$U$30,0))*$AG119,0),"")</f>
        <v/>
      </c>
      <c r="X119" s="705">
        <f t="shared" si="67"/>
        <v>0</v>
      </c>
      <c r="Y119" s="354" t="str">
        <f>IFERROR(S119*$AJ$170/('製造(P)'!$K$190+'貯蔵・輸送(ST)'!$K$190+'供給(D)'!$K$190),"")</f>
        <v/>
      </c>
      <c r="Z119" s="354" t="str">
        <f>IFERROR(T119*$AJ$170/('製造(P)'!$K$190+'貯蔵・輸送(ST)'!$K$190+'供給(D)'!$K$190),"")</f>
        <v/>
      </c>
      <c r="AA119" s="354" t="str">
        <f>IFERROR(U119*$AJ$170/('製造(P)'!$K$190+'貯蔵・輸送(ST)'!$K$190+'供給(D)'!$K$190),"")</f>
        <v/>
      </c>
      <c r="AB119" s="354" t="str">
        <f>IFERROR(V119*$AJ$170/('製造(P)'!$K$190+'貯蔵・輸送(ST)'!$K$190+'供給(D)'!$K$190),"")</f>
        <v/>
      </c>
      <c r="AC119" s="354" t="str">
        <f>IFERROR(W119*$AJ$170/('製造(P)'!$K$190+'貯蔵・輸送(ST)'!$K$190+'供給(D)'!$K$190),"")</f>
        <v/>
      </c>
      <c r="AD119" s="778" t="str">
        <f>IFERROR(IF(X119=0,"",X119*$AJ$170/('製造(P)'!$K$190+'貯蔵・輸送(ST)'!$K$190+'供給(D)'!$K$190)),"")</f>
        <v/>
      </c>
      <c r="AE119" s="685"/>
      <c r="AF119" s="356"/>
      <c r="AG119" s="408" t="str">
        <f>IFERROR(IF(INDEX(資本財!$H$5:$H$30,MATCH(ROW(R7),資本財!$U$5:$U$30,0))="[Nm3]",$D$6,IF(INDEX(資本財!$H$5:$H$30,MATCH(ROW(R7),資本財!$U$5:$U$30,0))="[MJ]",$D$10,IF(INDEX(資本財!$H$5:$H$30,MATCH(ROW(R7),資本財!$U$5:$U$30,0))="[kg]",$D$9,""))),"")</f>
        <v/>
      </c>
      <c r="AJ119" s="333"/>
    </row>
    <row r="120" spans="2:44" s="149" customFormat="1" ht="15" customHeight="1">
      <c r="B120" s="936"/>
      <c r="C120" s="936"/>
      <c r="D120" s="936"/>
      <c r="E120" s="150"/>
      <c r="F120" s="225"/>
      <c r="G120" s="225"/>
      <c r="H120" s="225"/>
      <c r="I120" s="225"/>
      <c r="J120" s="225"/>
      <c r="K120" s="152"/>
      <c r="L120" s="367"/>
      <c r="M120" s="367"/>
      <c r="N120" s="365"/>
      <c r="O120" s="366"/>
      <c r="Q120" s="923" t="str">
        <f>IFERROR(IF(MAX(資本財!$U$5:$U$30)&lt;1,"",INDEX(資本財!$D$5:$D$30,MATCH(ROW(T8),資本財!$U$5:$U$30,0))),"")</f>
        <v/>
      </c>
      <c r="R120" s="924"/>
      <c r="S120" s="721" t="str">
        <f>IFERROR(IF(INDEX(資本財!$C$5:$C$30,MATCH(ROW(R8),資本財!$U$5:$U$30,0))=S$112,INDEX(資本財!$P$5:$P$30,MATCH(ROW(R8),資本財!$U$5:$U$30,0))*$AG120,0),"")</f>
        <v/>
      </c>
      <c r="T120" s="721" t="str">
        <f>IFERROR(IF(INDEX(資本財!$C$5:$C$30,MATCH(ROW(S8),資本財!$U$5:$U$30,0))=T$112,INDEX(資本財!$P$5:$P$30,MATCH(ROW(S8),資本財!$U$5:$U$30,0))*$AG120,0),"")</f>
        <v/>
      </c>
      <c r="U120" s="721" t="str">
        <f>IFERROR(IF(INDEX(資本財!$C$5:$C$30,MATCH(ROW(T8),資本財!$U$5:$U$30,0))=U$112,INDEX(資本財!$P$5:$P$30,MATCH(ROW(T8),資本財!$U$5:$U$30,0))*$AG120,0),"")</f>
        <v/>
      </c>
      <c r="V120" s="721" t="str">
        <f>IFERROR(IF(INDEX(資本財!$C$5:$C$30,MATCH(ROW(U8),資本財!$U$5:$U$30,0))=V$112,INDEX(資本財!$P$5:$P$30,MATCH(ROW(U8),資本財!$U$5:$U$30,0))*$AG120,0),"")</f>
        <v/>
      </c>
      <c r="W120" s="721" t="str">
        <f>IFERROR(IF(INDEX(資本財!$C$5:$C$30,MATCH(ROW(V8),資本財!$U$5:$U$30,0))=W$112,INDEX(資本財!$P$5:$P$30,MATCH(ROW(V8),資本財!$U$5:$U$30,0))*$AG120,0),"")</f>
        <v/>
      </c>
      <c r="X120" s="705">
        <f t="shared" si="67"/>
        <v>0</v>
      </c>
      <c r="Y120" s="354" t="str">
        <f>IFERROR(S120*$AJ$170/('製造(P)'!$K$190+'貯蔵・輸送(ST)'!$K$190+'供給(D)'!$K$190),"")</f>
        <v/>
      </c>
      <c r="Z120" s="354" t="str">
        <f>IFERROR(T120*$AJ$170/('製造(P)'!$K$190+'貯蔵・輸送(ST)'!$K$190+'供給(D)'!$K$190),"")</f>
        <v/>
      </c>
      <c r="AA120" s="354" t="str">
        <f>IFERROR(U120*$AJ$170/('製造(P)'!$K$190+'貯蔵・輸送(ST)'!$K$190+'供給(D)'!$K$190),"")</f>
        <v/>
      </c>
      <c r="AB120" s="354" t="str">
        <f>IFERROR(V120*$AJ$170/('製造(P)'!$K$190+'貯蔵・輸送(ST)'!$K$190+'供給(D)'!$K$190),"")</f>
        <v/>
      </c>
      <c r="AC120" s="354" t="str">
        <f>IFERROR(W120*$AJ$170/('製造(P)'!$K$190+'貯蔵・輸送(ST)'!$K$190+'供給(D)'!$K$190),"")</f>
        <v/>
      </c>
      <c r="AD120" s="778" t="str">
        <f>IFERROR(IF(X120=0,"",X120*$AJ$170/('製造(P)'!$K$190+'貯蔵・輸送(ST)'!$K$190+'供給(D)'!$K$190)),"")</f>
        <v/>
      </c>
      <c r="AE120" s="685"/>
      <c r="AF120" s="356"/>
      <c r="AG120" s="408" t="str">
        <f>IFERROR(IF(INDEX(資本財!$H$5:$H$30,MATCH(ROW(R8),資本財!$U$5:$U$30,0))="[Nm3]",$D$6,IF(INDEX(資本財!$H$5:$H$30,MATCH(ROW(R8),資本財!$U$5:$U$30,0))="[MJ]",$D$10,IF(INDEX(資本財!$H$5:$H$30,MATCH(ROW(R8),資本財!$U$5:$U$30,0))="[kg]",$D$9,""))),"")</f>
        <v/>
      </c>
      <c r="AJ120" s="333"/>
    </row>
    <row r="121" spans="2:44" s="149" customFormat="1" ht="15" customHeight="1">
      <c r="B121" s="936"/>
      <c r="C121" s="936"/>
      <c r="D121" s="936"/>
      <c r="E121" s="150"/>
      <c r="F121" s="225"/>
      <c r="G121" s="225"/>
      <c r="H121" s="225"/>
      <c r="I121" s="225"/>
      <c r="J121" s="225"/>
      <c r="K121" s="152"/>
      <c r="L121" s="367"/>
      <c r="M121" s="367"/>
      <c r="N121" s="365"/>
      <c r="O121" s="366"/>
      <c r="Q121" s="923" t="str">
        <f>IFERROR(IF(MAX(資本財!$U$5:$U$30)&lt;1,"",INDEX(資本財!$D$5:$D$30,MATCH(ROW(T9),資本財!$U$5:$U$30,0))),"")</f>
        <v/>
      </c>
      <c r="R121" s="924"/>
      <c r="S121" s="721" t="str">
        <f>IFERROR(IF(INDEX(資本財!$C$5:$C$30,MATCH(ROW(R9),資本財!$U$5:$U$30,0))=S$112,INDEX(資本財!$P$5:$P$30,MATCH(ROW(R9),資本財!$U$5:$U$30,0))*$AG121,0),"")</f>
        <v/>
      </c>
      <c r="T121" s="721" t="str">
        <f>IFERROR(IF(INDEX(資本財!$C$5:$C$30,MATCH(ROW(S9),資本財!$U$5:$U$30,0))=T$112,INDEX(資本財!$P$5:$P$30,MATCH(ROW(S9),資本財!$U$5:$U$30,0))*$AG121,0),"")</f>
        <v/>
      </c>
      <c r="U121" s="721" t="str">
        <f>IFERROR(IF(INDEX(資本財!$C$5:$C$30,MATCH(ROW(T9),資本財!$U$5:$U$30,0))=U$112,INDEX(資本財!$P$5:$P$30,MATCH(ROW(T9),資本財!$U$5:$U$30,0))*$AG121,0),"")</f>
        <v/>
      </c>
      <c r="V121" s="721" t="str">
        <f>IFERROR(IF(INDEX(資本財!$C$5:$C$30,MATCH(ROW(U9),資本財!$U$5:$U$30,0))=V$112,INDEX(資本財!$P$5:$P$30,MATCH(ROW(U9),資本財!$U$5:$U$30,0))*$AG121,0),"")</f>
        <v/>
      </c>
      <c r="W121" s="721" t="str">
        <f>IFERROR(IF(INDEX(資本財!$C$5:$C$30,MATCH(ROW(V9),資本財!$U$5:$U$30,0))=W$112,INDEX(資本財!$P$5:$P$30,MATCH(ROW(V9),資本財!$U$5:$U$30,0))*$AG121,0),"")</f>
        <v/>
      </c>
      <c r="X121" s="705">
        <f t="shared" si="67"/>
        <v>0</v>
      </c>
      <c r="Y121" s="354" t="str">
        <f>IFERROR(S121*$AJ$170/('製造(P)'!$K$190+'貯蔵・輸送(ST)'!$K$190+'供給(D)'!$K$190),"")</f>
        <v/>
      </c>
      <c r="Z121" s="354" t="str">
        <f>IFERROR(T121*$AJ$170/('製造(P)'!$K$190+'貯蔵・輸送(ST)'!$K$190+'供給(D)'!$K$190),"")</f>
        <v/>
      </c>
      <c r="AA121" s="354" t="str">
        <f>IFERROR(U121*$AJ$170/('製造(P)'!$K$190+'貯蔵・輸送(ST)'!$K$190+'供給(D)'!$K$190),"")</f>
        <v/>
      </c>
      <c r="AB121" s="354" t="str">
        <f>IFERROR(V121*$AJ$170/('製造(P)'!$K$190+'貯蔵・輸送(ST)'!$K$190+'供給(D)'!$K$190),"")</f>
        <v/>
      </c>
      <c r="AC121" s="354" t="str">
        <f>IFERROR(W121*$AJ$170/('製造(P)'!$K$190+'貯蔵・輸送(ST)'!$K$190+'供給(D)'!$K$190),"")</f>
        <v/>
      </c>
      <c r="AD121" s="778" t="str">
        <f>IFERROR(IF(X121=0,"",X121*$AJ$170/('製造(P)'!$K$190+'貯蔵・輸送(ST)'!$K$190+'供給(D)'!$K$190)),"")</f>
        <v/>
      </c>
      <c r="AE121" s="685"/>
      <c r="AF121" s="356"/>
      <c r="AG121" s="408" t="str">
        <f>IFERROR(IF(INDEX(資本財!$H$5:$H$30,MATCH(ROW(R9),資本財!$U$5:$U$30,0))="[Nm3]",$D$6,IF(INDEX(資本財!$H$5:$H$30,MATCH(ROW(R9),資本財!$U$5:$U$30,0))="[MJ]",$D$10,IF(INDEX(資本財!$H$5:$H$30,MATCH(ROW(R9),資本財!$U$5:$U$30,0))="[kg]",$D$9,""))),"")</f>
        <v/>
      </c>
      <c r="AJ121" s="333"/>
    </row>
    <row r="122" spans="2:44" s="149" customFormat="1" ht="15" customHeight="1">
      <c r="B122" s="936"/>
      <c r="C122" s="936"/>
      <c r="D122" s="936"/>
      <c r="E122" s="150"/>
      <c r="F122" s="225"/>
      <c r="G122" s="225"/>
      <c r="H122" s="225"/>
      <c r="I122" s="225"/>
      <c r="J122" s="225"/>
      <c r="K122" s="152"/>
      <c r="L122" s="367"/>
      <c r="M122" s="367"/>
      <c r="N122" s="365"/>
      <c r="O122" s="366"/>
      <c r="Q122" s="923" t="str">
        <f>IFERROR(IF(MAX(資本財!$U$5:$U$30)&lt;1,"",INDEX(資本財!$D$5:$D$30,MATCH(ROW(T10),資本財!$U$5:$U$30,0))),"")</f>
        <v/>
      </c>
      <c r="R122" s="924"/>
      <c r="S122" s="721" t="str">
        <f>IFERROR(IF(INDEX(資本財!$C$5:$C$30,MATCH(ROW(R10),資本財!$U$5:$U$30,0))=S$112,INDEX(資本財!$P$5:$P$30,MATCH(ROW(R10),資本財!$U$5:$U$30,0))*$AG122,0),"")</f>
        <v/>
      </c>
      <c r="T122" s="721" t="str">
        <f>IFERROR(IF(INDEX(資本財!$C$5:$C$30,MATCH(ROW(S10),資本財!$U$5:$U$30,0))=T$112,INDEX(資本財!$P$5:$P$30,MATCH(ROW(S10),資本財!$U$5:$U$30,0))*$AG122,0),"")</f>
        <v/>
      </c>
      <c r="U122" s="721" t="str">
        <f>IFERROR(IF(INDEX(資本財!$C$5:$C$30,MATCH(ROW(T10),資本財!$U$5:$U$30,0))=U$112,INDEX(資本財!$P$5:$P$30,MATCH(ROW(T10),資本財!$U$5:$U$30,0))*$AG122,0),"")</f>
        <v/>
      </c>
      <c r="V122" s="721" t="str">
        <f>IFERROR(IF(INDEX(資本財!$C$5:$C$30,MATCH(ROW(U10),資本財!$U$5:$U$30,0))=V$112,INDEX(資本財!$P$5:$P$30,MATCH(ROW(U10),資本財!$U$5:$U$30,0))*$AG122,0),"")</f>
        <v/>
      </c>
      <c r="W122" s="721" t="str">
        <f>IFERROR(IF(INDEX(資本財!$C$5:$C$30,MATCH(ROW(V10),資本財!$U$5:$U$30,0))=W$112,INDEX(資本財!$P$5:$P$30,MATCH(ROW(V10),資本財!$U$5:$U$30,0))*$AG122,0),"")</f>
        <v/>
      </c>
      <c r="X122" s="705">
        <f t="shared" si="67"/>
        <v>0</v>
      </c>
      <c r="Y122" s="354" t="str">
        <f>IFERROR(S122*$AJ$170/('製造(P)'!$K$190+'貯蔵・輸送(ST)'!$K$190+'供給(D)'!$K$190),"")</f>
        <v/>
      </c>
      <c r="Z122" s="354" t="str">
        <f>IFERROR(T122*$AJ$170/('製造(P)'!$K$190+'貯蔵・輸送(ST)'!$K$190+'供給(D)'!$K$190),"")</f>
        <v/>
      </c>
      <c r="AA122" s="354" t="str">
        <f>IFERROR(U122*$AJ$170/('製造(P)'!$K$190+'貯蔵・輸送(ST)'!$K$190+'供給(D)'!$K$190),"")</f>
        <v/>
      </c>
      <c r="AB122" s="354" t="str">
        <f>IFERROR(V122*$AJ$170/('製造(P)'!$K$190+'貯蔵・輸送(ST)'!$K$190+'供給(D)'!$K$190),"")</f>
        <v/>
      </c>
      <c r="AC122" s="354" t="str">
        <f>IFERROR(W122*$AJ$170/('製造(P)'!$K$190+'貯蔵・輸送(ST)'!$K$190+'供給(D)'!$K$190),"")</f>
        <v/>
      </c>
      <c r="AD122" s="778" t="str">
        <f>IFERROR(IF(X122=0,"",X122*$AJ$170/('製造(P)'!$K$190+'貯蔵・輸送(ST)'!$K$190+'供給(D)'!$K$190)),"")</f>
        <v/>
      </c>
      <c r="AE122" s="685"/>
      <c r="AF122" s="356"/>
      <c r="AG122" s="408" t="str">
        <f>IFERROR(IF(INDEX(資本財!$H$5:$H$30,MATCH(ROW(R10),資本財!$U$5:$U$30,0))="[Nm3]",$D$6,IF(INDEX(資本財!$H$5:$H$30,MATCH(ROW(R10),資本財!$U$5:$U$30,0))="[MJ]",$D$10,IF(INDEX(資本財!$H$5:$H$30,MATCH(ROW(R10),資本財!$U$5:$U$30,0))="[kg]",$D$9,""))),"")</f>
        <v/>
      </c>
      <c r="AJ122" s="333"/>
    </row>
    <row r="123" spans="2:44" s="149" customFormat="1" ht="15" customHeight="1">
      <c r="B123" s="368"/>
      <c r="C123" s="368"/>
      <c r="D123" s="368"/>
      <c r="E123" s="150"/>
      <c r="F123" s="225"/>
      <c r="G123" s="225"/>
      <c r="H123" s="225"/>
      <c r="I123" s="225"/>
      <c r="J123" s="225"/>
      <c r="K123" s="152"/>
      <c r="L123" s="367"/>
      <c r="M123" s="367"/>
      <c r="N123" s="365"/>
      <c r="O123" s="366"/>
      <c r="Q123" s="147" t="s">
        <v>144</v>
      </c>
      <c r="R123" s="148"/>
      <c r="S123" s="716">
        <f>SUM(S113:S122)</f>
        <v>37.466064572081727</v>
      </c>
      <c r="T123" s="716">
        <f t="shared" ref="T123:X123" si="68">SUM(T113:T122)</f>
        <v>0</v>
      </c>
      <c r="U123" s="716">
        <f t="shared" si="68"/>
        <v>0</v>
      </c>
      <c r="V123" s="716">
        <f t="shared" si="68"/>
        <v>0</v>
      </c>
      <c r="W123" s="716">
        <f t="shared" si="68"/>
        <v>0</v>
      </c>
      <c r="X123" s="716">
        <f t="shared" si="68"/>
        <v>37.466064572081727</v>
      </c>
      <c r="Y123" s="354">
        <f>IFERROR(S123*$AJ$170/('製造(P)'!$K$190+'貯蔵・輸送(ST)'!$K$190+'供給(D)'!$K$190),"")</f>
        <v>0.39677537796452755</v>
      </c>
      <c r="Z123" s="354">
        <f>IFERROR(T123*$AJ$170/('製造(P)'!$K$190+'貯蔵・輸送(ST)'!$K$190+'供給(D)'!$K$190),"")</f>
        <v>0</v>
      </c>
      <c r="AA123" s="354">
        <f>IFERROR(U123*$AJ$170/('製造(P)'!$K$190+'貯蔵・輸送(ST)'!$K$190+'供給(D)'!$K$190),"")</f>
        <v>0</v>
      </c>
      <c r="AB123" s="354">
        <f>IFERROR(V123*$AJ$170/('製造(P)'!$K$190+'貯蔵・輸送(ST)'!$K$190+'供給(D)'!$K$190),"")</f>
        <v>0</v>
      </c>
      <c r="AC123" s="354">
        <f>IFERROR(W123*$AJ$170/('製造(P)'!$K$190+'貯蔵・輸送(ST)'!$K$190+'供給(D)'!$K$190),"")</f>
        <v>0</v>
      </c>
      <c r="AD123" s="354">
        <f>IFERROR(X123*$AJ$170/('製造(P)'!$K$190+'貯蔵・輸送(ST)'!$K$190+'供給(D)'!$K$190),"")</f>
        <v>0.39677537796452755</v>
      </c>
      <c r="AE123" s="796"/>
      <c r="AF123" s="356"/>
      <c r="AG123" s="408" t="str">
        <f>IFERROR(IF(INDEX(資本財!$H$5:$H$30,MATCH(ROW(R11),資本財!$U$5:$U$30,0))="[Nm3]",$D$6,IF(INDEX(資本財!$H$5:$H$30,MATCH(ROW(R11),資本財!$U$5:$U$30,0))="[MJ]",$D$10,IF(INDEX(資本財!$H$5:$H$30,MATCH(ROW(R11),資本財!$U$5:$U$30,0))="[kg]",$D$9,""))),"")</f>
        <v/>
      </c>
      <c r="AH123" s="207"/>
      <c r="AI123" s="207"/>
      <c r="AJ123" s="535"/>
      <c r="AK123" s="153"/>
    </row>
    <row r="124" spans="2:44" s="149" customFormat="1">
      <c r="F124" s="220"/>
      <c r="G124" s="220"/>
      <c r="H124" s="220"/>
      <c r="I124" s="220"/>
      <c r="J124" s="220"/>
      <c r="N124" s="320"/>
      <c r="S124" s="220"/>
      <c r="T124" s="220"/>
      <c r="U124" s="220"/>
      <c r="V124" s="220"/>
      <c r="W124" s="220"/>
      <c r="X124" s="220"/>
      <c r="Y124" s="222"/>
      <c r="Z124" s="222"/>
      <c r="AA124" s="222"/>
      <c r="AB124" s="222"/>
      <c r="AC124" s="222"/>
      <c r="AD124" s="222"/>
      <c r="AE124" s="222"/>
      <c r="AF124" s="222"/>
      <c r="AG124" s="207"/>
      <c r="AH124" s="207"/>
      <c r="AI124" s="153"/>
      <c r="AJ124" s="535"/>
      <c r="AK124" s="153"/>
      <c r="AL124" s="153"/>
      <c r="AM124" s="153"/>
    </row>
    <row r="125" spans="2:44" ht="14.1" customHeight="1">
      <c r="B125" s="890" t="s">
        <v>7526</v>
      </c>
      <c r="C125" s="937"/>
      <c r="D125" s="891"/>
      <c r="E125" s="892"/>
      <c r="F125" s="938" t="s">
        <v>7669</v>
      </c>
      <c r="G125" s="939"/>
      <c r="H125" s="939"/>
      <c r="I125" s="939"/>
      <c r="J125" s="939"/>
      <c r="K125" s="940"/>
      <c r="L125" s="941" t="s">
        <v>136</v>
      </c>
      <c r="M125" s="943" t="s">
        <v>210</v>
      </c>
      <c r="N125" s="944"/>
      <c r="O125" s="945"/>
      <c r="P125" s="149"/>
      <c r="Q125" s="890" t="s">
        <v>7797</v>
      </c>
      <c r="R125" s="892"/>
      <c r="S125" s="933" t="s">
        <v>7666</v>
      </c>
      <c r="T125" s="934"/>
      <c r="U125" s="934"/>
      <c r="V125" s="934"/>
      <c r="W125" s="934"/>
      <c r="X125" s="934"/>
      <c r="Y125" s="955" t="s">
        <v>7543</v>
      </c>
      <c r="Z125" s="956"/>
      <c r="AA125" s="956"/>
      <c r="AB125" s="956"/>
      <c r="AC125" s="956"/>
      <c r="AD125" s="956"/>
      <c r="AE125" s="810"/>
      <c r="AF125" s="771"/>
      <c r="AG125" s="207"/>
      <c r="AH125" s="207"/>
      <c r="AI125" s="59"/>
      <c r="AJ125" s="1026" t="s">
        <v>210</v>
      </c>
      <c r="AK125" s="1026"/>
      <c r="AL125" s="59"/>
      <c r="AM125" s="59"/>
      <c r="AR125" s="149"/>
    </row>
    <row r="126" spans="2:44">
      <c r="B126" s="893"/>
      <c r="C126" s="894"/>
      <c r="D126" s="894"/>
      <c r="E126" s="895"/>
      <c r="F126" s="312" t="s">
        <v>7426</v>
      </c>
      <c r="G126" s="312" t="s">
        <v>7427</v>
      </c>
      <c r="H126" s="312" t="s">
        <v>7428</v>
      </c>
      <c r="I126" s="312" t="s">
        <v>7429</v>
      </c>
      <c r="J126" s="312" t="s">
        <v>7430</v>
      </c>
      <c r="K126" s="313" t="s">
        <v>7431</v>
      </c>
      <c r="L126" s="942"/>
      <c r="M126" s="946"/>
      <c r="N126" s="947"/>
      <c r="O126" s="948"/>
      <c r="P126" s="149"/>
      <c r="Q126" s="896"/>
      <c r="R126" s="898"/>
      <c r="S126" s="312" t="s">
        <v>7426</v>
      </c>
      <c r="T126" s="312" t="s">
        <v>7427</v>
      </c>
      <c r="U126" s="312" t="s">
        <v>7428</v>
      </c>
      <c r="V126" s="312" t="s">
        <v>7429</v>
      </c>
      <c r="W126" s="312" t="s">
        <v>7430</v>
      </c>
      <c r="X126" s="313" t="s">
        <v>7431</v>
      </c>
      <c r="Y126" s="312" t="s">
        <v>7426</v>
      </c>
      <c r="Z126" s="312" t="s">
        <v>7427</v>
      </c>
      <c r="AA126" s="312" t="s">
        <v>7428</v>
      </c>
      <c r="AB126" s="312" t="s">
        <v>7429</v>
      </c>
      <c r="AC126" s="312" t="s">
        <v>7430</v>
      </c>
      <c r="AD126" s="797" t="s">
        <v>7431</v>
      </c>
      <c r="AE126" s="364"/>
      <c r="AF126" s="364"/>
      <c r="AG126" s="207"/>
      <c r="AH126" s="207"/>
      <c r="AI126" s="59"/>
      <c r="AJ126" s="1019"/>
      <c r="AK126" s="1019"/>
      <c r="AL126" s="59"/>
      <c r="AM126" s="59"/>
      <c r="AR126" s="149"/>
    </row>
    <row r="127" spans="2:44" ht="15" customHeight="1">
      <c r="B127" s="932" t="str">
        <f>IF(B57="","",B57)</f>
        <v>風力発電陸上（1,000kW級）</v>
      </c>
      <c r="C127" s="932"/>
      <c r="D127" s="932"/>
      <c r="E127" s="373" t="s">
        <v>7530</v>
      </c>
      <c r="F127" s="703">
        <f>F57</f>
        <v>500</v>
      </c>
      <c r="G127" s="703">
        <f t="shared" ref="G127:H127" si="69">G57</f>
        <v>0</v>
      </c>
      <c r="H127" s="703">
        <f t="shared" si="69"/>
        <v>0</v>
      </c>
      <c r="I127" s="703">
        <f t="shared" ref="I127:J127" si="70">I57</f>
        <v>0</v>
      </c>
      <c r="J127" s="703">
        <f t="shared" si="70"/>
        <v>0</v>
      </c>
      <c r="K127" s="692">
        <f t="shared" ref="K127:K129" si="71">SUM(F127:J127)</f>
        <v>500</v>
      </c>
      <c r="L127" s="639" t="s">
        <v>192</v>
      </c>
      <c r="M127" s="479"/>
      <c r="N127" s="479">
        <f>IFERROR(VLOOKUP($B127,共通データ!$B$32:$P$37,14,FALSE),"")</f>
        <v>1.7600000000000001E-2</v>
      </c>
      <c r="O127" s="489" t="str">
        <f>IF(B127="","","[kg-CO2/kWh] ")</f>
        <v xml:space="preserve">[kg-CO2/kWh] </v>
      </c>
      <c r="P127" s="149"/>
      <c r="Q127" s="910" t="str">
        <f>B127</f>
        <v>風力発電陸上（1,000kW級）</v>
      </c>
      <c r="R127" s="911"/>
      <c r="S127" s="715">
        <f>IFERROR(F127*$N127,0)</f>
        <v>8.8000000000000007</v>
      </c>
      <c r="T127" s="715">
        <f t="shared" ref="T127:W129" si="72">IFERROR(G127*$N127,0)</f>
        <v>0</v>
      </c>
      <c r="U127" s="715">
        <f t="shared" si="72"/>
        <v>0</v>
      </c>
      <c r="V127" s="715">
        <f t="shared" si="72"/>
        <v>0</v>
      </c>
      <c r="W127" s="715">
        <f t="shared" si="72"/>
        <v>0</v>
      </c>
      <c r="X127" s="768">
        <f t="shared" ref="X127:X128" si="73">SUM(S127:W127)</f>
        <v>8.8000000000000007</v>
      </c>
      <c r="Y127" s="354">
        <f>IFERROR(IF(S127=0,"",S127*$AJ$170/('製造(P)'!$K$190+'貯蔵・輸送(ST)'!$K$190+'供給(D)'!$K$190)),"")</f>
        <v>9.3194291046240996E-2</v>
      </c>
      <c r="Z127" s="354" t="str">
        <f>IFERROR(IF(T127=0,"",T127*$AJ$170/('製造(P)'!$K$190+'貯蔵・輸送(ST)'!$K$190+'供給(D)'!$K$190)),"")</f>
        <v/>
      </c>
      <c r="AA127" s="354" t="str">
        <f>IFERROR(IF(U127=0,"",U127*$AJ$170/('製造(P)'!$K$190+'貯蔵・輸送(ST)'!$K$190+'供給(D)'!$K$190)),"")</f>
        <v/>
      </c>
      <c r="AB127" s="354" t="str">
        <f>IFERROR(IF(V127=0,"",V127*$AJ$170/('製造(P)'!$K$190+'貯蔵・輸送(ST)'!$K$190+'供給(D)'!$K$190)),"")</f>
        <v/>
      </c>
      <c r="AC127" s="354" t="str">
        <f>IFERROR(IF(W127=0,"",W127*$AJ$170/('製造(P)'!$K$190+'貯蔵・輸送(ST)'!$K$190+'供給(D)'!$K$190)),"")</f>
        <v/>
      </c>
      <c r="AD127" s="778">
        <f>IFERROR(IF(X127=0,"",X127*$AJ$170/('製造(P)'!$K$190+'貯蔵・輸送(ST)'!$K$190+'供給(D)'!$K$190)),"")</f>
        <v>9.3194291046240996E-2</v>
      </c>
      <c r="AE127" s="806"/>
      <c r="AF127" s="356"/>
      <c r="AG127" s="207" t="s">
        <v>6940</v>
      </c>
      <c r="AH127" s="207">
        <v>172411000</v>
      </c>
      <c r="AI127" s="59"/>
      <c r="AJ127" s="538">
        <f>VLOOKUP($AH127,IDEAv2原単位!$A$3:$F$4021,6,FALSE)</f>
        <v>1.2378879008784885E-2</v>
      </c>
      <c r="AK127" s="213" t="s">
        <v>54</v>
      </c>
      <c r="AL127" s="59"/>
      <c r="AM127" s="59"/>
      <c r="AR127" s="149"/>
    </row>
    <row r="128" spans="2:44" ht="15" customHeight="1">
      <c r="B128" s="932" t="str">
        <f t="shared" ref="B128:B129" si="74">IF(B58="","",B58)</f>
        <v/>
      </c>
      <c r="C128" s="932"/>
      <c r="D128" s="932"/>
      <c r="E128" s="373" t="s">
        <v>7530</v>
      </c>
      <c r="F128" s="703">
        <f t="shared" ref="F128:J128" si="75">F58</f>
        <v>0</v>
      </c>
      <c r="G128" s="703">
        <f t="shared" si="75"/>
        <v>0</v>
      </c>
      <c r="H128" s="703">
        <f t="shared" si="75"/>
        <v>0</v>
      </c>
      <c r="I128" s="703">
        <f t="shared" si="75"/>
        <v>0</v>
      </c>
      <c r="J128" s="703">
        <f t="shared" si="75"/>
        <v>0</v>
      </c>
      <c r="K128" s="692">
        <f t="shared" si="71"/>
        <v>0</v>
      </c>
      <c r="L128" s="639" t="s">
        <v>192</v>
      </c>
      <c r="M128" s="479"/>
      <c r="N128" s="479" t="str">
        <f>IFERROR(VLOOKUP($B128,共通データ!$B$32:$P$37,14,FALSE),"")</f>
        <v/>
      </c>
      <c r="O128" s="489" t="str">
        <f t="shared" ref="O128:O129" si="76">IF(B128="","","[kg-CO2/kWh] ")</f>
        <v/>
      </c>
      <c r="P128" s="149"/>
      <c r="Q128" s="910" t="str">
        <f t="shared" ref="Q128:Q129" si="77">B128</f>
        <v/>
      </c>
      <c r="R128" s="911"/>
      <c r="S128" s="715">
        <f t="shared" ref="S128:S129" si="78">IFERROR(F128*$N128,0)</f>
        <v>0</v>
      </c>
      <c r="T128" s="715">
        <f t="shared" si="72"/>
        <v>0</v>
      </c>
      <c r="U128" s="715">
        <f t="shared" si="72"/>
        <v>0</v>
      </c>
      <c r="V128" s="715">
        <f t="shared" si="72"/>
        <v>0</v>
      </c>
      <c r="W128" s="715">
        <f t="shared" si="72"/>
        <v>0</v>
      </c>
      <c r="X128" s="768">
        <f t="shared" si="73"/>
        <v>0</v>
      </c>
      <c r="Y128" s="354" t="str">
        <f>IFERROR(IF(S128=0,"",S128*$AJ$170/('製造(P)'!$K$190+'貯蔵・輸送(ST)'!$K$190+'供給(D)'!$K$190)),"")</f>
        <v/>
      </c>
      <c r="Z128" s="354" t="str">
        <f>IFERROR(IF(T128=0,"",T128*$AJ$170/('製造(P)'!$K$190+'貯蔵・輸送(ST)'!$K$190+'供給(D)'!$K$190)),"")</f>
        <v/>
      </c>
      <c r="AA128" s="354" t="str">
        <f>IFERROR(IF(U128=0,"",U128*$AJ$170/('製造(P)'!$K$190+'貯蔵・輸送(ST)'!$K$190+'供給(D)'!$K$190)),"")</f>
        <v/>
      </c>
      <c r="AB128" s="354" t="str">
        <f>IFERROR(IF(V128=0,"",V128*$AJ$170/('製造(P)'!$K$190+'貯蔵・輸送(ST)'!$K$190+'供給(D)'!$K$190)),"")</f>
        <v/>
      </c>
      <c r="AC128" s="354" t="str">
        <f>IFERROR(IF(W128=0,"",W128*$AJ$170/('製造(P)'!$K$190+'貯蔵・輸送(ST)'!$K$190+'供給(D)'!$K$190)),"")</f>
        <v/>
      </c>
      <c r="AD128" s="778" t="str">
        <f>IFERROR(IF(X128=0,"",X128*$AJ$170/('製造(P)'!$K$190+'貯蔵・輸送(ST)'!$K$190+'供給(D)'!$K$190)),"")</f>
        <v/>
      </c>
      <c r="AE128" s="806"/>
      <c r="AF128" s="356"/>
      <c r="AG128" s="207" t="s">
        <v>6937</v>
      </c>
      <c r="AH128" s="207">
        <v>362111000</v>
      </c>
      <c r="AI128" s="59"/>
      <c r="AJ128" s="538">
        <f>VLOOKUP($AH128,IDEAv2原単位!$A$3:$F$4021,6,FALSE)</f>
        <v>0.14873753178233792</v>
      </c>
      <c r="AK128" s="213" t="s">
        <v>140</v>
      </c>
      <c r="AL128" s="59"/>
      <c r="AM128" s="59"/>
      <c r="AR128" s="149"/>
    </row>
    <row r="129" spans="1:44" ht="15" customHeight="1">
      <c r="B129" s="932" t="str">
        <f t="shared" si="74"/>
        <v/>
      </c>
      <c r="C129" s="932"/>
      <c r="D129" s="932"/>
      <c r="E129" s="373" t="s">
        <v>7530</v>
      </c>
      <c r="F129" s="703">
        <f t="shared" ref="F129:J129" si="79">F59</f>
        <v>0</v>
      </c>
      <c r="G129" s="703">
        <f t="shared" si="79"/>
        <v>0</v>
      </c>
      <c r="H129" s="703">
        <f t="shared" si="79"/>
        <v>0</v>
      </c>
      <c r="I129" s="703">
        <f t="shared" si="79"/>
        <v>0</v>
      </c>
      <c r="J129" s="703">
        <f t="shared" si="79"/>
        <v>0</v>
      </c>
      <c r="K129" s="692">
        <f t="shared" si="71"/>
        <v>0</v>
      </c>
      <c r="L129" s="639" t="s">
        <v>192</v>
      </c>
      <c r="M129" s="479"/>
      <c r="N129" s="479" t="str">
        <f>IFERROR(VLOOKUP($B129,共通データ!$B$32:$P$37,14,FALSE),"")</f>
        <v/>
      </c>
      <c r="O129" s="489" t="str">
        <f t="shared" si="76"/>
        <v/>
      </c>
      <c r="P129" s="149"/>
      <c r="Q129" s="910" t="str">
        <f t="shared" si="77"/>
        <v/>
      </c>
      <c r="R129" s="911"/>
      <c r="S129" s="715">
        <f t="shared" si="78"/>
        <v>0</v>
      </c>
      <c r="T129" s="715">
        <f t="shared" si="72"/>
        <v>0</v>
      </c>
      <c r="U129" s="715">
        <f t="shared" si="72"/>
        <v>0</v>
      </c>
      <c r="V129" s="715">
        <f t="shared" si="72"/>
        <v>0</v>
      </c>
      <c r="W129" s="715">
        <f t="shared" si="72"/>
        <v>0</v>
      </c>
      <c r="X129" s="768">
        <f t="shared" ref="X129" si="80">SUM(S129:W129)</f>
        <v>0</v>
      </c>
      <c r="Y129" s="354" t="str">
        <f>IFERROR(IF(S129=0,"",S129*$AJ$170/('製造(P)'!$K$190+'貯蔵・輸送(ST)'!$K$190+'供給(D)'!$K$190)),"")</f>
        <v/>
      </c>
      <c r="Z129" s="354" t="str">
        <f>IFERROR(IF(T129=0,"",T129*$AJ$170/('製造(P)'!$K$190+'貯蔵・輸送(ST)'!$K$190+'供給(D)'!$K$190)),"")</f>
        <v/>
      </c>
      <c r="AA129" s="354" t="str">
        <f>IFERROR(IF(U129=0,"",U129*$AJ$170/('製造(P)'!$K$190+'貯蔵・輸送(ST)'!$K$190+'供給(D)'!$K$190)),"")</f>
        <v/>
      </c>
      <c r="AB129" s="354" t="str">
        <f>IFERROR(IF(V129=0,"",V129*$AJ$170/('製造(P)'!$K$190+'貯蔵・輸送(ST)'!$K$190+'供給(D)'!$K$190)),"")</f>
        <v/>
      </c>
      <c r="AC129" s="354" t="str">
        <f>IFERROR(IF(W129=0,"",W129*$AJ$170/('製造(P)'!$K$190+'貯蔵・輸送(ST)'!$K$190+'供給(D)'!$K$190)),"")</f>
        <v/>
      </c>
      <c r="AD129" s="778" t="str">
        <f>IFERROR(IF(X129=0,"",X129*$AJ$170/('製造(P)'!$K$190+'貯蔵・輸送(ST)'!$K$190+'供給(D)'!$K$190)),"")</f>
        <v/>
      </c>
      <c r="AE129" s="806"/>
      <c r="AF129" s="356"/>
      <c r="AG129" s="207"/>
      <c r="AH129" s="207"/>
      <c r="AI129" s="59"/>
      <c r="AJ129" s="540"/>
      <c r="AK129" s="371"/>
      <c r="AL129" s="59"/>
      <c r="AM129" s="59"/>
      <c r="AR129" s="149"/>
    </row>
    <row r="130" spans="1:44">
      <c r="B130" s="150"/>
      <c r="C130" s="150"/>
      <c r="D130" s="151"/>
      <c r="E130" s="151"/>
      <c r="F130" s="225"/>
      <c r="G130" s="225"/>
      <c r="H130" s="225"/>
      <c r="I130" s="225"/>
      <c r="J130" s="225"/>
      <c r="K130" s="152"/>
      <c r="L130" s="152"/>
      <c r="M130" s="152"/>
      <c r="N130" s="322"/>
      <c r="O130" s="153"/>
      <c r="P130" s="149"/>
      <c r="Q130" s="147" t="s">
        <v>144</v>
      </c>
      <c r="R130" s="148"/>
      <c r="S130" s="715">
        <f t="shared" ref="S130:X130" si="81">SUM(S127:S128)</f>
        <v>8.8000000000000007</v>
      </c>
      <c r="T130" s="715">
        <f t="shared" si="81"/>
        <v>0</v>
      </c>
      <c r="U130" s="715">
        <f t="shared" si="81"/>
        <v>0</v>
      </c>
      <c r="V130" s="715">
        <f t="shared" si="81"/>
        <v>0</v>
      </c>
      <c r="W130" s="715">
        <f t="shared" si="81"/>
        <v>0</v>
      </c>
      <c r="X130" s="767">
        <f t="shared" si="81"/>
        <v>8.8000000000000007</v>
      </c>
      <c r="Y130" s="354">
        <f>IFERROR(S130*$AJ$170/('製造(P)'!$K$190+'貯蔵・輸送(ST)'!$K$190+'供給(D)'!$K$190),"")</f>
        <v>9.3194291046240996E-2</v>
      </c>
      <c r="Z130" s="354">
        <f>IFERROR(T130*$AJ$170/('製造(P)'!$K$190+'貯蔵・輸送(ST)'!$K$190+'供給(D)'!$K$190),"")</f>
        <v>0</v>
      </c>
      <c r="AA130" s="354">
        <f>IFERROR(U130*$AJ$170/('製造(P)'!$K$190+'貯蔵・輸送(ST)'!$K$190+'供給(D)'!$K$190),"")</f>
        <v>0</v>
      </c>
      <c r="AB130" s="354">
        <f>IFERROR(V130*$AJ$170/('製造(P)'!$K$190+'貯蔵・輸送(ST)'!$K$190+'供給(D)'!$K$190),"")</f>
        <v>0</v>
      </c>
      <c r="AC130" s="354">
        <f>IFERROR(W130*$AJ$170/('製造(P)'!$K$190+'貯蔵・輸送(ST)'!$K$190+'供給(D)'!$K$190),"")</f>
        <v>0</v>
      </c>
      <c r="AD130" s="354">
        <f>IFERROR(X130*$AJ$170/('製造(P)'!$K$190+'貯蔵・輸送(ST)'!$K$190+'供給(D)'!$K$190),"")</f>
        <v>9.3194291046240996E-2</v>
      </c>
      <c r="AE130" s="806"/>
      <c r="AF130" s="356"/>
      <c r="AG130" s="59"/>
      <c r="AH130" s="59"/>
      <c r="AI130" s="59"/>
      <c r="AJ130" s="534"/>
      <c r="AK130" s="212"/>
      <c r="AL130" s="59"/>
      <c r="AM130" s="59"/>
      <c r="AR130" s="149"/>
    </row>
    <row r="131" spans="1:44">
      <c r="B131" s="149"/>
      <c r="C131" s="149"/>
      <c r="D131" s="149"/>
      <c r="E131" s="149"/>
      <c r="F131" s="220"/>
      <c r="G131" s="220"/>
      <c r="H131" s="220"/>
      <c r="I131" s="220"/>
      <c r="J131" s="220"/>
      <c r="K131" s="149"/>
      <c r="L131" s="149"/>
      <c r="M131" s="149"/>
      <c r="N131" s="320"/>
      <c r="O131" s="149"/>
      <c r="P131" s="149"/>
      <c r="Q131" s="149"/>
      <c r="R131" s="149"/>
      <c r="S131" s="220"/>
      <c r="T131" s="220"/>
      <c r="U131" s="220"/>
      <c r="V131" s="220"/>
      <c r="W131" s="220"/>
      <c r="X131" s="220"/>
      <c r="Y131" s="355"/>
      <c r="Z131" s="355"/>
      <c r="AA131" s="355"/>
      <c r="AB131" s="355"/>
      <c r="AC131" s="355"/>
      <c r="AD131" s="355"/>
      <c r="AE131" s="805"/>
      <c r="AF131" s="355"/>
      <c r="AG131" s="59"/>
      <c r="AH131" s="59"/>
      <c r="AI131" s="59"/>
      <c r="AJ131" s="534"/>
      <c r="AK131" s="212"/>
      <c r="AL131" s="59"/>
      <c r="AM131" s="59"/>
      <c r="AR131" s="149"/>
    </row>
    <row r="132" spans="1:44">
      <c r="B132" s="915" t="s">
        <v>7448</v>
      </c>
      <c r="C132" s="915"/>
      <c r="D132" s="915"/>
      <c r="E132" s="915"/>
      <c r="F132" s="915"/>
      <c r="G132" s="915"/>
      <c r="H132" s="915"/>
      <c r="I132" s="915"/>
      <c r="J132" s="915"/>
      <c r="K132" s="915"/>
      <c r="L132" s="915"/>
      <c r="M132" s="915"/>
      <c r="N132" s="915"/>
      <c r="O132" s="915"/>
      <c r="P132" s="149"/>
      <c r="Q132" s="935" t="s">
        <v>7742</v>
      </c>
      <c r="R132" s="935"/>
      <c r="S132" s="935"/>
      <c r="T132" s="935"/>
      <c r="U132" s="935"/>
      <c r="V132" s="935"/>
      <c r="W132" s="935"/>
      <c r="X132" s="935"/>
      <c r="Y132" s="223"/>
      <c r="Z132" s="223"/>
      <c r="AA132" s="223"/>
      <c r="AB132" s="223"/>
      <c r="AC132" s="223"/>
      <c r="AD132" s="223"/>
      <c r="AE132" s="803"/>
      <c r="AF132" s="223"/>
      <c r="AG132" s="207"/>
      <c r="AH132" s="207"/>
      <c r="AI132" s="207"/>
      <c r="AJ132" s="207"/>
      <c r="AK132" s="207"/>
      <c r="AL132" s="59"/>
      <c r="AM132" s="59"/>
      <c r="AR132" s="149"/>
    </row>
    <row r="133" spans="1:44" s="149" customFormat="1">
      <c r="F133" s="220"/>
      <c r="G133" s="220"/>
      <c r="H133" s="220"/>
      <c r="I133" s="220"/>
      <c r="J133" s="220"/>
      <c r="N133" s="320"/>
      <c r="S133" s="220"/>
      <c r="T133" s="220"/>
      <c r="U133" s="220"/>
      <c r="V133" s="220"/>
      <c r="W133" s="220"/>
      <c r="X133" s="220"/>
      <c r="Y133" s="222"/>
      <c r="Z133" s="222"/>
      <c r="AA133" s="222"/>
      <c r="AB133" s="222"/>
      <c r="AC133" s="222"/>
      <c r="AD133" s="222"/>
      <c r="AE133" s="222"/>
      <c r="AF133" s="222"/>
      <c r="AG133" s="207"/>
      <c r="AH133" s="207"/>
      <c r="AI133" s="207"/>
      <c r="AJ133" s="535"/>
      <c r="AK133" s="153"/>
    </row>
    <row r="134" spans="1:44" s="149" customFormat="1" ht="13.8" thickBot="1">
      <c r="B134" s="67" t="s">
        <v>7941</v>
      </c>
      <c r="F134" s="220"/>
      <c r="G134" s="220"/>
      <c r="H134" s="220"/>
      <c r="I134" s="220"/>
      <c r="J134" s="220"/>
      <c r="N134" s="320"/>
      <c r="S134" s="220"/>
      <c r="T134" s="220"/>
      <c r="U134" s="220"/>
      <c r="V134" s="220"/>
      <c r="W134" s="220"/>
      <c r="X134" s="220"/>
      <c r="Y134" s="222"/>
      <c r="Z134" s="222"/>
      <c r="AA134" s="222"/>
      <c r="AB134" s="222"/>
      <c r="AC134" s="222"/>
      <c r="AD134" s="222"/>
      <c r="AE134" s="222"/>
      <c r="AF134" s="222"/>
      <c r="AG134" s="207"/>
      <c r="AH134" s="207"/>
      <c r="AI134" s="207"/>
      <c r="AJ134" s="535"/>
      <c r="AK134" s="153"/>
    </row>
    <row r="135" spans="1:44" s="149" customFormat="1" ht="13.8" thickBot="1">
      <c r="B135" s="649" t="s">
        <v>7455</v>
      </c>
      <c r="F135" s="220"/>
      <c r="G135" s="220"/>
      <c r="H135" s="220"/>
      <c r="I135" s="220"/>
      <c r="J135" s="220"/>
      <c r="N135" s="320"/>
      <c r="S135" s="220"/>
      <c r="T135" s="220"/>
      <c r="U135" s="220"/>
      <c r="V135" s="220"/>
      <c r="W135" s="220"/>
      <c r="X135" s="220"/>
      <c r="Y135" s="222"/>
      <c r="Z135" s="222"/>
      <c r="AA135" s="222"/>
      <c r="AB135" s="222"/>
      <c r="AC135" s="222"/>
      <c r="AD135" s="222"/>
      <c r="AE135" s="222"/>
      <c r="AF135" s="222"/>
      <c r="AG135" s="207"/>
      <c r="AH135" s="207"/>
      <c r="AI135" s="207"/>
      <c r="AJ135" s="535"/>
      <c r="AK135" s="153"/>
    </row>
    <row r="136" spans="1:44" s="149" customFormat="1">
      <c r="F136" s="220"/>
      <c r="G136" s="220"/>
      <c r="H136" s="220"/>
      <c r="I136" s="220"/>
      <c r="J136" s="220"/>
      <c r="N136" s="320"/>
      <c r="S136" s="220"/>
      <c r="T136" s="220"/>
      <c r="U136" s="220"/>
      <c r="V136" s="220"/>
      <c r="W136" s="220"/>
      <c r="X136" s="220"/>
      <c r="Y136" s="222"/>
      <c r="Z136" s="222"/>
      <c r="AA136" s="222"/>
      <c r="AB136" s="222"/>
      <c r="AC136" s="222"/>
      <c r="AD136" s="222"/>
      <c r="AE136" s="222"/>
      <c r="AF136" s="222"/>
      <c r="AG136" s="207"/>
      <c r="AH136" s="207"/>
      <c r="AI136" s="207"/>
      <c r="AJ136" s="535"/>
      <c r="AK136" s="153"/>
    </row>
    <row r="137" spans="1:44" ht="14.1" customHeight="1">
      <c r="B137" s="969" t="s">
        <v>194</v>
      </c>
      <c r="C137" s="1001"/>
      <c r="D137" s="1001"/>
      <c r="E137" s="1002"/>
      <c r="F137" s="997" t="s">
        <v>7671</v>
      </c>
      <c r="G137" s="998"/>
      <c r="H137" s="998"/>
      <c r="I137" s="998"/>
      <c r="J137" s="998"/>
      <c r="K137" s="999"/>
      <c r="L137" s="973" t="s">
        <v>136</v>
      </c>
      <c r="M137" s="928" t="s">
        <v>6946</v>
      </c>
      <c r="N137" s="930" t="s">
        <v>7456</v>
      </c>
      <c r="O137" s="928" t="s">
        <v>6945</v>
      </c>
      <c r="P137" s="149"/>
      <c r="Q137" s="954" t="s">
        <v>166</v>
      </c>
      <c r="R137" s="975"/>
      <c r="S137" s="925" t="s">
        <v>7741</v>
      </c>
      <c r="T137" s="926"/>
      <c r="U137" s="926"/>
      <c r="V137" s="926"/>
      <c r="W137" s="926"/>
      <c r="X137" s="927"/>
      <c r="Y137" s="238"/>
      <c r="Z137" s="238"/>
      <c r="AA137" s="238"/>
      <c r="AB137" s="238"/>
      <c r="AC137" s="238"/>
      <c r="AD137" s="238"/>
      <c r="AE137" s="238"/>
      <c r="AF137" s="238"/>
      <c r="AG137" s="207"/>
      <c r="AH137" s="207"/>
      <c r="AI137" s="207"/>
      <c r="AJ137" s="207"/>
      <c r="AK137" s="207"/>
      <c r="AR137" s="149"/>
    </row>
    <row r="138" spans="1:44" ht="43.5" customHeight="1" thickBot="1">
      <c r="B138" s="349"/>
      <c r="C138" s="349" t="s">
        <v>7439</v>
      </c>
      <c r="D138" s="349" t="s">
        <v>7440</v>
      </c>
      <c r="E138" s="349" t="s">
        <v>7467</v>
      </c>
      <c r="F138" s="312" t="s">
        <v>7426</v>
      </c>
      <c r="G138" s="312" t="s">
        <v>7427</v>
      </c>
      <c r="H138" s="312" t="s">
        <v>7428</v>
      </c>
      <c r="I138" s="312" t="s">
        <v>7429</v>
      </c>
      <c r="J138" s="312" t="s">
        <v>7430</v>
      </c>
      <c r="K138" s="313" t="s">
        <v>7431</v>
      </c>
      <c r="L138" s="1000"/>
      <c r="M138" s="929"/>
      <c r="N138" s="931"/>
      <c r="O138" s="929"/>
      <c r="P138" s="149"/>
      <c r="Q138" s="896"/>
      <c r="R138" s="898"/>
      <c r="S138" s="312" t="s">
        <v>7426</v>
      </c>
      <c r="T138" s="312" t="s">
        <v>7427</v>
      </c>
      <c r="U138" s="312" t="s">
        <v>7428</v>
      </c>
      <c r="V138" s="312" t="s">
        <v>7429</v>
      </c>
      <c r="W138" s="312" t="s">
        <v>7430</v>
      </c>
      <c r="X138" s="314" t="s">
        <v>7431</v>
      </c>
      <c r="Y138" s="231"/>
      <c r="Z138" s="231"/>
      <c r="AA138" s="231"/>
      <c r="AB138" s="231"/>
      <c r="AC138" s="231"/>
      <c r="AD138" s="231"/>
      <c r="AE138" s="231"/>
      <c r="AF138" s="231"/>
      <c r="AG138" s="207"/>
      <c r="AH138" s="207"/>
      <c r="AI138" s="207"/>
      <c r="AJ138" s="207"/>
      <c r="AK138" s="207"/>
      <c r="AR138" s="149"/>
    </row>
    <row r="139" spans="1:44" ht="15" customHeight="1" thickBot="1">
      <c r="B139" s="650"/>
      <c r="C139" s="706"/>
      <c r="D139" s="707"/>
      <c r="E139" s="708"/>
      <c r="F139" s="704">
        <v>0</v>
      </c>
      <c r="G139" s="704">
        <v>0</v>
      </c>
      <c r="H139" s="704">
        <v>0</v>
      </c>
      <c r="I139" s="704">
        <v>0</v>
      </c>
      <c r="J139" s="704">
        <v>0</v>
      </c>
      <c r="K139" s="705">
        <f>SUM(F139:J139)</f>
        <v>0</v>
      </c>
      <c r="L139" s="639" t="s">
        <v>192</v>
      </c>
      <c r="M139" s="651"/>
      <c r="N139" s="651"/>
      <c r="O139" s="651"/>
      <c r="P139" s="149"/>
      <c r="Q139" s="992" t="str">
        <f>IF(B139=0,"",B139)</f>
        <v/>
      </c>
      <c r="R139" s="68" t="s">
        <v>169</v>
      </c>
      <c r="S139" s="722">
        <f>F139</f>
        <v>0</v>
      </c>
      <c r="T139" s="722">
        <f t="shared" ref="T139:W139" si="82">G139</f>
        <v>0</v>
      </c>
      <c r="U139" s="722">
        <f t="shared" si="82"/>
        <v>0</v>
      </c>
      <c r="V139" s="722">
        <f t="shared" si="82"/>
        <v>0</v>
      </c>
      <c r="W139" s="722">
        <f t="shared" si="82"/>
        <v>0</v>
      </c>
      <c r="X139" s="719">
        <f t="shared" ref="X139:X150" si="83">SUM(S139:W139)</f>
        <v>0</v>
      </c>
      <c r="Y139" s="240"/>
      <c r="Z139" s="240"/>
      <c r="AA139" s="240"/>
      <c r="AB139" s="240"/>
      <c r="AC139" s="240"/>
      <c r="AD139" s="240"/>
      <c r="AE139" s="240"/>
      <c r="AF139" s="240"/>
      <c r="AG139" s="207"/>
      <c r="AH139" s="207"/>
      <c r="AI139" s="207"/>
      <c r="AJ139" s="535"/>
      <c r="AK139" s="236"/>
      <c r="AR139" s="149"/>
    </row>
    <row r="140" spans="1:44" ht="13.8" thickBot="1">
      <c r="B140" s="650"/>
      <c r="C140" s="706"/>
      <c r="D140" s="707"/>
      <c r="E140" s="708"/>
      <c r="F140" s="704">
        <v>0</v>
      </c>
      <c r="G140" s="704">
        <v>0</v>
      </c>
      <c r="H140" s="704">
        <v>0</v>
      </c>
      <c r="I140" s="704">
        <v>0</v>
      </c>
      <c r="J140" s="704">
        <v>0</v>
      </c>
      <c r="K140" s="705">
        <f>SUM(F140:J140)</f>
        <v>0</v>
      </c>
      <c r="L140" s="639" t="s">
        <v>192</v>
      </c>
      <c r="M140" s="651"/>
      <c r="N140" s="651"/>
      <c r="O140" s="651"/>
      <c r="P140" s="149"/>
      <c r="Q140" s="993"/>
      <c r="R140" s="68" t="s">
        <v>167</v>
      </c>
      <c r="S140" s="723">
        <f>F139*$C$139</f>
        <v>0</v>
      </c>
      <c r="T140" s="723">
        <f t="shared" ref="T140:W140" si="84">G139*$C$139</f>
        <v>0</v>
      </c>
      <c r="U140" s="723">
        <f t="shared" si="84"/>
        <v>0</v>
      </c>
      <c r="V140" s="723">
        <f t="shared" si="84"/>
        <v>0</v>
      </c>
      <c r="W140" s="723">
        <f t="shared" si="84"/>
        <v>0</v>
      </c>
      <c r="X140" s="719">
        <f t="shared" si="83"/>
        <v>0</v>
      </c>
      <c r="Y140" s="240"/>
      <c r="Z140" s="240"/>
      <c r="AA140" s="240"/>
      <c r="AB140" s="240"/>
      <c r="AC140" s="240"/>
      <c r="AD140" s="240"/>
      <c r="AE140" s="240"/>
      <c r="AF140" s="240"/>
      <c r="AJ140" s="535"/>
      <c r="AK140" s="236"/>
      <c r="AR140" s="149"/>
    </row>
    <row r="141" spans="1:44" ht="13.8" thickBot="1">
      <c r="B141" s="650"/>
      <c r="C141" s="706"/>
      <c r="D141" s="707"/>
      <c r="E141" s="707"/>
      <c r="F141" s="704">
        <v>0</v>
      </c>
      <c r="G141" s="704">
        <v>0</v>
      </c>
      <c r="H141" s="704">
        <v>0</v>
      </c>
      <c r="I141" s="704">
        <v>0</v>
      </c>
      <c r="J141" s="704">
        <v>0</v>
      </c>
      <c r="K141" s="705">
        <f>SUM(F141:J141)</f>
        <v>0</v>
      </c>
      <c r="L141" s="639" t="s">
        <v>192</v>
      </c>
      <c r="M141" s="651"/>
      <c r="N141" s="651"/>
      <c r="O141" s="651"/>
      <c r="P141" s="149"/>
      <c r="Q141" s="993"/>
      <c r="R141" s="72" t="s">
        <v>168</v>
      </c>
      <c r="S141" s="723">
        <f>F139*$D$139</f>
        <v>0</v>
      </c>
      <c r="T141" s="723">
        <f t="shared" ref="T141:W141" si="85">G139*$D$139</f>
        <v>0</v>
      </c>
      <c r="U141" s="723">
        <f t="shared" si="85"/>
        <v>0</v>
      </c>
      <c r="V141" s="723">
        <f t="shared" si="85"/>
        <v>0</v>
      </c>
      <c r="W141" s="723">
        <f t="shared" si="85"/>
        <v>0</v>
      </c>
      <c r="X141" s="719">
        <f t="shared" si="83"/>
        <v>0</v>
      </c>
      <c r="Y141" s="240"/>
      <c r="Z141" s="240"/>
      <c r="AA141" s="240"/>
      <c r="AB141" s="240"/>
      <c r="AC141" s="240"/>
      <c r="AD141" s="240"/>
      <c r="AE141" s="240"/>
      <c r="AF141" s="240"/>
      <c r="AJ141" s="535"/>
      <c r="AK141" s="236"/>
      <c r="AR141" s="149"/>
    </row>
    <row r="142" spans="1:44">
      <c r="A142" s="149"/>
      <c r="B142" s="149"/>
      <c r="C142" s="149"/>
      <c r="D142" s="149"/>
      <c r="E142" s="149"/>
      <c r="F142" s="220"/>
      <c r="G142" s="220"/>
      <c r="H142" s="220"/>
      <c r="I142" s="220"/>
      <c r="J142" s="220"/>
      <c r="K142" s="149"/>
      <c r="L142" s="149"/>
      <c r="M142" s="149"/>
      <c r="N142" s="320"/>
      <c r="O142" s="149"/>
      <c r="P142" s="149"/>
      <c r="Q142" s="994"/>
      <c r="R142" s="72" t="s">
        <v>7468</v>
      </c>
      <c r="S142" s="723">
        <f>F139*$E$139</f>
        <v>0</v>
      </c>
      <c r="T142" s="723">
        <f t="shared" ref="T142:W142" si="86">G139*$E$139</f>
        <v>0</v>
      </c>
      <c r="U142" s="723">
        <f t="shared" si="86"/>
        <v>0</v>
      </c>
      <c r="V142" s="723">
        <f t="shared" si="86"/>
        <v>0</v>
      </c>
      <c r="W142" s="723">
        <f t="shared" si="86"/>
        <v>0</v>
      </c>
      <c r="X142" s="719">
        <f t="shared" si="83"/>
        <v>0</v>
      </c>
      <c r="Y142" s="240"/>
      <c r="Z142" s="240"/>
      <c r="AA142" s="240"/>
      <c r="AB142" s="240"/>
      <c r="AC142" s="240"/>
      <c r="AD142" s="240"/>
      <c r="AE142" s="240"/>
      <c r="AF142" s="240"/>
      <c r="AJ142" s="535"/>
      <c r="AK142" s="236"/>
      <c r="AR142" s="149"/>
    </row>
    <row r="143" spans="1:44" ht="13.8" thickBot="1">
      <c r="A143" s="149"/>
      <c r="B143" s="149"/>
      <c r="C143" s="149"/>
      <c r="D143" s="149"/>
      <c r="E143" s="149"/>
      <c r="F143" s="220"/>
      <c r="G143" s="220"/>
      <c r="H143" s="220"/>
      <c r="I143" s="220"/>
      <c r="J143" s="220"/>
      <c r="K143" s="149"/>
      <c r="L143" s="149"/>
      <c r="M143" s="149"/>
      <c r="N143" s="320"/>
      <c r="O143" s="149"/>
      <c r="P143" s="149"/>
      <c r="Q143" s="992" t="str">
        <f>IF(B140=0,"",B140)</f>
        <v/>
      </c>
      <c r="R143" s="68" t="s">
        <v>169</v>
      </c>
      <c r="S143" s="722">
        <f>F140</f>
        <v>0</v>
      </c>
      <c r="T143" s="722">
        <f t="shared" ref="T143:W143" si="87">G140</f>
        <v>0</v>
      </c>
      <c r="U143" s="722">
        <f t="shared" si="87"/>
        <v>0</v>
      </c>
      <c r="V143" s="722">
        <f t="shared" si="87"/>
        <v>0</v>
      </c>
      <c r="W143" s="722">
        <f t="shared" si="87"/>
        <v>0</v>
      </c>
      <c r="X143" s="719">
        <f t="shared" si="83"/>
        <v>0</v>
      </c>
      <c r="Y143" s="240"/>
      <c r="Z143" s="240"/>
      <c r="AA143" s="240"/>
      <c r="AB143" s="240"/>
      <c r="AC143" s="240"/>
      <c r="AD143" s="240"/>
      <c r="AE143" s="240"/>
      <c r="AF143" s="240"/>
      <c r="AJ143" s="535"/>
      <c r="AK143" s="153"/>
      <c r="AR143" s="149"/>
    </row>
    <row r="144" spans="1:44" ht="13.8" thickBot="1">
      <c r="A144" s="149"/>
      <c r="B144" s="962" t="s">
        <v>7618</v>
      </c>
      <c r="C144" s="963"/>
      <c r="D144" s="964"/>
      <c r="E144" s="709"/>
      <c r="F144" s="638" t="s">
        <v>170</v>
      </c>
      <c r="G144" s="392" t="s">
        <v>7443</v>
      </c>
      <c r="H144" s="965" t="s">
        <v>7550</v>
      </c>
      <c r="I144" s="965"/>
      <c r="J144" s="710">
        <f>IFERROR(IF(F144=Color!$G$4,D9*E144,D11*E144),"")</f>
        <v>0</v>
      </c>
      <c r="K144" s="149"/>
      <c r="L144" s="149"/>
      <c r="M144" s="149"/>
      <c r="N144" s="320"/>
      <c r="O144" s="149"/>
      <c r="P144" s="149"/>
      <c r="Q144" s="993"/>
      <c r="R144" s="68" t="s">
        <v>167</v>
      </c>
      <c r="S144" s="723">
        <f>F140*$C$140</f>
        <v>0</v>
      </c>
      <c r="T144" s="723">
        <f t="shared" ref="T144:W144" si="88">G140*$C$140</f>
        <v>0</v>
      </c>
      <c r="U144" s="723">
        <f t="shared" si="88"/>
        <v>0</v>
      </c>
      <c r="V144" s="723">
        <f t="shared" si="88"/>
        <v>0</v>
      </c>
      <c r="W144" s="723">
        <f t="shared" si="88"/>
        <v>0</v>
      </c>
      <c r="X144" s="719">
        <f t="shared" si="83"/>
        <v>0</v>
      </c>
      <c r="Y144" s="240"/>
      <c r="Z144" s="240"/>
      <c r="AA144" s="240"/>
      <c r="AB144" s="240"/>
      <c r="AC144" s="240"/>
      <c r="AD144" s="240"/>
      <c r="AE144" s="240"/>
      <c r="AF144" s="240"/>
      <c r="AJ144" s="535"/>
      <c r="AK144" s="153"/>
      <c r="AR144" s="149"/>
    </row>
    <row r="145" spans="1:51">
      <c r="A145" s="149"/>
      <c r="B145" s="149"/>
      <c r="C145" s="149"/>
      <c r="D145" s="149"/>
      <c r="E145" s="149"/>
      <c r="F145" s="220"/>
      <c r="G145" s="220"/>
      <c r="H145" s="220"/>
      <c r="I145" s="220"/>
      <c r="J145" s="220"/>
      <c r="K145" s="149"/>
      <c r="L145" s="149"/>
      <c r="M145" s="149"/>
      <c r="N145" s="320"/>
      <c r="O145" s="149"/>
      <c r="P145" s="149"/>
      <c r="Q145" s="993"/>
      <c r="R145" s="72" t="s">
        <v>168</v>
      </c>
      <c r="S145" s="723">
        <f>F140*$D$140</f>
        <v>0</v>
      </c>
      <c r="T145" s="723">
        <f t="shared" ref="T145:W145" si="89">G140*$D$140</f>
        <v>0</v>
      </c>
      <c r="U145" s="723">
        <f t="shared" si="89"/>
        <v>0</v>
      </c>
      <c r="V145" s="723">
        <f t="shared" si="89"/>
        <v>0</v>
      </c>
      <c r="W145" s="723">
        <f t="shared" si="89"/>
        <v>0</v>
      </c>
      <c r="X145" s="719">
        <f t="shared" si="83"/>
        <v>0</v>
      </c>
      <c r="Y145" s="240"/>
      <c r="Z145" s="240"/>
      <c r="AA145" s="240"/>
      <c r="AB145" s="240"/>
      <c r="AC145" s="240"/>
      <c r="AD145" s="240"/>
      <c r="AE145" s="240"/>
      <c r="AF145" s="240"/>
      <c r="AJ145" s="535"/>
      <c r="AK145" s="153"/>
      <c r="AR145" s="149"/>
    </row>
    <row r="146" spans="1:51">
      <c r="A146" s="149"/>
      <c r="B146" s="149"/>
      <c r="C146" s="149"/>
      <c r="D146" s="149"/>
      <c r="E146" s="149"/>
      <c r="F146" s="220"/>
      <c r="G146" s="220"/>
      <c r="H146" s="220"/>
      <c r="I146" s="220"/>
      <c r="J146" s="220"/>
      <c r="K146" s="149"/>
      <c r="L146" s="149"/>
      <c r="M146" s="149"/>
      <c r="N146" s="320"/>
      <c r="O146" s="149"/>
      <c r="P146" s="149"/>
      <c r="Q146" s="994"/>
      <c r="R146" s="72" t="s">
        <v>7468</v>
      </c>
      <c r="S146" s="723">
        <f>F140*$E$140</f>
        <v>0</v>
      </c>
      <c r="T146" s="723">
        <f t="shared" ref="T146:W146" si="90">G140*$E$140</f>
        <v>0</v>
      </c>
      <c r="U146" s="723">
        <f t="shared" si="90"/>
        <v>0</v>
      </c>
      <c r="V146" s="723">
        <f t="shared" si="90"/>
        <v>0</v>
      </c>
      <c r="W146" s="723">
        <f t="shared" si="90"/>
        <v>0</v>
      </c>
      <c r="X146" s="719">
        <f t="shared" si="83"/>
        <v>0</v>
      </c>
      <c r="Y146" s="240"/>
      <c r="Z146" s="240"/>
      <c r="AA146" s="240"/>
      <c r="AB146" s="240"/>
      <c r="AC146" s="240"/>
      <c r="AD146" s="240"/>
      <c r="AE146" s="240"/>
      <c r="AF146" s="240"/>
      <c r="AJ146" s="535"/>
      <c r="AK146" s="153"/>
      <c r="AR146" s="149"/>
    </row>
    <row r="147" spans="1:51">
      <c r="A147" s="149"/>
      <c r="B147" s="149"/>
      <c r="C147" s="149"/>
      <c r="D147" s="149"/>
      <c r="E147" s="149"/>
      <c r="F147" s="220"/>
      <c r="G147" s="220"/>
      <c r="H147" s="220"/>
      <c r="I147" s="220"/>
      <c r="J147" s="220"/>
      <c r="K147" s="149"/>
      <c r="L147" s="149"/>
      <c r="M147" s="149"/>
      <c r="N147" s="320"/>
      <c r="O147" s="149"/>
      <c r="P147" s="149"/>
      <c r="Q147" s="995" t="str">
        <f>IF(B141=0,"",B141)</f>
        <v/>
      </c>
      <c r="R147" s="68" t="s">
        <v>169</v>
      </c>
      <c r="S147" s="722">
        <f>F141</f>
        <v>0</v>
      </c>
      <c r="T147" s="722">
        <f t="shared" ref="T147:W147" si="91">G141</f>
        <v>0</v>
      </c>
      <c r="U147" s="722">
        <f t="shared" si="91"/>
        <v>0</v>
      </c>
      <c r="V147" s="722">
        <f t="shared" si="91"/>
        <v>0</v>
      </c>
      <c r="W147" s="722">
        <f t="shared" si="91"/>
        <v>0</v>
      </c>
      <c r="X147" s="719">
        <f t="shared" si="83"/>
        <v>0</v>
      </c>
      <c r="Y147" s="240"/>
      <c r="Z147" s="240"/>
      <c r="AA147" s="240"/>
      <c r="AB147" s="240"/>
      <c r="AC147" s="240"/>
      <c r="AD147" s="240"/>
      <c r="AE147" s="240"/>
      <c r="AF147" s="240"/>
      <c r="AJ147" s="535"/>
      <c r="AK147" s="153"/>
      <c r="AR147" s="149"/>
    </row>
    <row r="148" spans="1:51">
      <c r="A148" s="149"/>
      <c r="B148" s="149"/>
      <c r="C148" s="149"/>
      <c r="D148" s="149"/>
      <c r="E148" s="149"/>
      <c r="F148" s="220"/>
      <c r="G148" s="220"/>
      <c r="H148" s="220"/>
      <c r="I148" s="220"/>
      <c r="J148" s="220"/>
      <c r="K148" s="149"/>
      <c r="L148" s="149"/>
      <c r="M148" s="149"/>
      <c r="N148" s="320"/>
      <c r="O148" s="149"/>
      <c r="P148" s="149"/>
      <c r="Q148" s="996"/>
      <c r="R148" s="68" t="s">
        <v>167</v>
      </c>
      <c r="S148" s="723">
        <f>F141*$C$141</f>
        <v>0</v>
      </c>
      <c r="T148" s="723">
        <f t="shared" ref="T148:W148" si="92">G141*$C$141</f>
        <v>0</v>
      </c>
      <c r="U148" s="723">
        <f t="shared" si="92"/>
        <v>0</v>
      </c>
      <c r="V148" s="723">
        <f t="shared" si="92"/>
        <v>0</v>
      </c>
      <c r="W148" s="723">
        <f t="shared" si="92"/>
        <v>0</v>
      </c>
      <c r="X148" s="719">
        <f t="shared" si="83"/>
        <v>0</v>
      </c>
      <c r="Y148" s="240"/>
      <c r="Z148" s="240"/>
      <c r="AA148" s="240"/>
      <c r="AB148" s="240"/>
      <c r="AC148" s="240"/>
      <c r="AD148" s="240"/>
      <c r="AE148" s="240"/>
      <c r="AF148" s="240"/>
      <c r="AJ148" s="535"/>
      <c r="AK148" s="153"/>
      <c r="AR148" s="149"/>
    </row>
    <row r="149" spans="1:51">
      <c r="A149" s="149"/>
      <c r="B149" s="149"/>
      <c r="C149" s="149"/>
      <c r="D149" s="149"/>
      <c r="E149" s="149"/>
      <c r="F149" s="220"/>
      <c r="G149" s="220"/>
      <c r="H149" s="220"/>
      <c r="I149" s="220"/>
      <c r="J149" s="220"/>
      <c r="K149" s="149"/>
      <c r="L149" s="149"/>
      <c r="M149" s="149"/>
      <c r="N149" s="320"/>
      <c r="O149" s="149"/>
      <c r="P149" s="149"/>
      <c r="Q149" s="996"/>
      <c r="R149" s="72" t="s">
        <v>168</v>
      </c>
      <c r="S149" s="723">
        <f>F141*$D$141</f>
        <v>0</v>
      </c>
      <c r="T149" s="723">
        <f t="shared" ref="T149:W149" si="93">G141*$D$141</f>
        <v>0</v>
      </c>
      <c r="U149" s="723">
        <f t="shared" si="93"/>
        <v>0</v>
      </c>
      <c r="V149" s="723">
        <f t="shared" si="93"/>
        <v>0</v>
      </c>
      <c r="W149" s="723">
        <f t="shared" si="93"/>
        <v>0</v>
      </c>
      <c r="X149" s="719">
        <f t="shared" si="83"/>
        <v>0</v>
      </c>
      <c r="Y149" s="240"/>
      <c r="Z149" s="240"/>
      <c r="AA149" s="240"/>
      <c r="AB149" s="240"/>
      <c r="AC149" s="240"/>
      <c r="AD149" s="240"/>
      <c r="AE149" s="240"/>
      <c r="AF149" s="240"/>
      <c r="AJ149" s="535"/>
      <c r="AK149" s="153"/>
      <c r="AR149" s="149"/>
    </row>
    <row r="150" spans="1:51" s="149" customFormat="1">
      <c r="N150" s="320"/>
      <c r="Q150" s="996"/>
      <c r="R150" s="72" t="s">
        <v>7468</v>
      </c>
      <c r="S150" s="723">
        <f>F141*$E$141</f>
        <v>0</v>
      </c>
      <c r="T150" s="723">
        <f t="shared" ref="T150:W150" si="94">G141*$E$141</f>
        <v>0</v>
      </c>
      <c r="U150" s="723">
        <f t="shared" si="94"/>
        <v>0</v>
      </c>
      <c r="V150" s="723">
        <f t="shared" si="94"/>
        <v>0</v>
      </c>
      <c r="W150" s="723">
        <f t="shared" si="94"/>
        <v>0</v>
      </c>
      <c r="X150" s="719">
        <f t="shared" si="83"/>
        <v>0</v>
      </c>
      <c r="Y150" s="240"/>
      <c r="Z150" s="240"/>
      <c r="AA150" s="240"/>
      <c r="AB150" s="240"/>
      <c r="AC150" s="240"/>
      <c r="AD150" s="240"/>
      <c r="AE150" s="240"/>
      <c r="AF150" s="240"/>
      <c r="AG150" s="235"/>
      <c r="AH150" s="235"/>
      <c r="AI150" s="235"/>
      <c r="AJ150" s="535"/>
      <c r="AK150" s="153"/>
      <c r="AL150" s="235"/>
      <c r="AM150" s="235"/>
      <c r="AN150" s="59"/>
      <c r="AO150" s="59"/>
      <c r="AP150" s="59"/>
    </row>
    <row r="151" spans="1:51">
      <c r="A151" s="149"/>
      <c r="B151" s="149"/>
      <c r="C151" s="149"/>
      <c r="D151" s="143"/>
      <c r="E151" s="143"/>
      <c r="F151" s="385"/>
      <c r="G151" s="385"/>
      <c r="H151" s="385"/>
      <c r="I151" s="385"/>
      <c r="J151" s="385"/>
      <c r="K151" s="143"/>
      <c r="L151" s="149"/>
      <c r="M151" s="149"/>
      <c r="N151" s="325"/>
      <c r="O151" s="149"/>
      <c r="P151" s="149"/>
      <c r="Q151" s="149"/>
      <c r="R151" s="149"/>
      <c r="S151" s="220"/>
      <c r="T151" s="220"/>
      <c r="U151" s="220"/>
      <c r="V151" s="220"/>
      <c r="W151" s="220"/>
      <c r="X151" s="220"/>
      <c r="Y151" s="231"/>
      <c r="Z151" s="231"/>
      <c r="AA151" s="231"/>
      <c r="AB151" s="231"/>
      <c r="AC151" s="231"/>
      <c r="AD151" s="231"/>
      <c r="AE151" s="231"/>
      <c r="AF151" s="231"/>
      <c r="AG151" s="149"/>
      <c r="AH151" s="149"/>
      <c r="AI151" s="149"/>
      <c r="AJ151" s="333" t="s">
        <v>7452</v>
      </c>
      <c r="AK151" s="153"/>
      <c r="AL151" s="153"/>
      <c r="AM151" s="153"/>
      <c r="AN151" s="149"/>
      <c r="AO151" s="149"/>
      <c r="AP151" s="149"/>
      <c r="AR151" s="149"/>
    </row>
    <row r="152" spans="1:51">
      <c r="A152" s="149"/>
      <c r="B152" s="149"/>
      <c r="C152" s="149"/>
      <c r="D152" s="143"/>
      <c r="E152" s="143"/>
      <c r="F152" s="143"/>
      <c r="G152" s="143"/>
      <c r="H152" s="385"/>
      <c r="I152" s="385"/>
      <c r="J152" s="385"/>
      <c r="K152" s="385"/>
      <c r="L152" s="220"/>
      <c r="M152" s="149"/>
      <c r="N152" s="320"/>
      <c r="O152" s="149"/>
      <c r="P152" s="149"/>
      <c r="Q152" s="935" t="s">
        <v>7678</v>
      </c>
      <c r="R152" s="935"/>
      <c r="S152" s="935"/>
      <c r="T152" s="935"/>
      <c r="U152" s="935"/>
      <c r="V152" s="935"/>
      <c r="W152" s="935"/>
      <c r="X152" s="935"/>
      <c r="Y152" s="265"/>
      <c r="Z152" s="237"/>
      <c r="AA152" s="237"/>
      <c r="AB152" s="237"/>
      <c r="AC152" s="237"/>
      <c r="AD152" s="237"/>
      <c r="AE152" s="804"/>
      <c r="AF152" s="237"/>
      <c r="AG152" s="251" t="s">
        <v>7454</v>
      </c>
      <c r="AH152" s="252" t="str">
        <f>$Q$139</f>
        <v/>
      </c>
      <c r="AI152" s="253" t="str">
        <f t="shared" ref="AI152:AI167" si="95">AG152&amp;AH152</f>
        <v>金額配分</v>
      </c>
      <c r="AJ152" s="254" t="e">
        <f>$X$141/($J$144+$X$141+$X$145+$X$149)</f>
        <v>#DIV/0!</v>
      </c>
      <c r="AK152" s="153"/>
      <c r="AR152" s="149"/>
    </row>
    <row r="153" spans="1:51">
      <c r="A153" s="149"/>
      <c r="B153" s="149"/>
      <c r="C153" s="149"/>
      <c r="D153" s="143"/>
      <c r="E153" s="143"/>
      <c r="F153" s="143"/>
      <c r="G153" s="143"/>
      <c r="H153" s="385"/>
      <c r="I153" s="385"/>
      <c r="J153" s="385"/>
      <c r="K153" s="385"/>
      <c r="L153" s="220"/>
      <c r="M153" s="149"/>
      <c r="N153" s="320"/>
      <c r="O153" s="149"/>
      <c r="P153" s="149"/>
      <c r="Q153" s="149"/>
      <c r="R153" s="149"/>
      <c r="S153" s="220"/>
      <c r="T153" s="220"/>
      <c r="U153" s="220"/>
      <c r="V153" s="220"/>
      <c r="W153" s="220"/>
      <c r="X153" s="220"/>
      <c r="Y153" s="231"/>
      <c r="Z153" s="231"/>
      <c r="AA153" s="231"/>
      <c r="AB153" s="231"/>
      <c r="AC153" s="231"/>
      <c r="AD153" s="231"/>
      <c r="AE153" s="231"/>
      <c r="AF153" s="231"/>
      <c r="AG153" s="255" t="s">
        <v>7454</v>
      </c>
      <c r="AH153" s="252" t="str">
        <f>$Q$147</f>
        <v/>
      </c>
      <c r="AI153" s="253" t="str">
        <f t="shared" si="95"/>
        <v>金額配分</v>
      </c>
      <c r="AJ153" s="254" t="e">
        <f>$X$149/($J$144+$X$141+$X$145+$X$149)</f>
        <v>#DIV/0!</v>
      </c>
      <c r="AK153" s="153"/>
      <c r="AR153" s="149"/>
    </row>
    <row r="154" spans="1:51">
      <c r="A154" s="149"/>
      <c r="B154" s="149"/>
      <c r="C154" s="149"/>
      <c r="D154" s="143"/>
      <c r="E154" s="143"/>
      <c r="F154" s="143"/>
      <c r="G154" s="143"/>
      <c r="H154" s="143"/>
      <c r="I154" s="385"/>
      <c r="J154" s="385"/>
      <c r="K154" s="385"/>
      <c r="L154" s="220"/>
      <c r="M154" s="149"/>
      <c r="N154" s="320"/>
      <c r="O154" s="149"/>
      <c r="P154" s="149"/>
      <c r="Q154" s="890" t="s">
        <v>173</v>
      </c>
      <c r="R154" s="892"/>
      <c r="S154" s="1016" t="s">
        <v>7666</v>
      </c>
      <c r="T154" s="1017"/>
      <c r="U154" s="1017"/>
      <c r="V154" s="1017"/>
      <c r="W154" s="1017"/>
      <c r="X154" s="1018"/>
      <c r="Y154" s="238"/>
      <c r="Z154" s="149"/>
      <c r="AA154" s="149"/>
      <c r="AB154" s="149"/>
      <c r="AC154" s="149"/>
      <c r="AD154" s="149"/>
      <c r="AE154" s="149"/>
      <c r="AF154" s="149"/>
      <c r="AG154" s="255" t="s">
        <v>7454</v>
      </c>
      <c r="AH154" s="252" t="str">
        <f>$Q$143</f>
        <v/>
      </c>
      <c r="AI154" s="253" t="str">
        <f t="shared" si="95"/>
        <v>金額配分</v>
      </c>
      <c r="AJ154" s="254" t="e">
        <f>$X$145/($J$144+$X$141+$X$145+$X$149)</f>
        <v>#DIV/0!</v>
      </c>
      <c r="AK154" s="153"/>
      <c r="AL154" s="153"/>
      <c r="AN154" s="235"/>
      <c r="AR154" s="149"/>
    </row>
    <row r="155" spans="1:51">
      <c r="A155" s="149"/>
      <c r="B155" s="149"/>
      <c r="C155" s="149"/>
      <c r="D155" s="143"/>
      <c r="E155" s="143"/>
      <c r="F155" s="143"/>
      <c r="G155" s="143"/>
      <c r="H155" s="143"/>
      <c r="I155" s="385"/>
      <c r="J155" s="385"/>
      <c r="K155" s="385"/>
      <c r="L155" s="220"/>
      <c r="M155" s="149"/>
      <c r="N155" s="320"/>
      <c r="O155" s="149"/>
      <c r="P155" s="149"/>
      <c r="Q155" s="896"/>
      <c r="R155" s="898"/>
      <c r="S155" s="312" t="s">
        <v>7426</v>
      </c>
      <c r="T155" s="312" t="s">
        <v>7427</v>
      </c>
      <c r="U155" s="312" t="s">
        <v>7428</v>
      </c>
      <c r="V155" s="312" t="s">
        <v>7429</v>
      </c>
      <c r="W155" s="312" t="s">
        <v>7430</v>
      </c>
      <c r="X155" s="314" t="s">
        <v>7431</v>
      </c>
      <c r="Y155" s="231"/>
      <c r="Z155" s="149"/>
      <c r="AA155" s="149"/>
      <c r="AB155" s="149"/>
      <c r="AC155" s="149"/>
      <c r="AD155" s="149"/>
      <c r="AE155" s="149"/>
      <c r="AF155" s="149"/>
      <c r="AG155" s="256" t="s">
        <v>7454</v>
      </c>
      <c r="AH155" s="252" t="s">
        <v>145</v>
      </c>
      <c r="AI155" s="253" t="str">
        <f t="shared" si="95"/>
        <v>金額配分水素</v>
      </c>
      <c r="AJ155" s="254" t="e">
        <f>$J$144/($J$144+$X$141+$X$145+$X$149)</f>
        <v>#DIV/0!</v>
      </c>
      <c r="AK155" s="153"/>
      <c r="AL155" s="59"/>
      <c r="AM155" s="59"/>
      <c r="AR155" s="149"/>
    </row>
    <row r="156" spans="1:51">
      <c r="A156" s="149"/>
      <c r="B156" s="149"/>
      <c r="C156" s="149"/>
      <c r="D156" s="143"/>
      <c r="E156" s="143"/>
      <c r="F156" s="143"/>
      <c r="G156" s="143"/>
      <c r="H156" s="143"/>
      <c r="I156" s="385"/>
      <c r="J156" s="385"/>
      <c r="K156" s="385"/>
      <c r="L156" s="220"/>
      <c r="M156" s="149"/>
      <c r="N156" s="320"/>
      <c r="O156" s="149"/>
      <c r="P156" s="149"/>
      <c r="Q156" s="990" t="s">
        <v>6979</v>
      </c>
      <c r="R156" s="991"/>
      <c r="S156" s="690">
        <f>IFERROR(S$33+S$53+S60+S$71+S$88+S$98+S$107+S$123+S$130,"")</f>
        <v>49.852819395117479</v>
      </c>
      <c r="T156" s="690">
        <f>IFERROR(T$33+T$53+T60+T$71+T$88+T$98+T$107+T$123+T$130,"")</f>
        <v>0</v>
      </c>
      <c r="U156" s="690">
        <f>IFERROR(U$33+U$53+U60+U$71+U$88+U$98+U$107+U$123+U$130,"")</f>
        <v>0</v>
      </c>
      <c r="V156" s="690">
        <f>IFERROR(V$33+V$53+V60+V$71+V$88+V$98+V$107+V$123+V$130,"")</f>
        <v>0</v>
      </c>
      <c r="W156" s="690">
        <f>IFERROR(W$33+W$53+W60+W$71+W$88+W$98+W$107+W$123+W$130,"")</f>
        <v>0</v>
      </c>
      <c r="X156" s="724">
        <f t="shared" ref="X156:X172" si="96">SUM(S156:W156)</f>
        <v>49.852819395117479</v>
      </c>
      <c r="Y156" s="239"/>
      <c r="Z156" s="231"/>
      <c r="AA156" s="231"/>
      <c r="AB156" s="231"/>
      <c r="AC156" s="231"/>
      <c r="AD156" s="149"/>
      <c r="AE156" s="149"/>
      <c r="AF156" s="149"/>
      <c r="AG156" s="251" t="s">
        <v>7453</v>
      </c>
      <c r="AH156" s="252" t="str">
        <f>$Q$139</f>
        <v/>
      </c>
      <c r="AI156" s="253" t="str">
        <f t="shared" si="95"/>
        <v>重量配分</v>
      </c>
      <c r="AJ156" s="254">
        <f>$X$139/($D$9+$X$139+$X$143+$X$147)</f>
        <v>0</v>
      </c>
      <c r="AK156" s="59"/>
      <c r="AL156" s="59"/>
      <c r="AM156" s="59"/>
      <c r="AR156" s="149"/>
      <c r="AT156" s="683"/>
      <c r="AU156" s="683" t="str">
        <f>Q157</f>
        <v>重量配分</v>
      </c>
      <c r="AV156" s="683" t="str">
        <f>Q161</f>
        <v>熱量配分</v>
      </c>
      <c r="AW156" s="683" t="str">
        <f>Q165</f>
        <v>金額配分</v>
      </c>
      <c r="AX156" s="683" t="str">
        <f>Q169</f>
        <v>体積配分</v>
      </c>
      <c r="AY156" s="683" t="str">
        <f>Q173</f>
        <v>代替</v>
      </c>
    </row>
    <row r="157" spans="1:51">
      <c r="A157" s="149"/>
      <c r="B157" s="149"/>
      <c r="C157" s="149"/>
      <c r="D157" s="143"/>
      <c r="E157" s="143"/>
      <c r="F157" s="143"/>
      <c r="G157" s="143"/>
      <c r="H157" s="143"/>
      <c r="I157" s="385"/>
      <c r="J157" s="385"/>
      <c r="K157" s="385"/>
      <c r="L157" s="220"/>
      <c r="M157" s="149"/>
      <c r="N157" s="320"/>
      <c r="O157" s="149"/>
      <c r="P157" s="149"/>
      <c r="Q157" s="77" t="s">
        <v>7453</v>
      </c>
      <c r="R157" s="76" t="s">
        <v>145</v>
      </c>
      <c r="S157" s="690">
        <f>IFERROR(S$156*$D$9/($D$9+$X$139+$X$143+$X$147),"")</f>
        <v>49.852819395117479</v>
      </c>
      <c r="T157" s="690">
        <f>IFERROR(T$156*$D$9/($D$9+$X$139+$X$143+$X$147),"")</f>
        <v>0</v>
      </c>
      <c r="U157" s="690">
        <f>IFERROR(U$156*$D$9/($D$9+$X$139+$X$143+$X$147),"")</f>
        <v>0</v>
      </c>
      <c r="V157" s="690">
        <f>IFERROR(V$156*$D$9/($D$9+$X$139+$X$143+$X$147),"")</f>
        <v>0</v>
      </c>
      <c r="W157" s="690">
        <f>IFERROR(W$156*$D$9/($D$9+$X$139+$X$143+$X$147),"")</f>
        <v>0</v>
      </c>
      <c r="X157" s="724">
        <f t="shared" si="96"/>
        <v>49.852819395117479</v>
      </c>
      <c r="Y157" s="240"/>
      <c r="Z157" s="231"/>
      <c r="AA157" s="231"/>
      <c r="AB157" s="231"/>
      <c r="AC157" s="231"/>
      <c r="AD157" s="153"/>
      <c r="AE157" s="153"/>
      <c r="AF157" s="153"/>
      <c r="AG157" s="255" t="s">
        <v>7453</v>
      </c>
      <c r="AH157" s="252" t="str">
        <f>$Q$147</f>
        <v/>
      </c>
      <c r="AI157" s="253" t="str">
        <f t="shared" si="95"/>
        <v>重量配分</v>
      </c>
      <c r="AJ157" s="254">
        <f>$X$147/($D$9+$X$139+$X$143+$X$147)</f>
        <v>0</v>
      </c>
      <c r="AK157" s="59"/>
      <c r="AL157" s="59"/>
      <c r="AM157" s="59"/>
      <c r="AR157" s="149"/>
      <c r="AT157" s="683" t="str">
        <f>R157</f>
        <v>水素</v>
      </c>
      <c r="AU157" s="684">
        <f>X157</f>
        <v>49.852819395117479</v>
      </c>
      <c r="AV157" s="684">
        <f>X161</f>
        <v>49.852819395117479</v>
      </c>
      <c r="AW157" s="684">
        <f>X165</f>
        <v>0</v>
      </c>
      <c r="AX157" s="684">
        <f>X169</f>
        <v>49.852819395117479</v>
      </c>
      <c r="AY157" s="684">
        <f>X176</f>
        <v>49.852819395117479</v>
      </c>
    </row>
    <row r="158" spans="1:51">
      <c r="A158" s="149"/>
      <c r="B158" s="149"/>
      <c r="C158" s="149"/>
      <c r="D158" s="143"/>
      <c r="E158" s="143"/>
      <c r="F158" s="143"/>
      <c r="G158" s="143"/>
      <c r="H158" s="143"/>
      <c r="I158" s="385"/>
      <c r="J158" s="385"/>
      <c r="K158" s="385"/>
      <c r="L158" s="220"/>
      <c r="M158" s="149"/>
      <c r="N158" s="320"/>
      <c r="O158" s="149"/>
      <c r="P158" s="149"/>
      <c r="Q158" s="78" t="s">
        <v>7453</v>
      </c>
      <c r="R158" s="68" t="str">
        <f>$Q$139</f>
        <v/>
      </c>
      <c r="S158" s="690">
        <f>IFERROR(S$156*$X$139/($D$9+$X$139+$X$143+$X$147),"")</f>
        <v>0</v>
      </c>
      <c r="T158" s="690">
        <f>IFERROR(T$156*$X$139/($D$9+$X$139+$X$143+$X$147),"")</f>
        <v>0</v>
      </c>
      <c r="U158" s="690">
        <f>IFERROR(U$156*$X$139/($D$9+$X$139+$X$143+$X$147),"")</f>
        <v>0</v>
      </c>
      <c r="V158" s="690">
        <f>IFERROR(V$156*$X$139/($D$9+$X$139+$X$143+$X$147),"")</f>
        <v>0</v>
      </c>
      <c r="W158" s="690">
        <f>IFERROR(W$156*$X$139/($D$9+$X$139+$X$143+$X$147),"")</f>
        <v>0</v>
      </c>
      <c r="X158" s="724">
        <f t="shared" si="96"/>
        <v>0</v>
      </c>
      <c r="Y158" s="240"/>
      <c r="Z158" s="231"/>
      <c r="AA158" s="231"/>
      <c r="AB158" s="231"/>
      <c r="AC158" s="231"/>
      <c r="AD158" s="153"/>
      <c r="AE158" s="153"/>
      <c r="AF158" s="153"/>
      <c r="AG158" s="255" t="s">
        <v>7453</v>
      </c>
      <c r="AH158" s="252" t="str">
        <f>$Q$143</f>
        <v/>
      </c>
      <c r="AI158" s="253" t="str">
        <f t="shared" si="95"/>
        <v>重量配分</v>
      </c>
      <c r="AJ158" s="254">
        <f>$X$143/($D$9+$X$139+$X$143+$X$147)</f>
        <v>0</v>
      </c>
      <c r="AK158" s="59"/>
      <c r="AL158" s="59"/>
      <c r="AM158" s="59"/>
      <c r="AR158" s="149"/>
      <c r="AT158" s="683" t="str">
        <f>R158</f>
        <v/>
      </c>
      <c r="AU158" s="684">
        <f>X158</f>
        <v>0</v>
      </c>
      <c r="AV158" s="684">
        <f>X162</f>
        <v>0</v>
      </c>
      <c r="AW158" s="684">
        <f>X166</f>
        <v>0</v>
      </c>
      <c r="AX158" s="684">
        <f>X170</f>
        <v>0</v>
      </c>
      <c r="AY158" s="684">
        <f>X173</f>
        <v>0</v>
      </c>
    </row>
    <row r="159" spans="1:51">
      <c r="A159" s="149"/>
      <c r="B159" s="149"/>
      <c r="C159" s="149"/>
      <c r="D159" s="143"/>
      <c r="E159" s="143"/>
      <c r="F159" s="143"/>
      <c r="G159" s="143"/>
      <c r="H159" s="143"/>
      <c r="I159" s="385"/>
      <c r="J159" s="385"/>
      <c r="K159" s="385"/>
      <c r="L159" s="220"/>
      <c r="M159" s="149"/>
      <c r="N159" s="320"/>
      <c r="O159" s="149"/>
      <c r="P159" s="149"/>
      <c r="Q159" s="79" t="s">
        <v>7453</v>
      </c>
      <c r="R159" s="68" t="str">
        <f>$Q$143</f>
        <v/>
      </c>
      <c r="S159" s="690">
        <f>IFERROR(S$156*$X$143/($D$9+$X$139+$X$143+$X$147),"")</f>
        <v>0</v>
      </c>
      <c r="T159" s="690">
        <f>IFERROR(T$156*$X$143/($D$9+$X$139+$X$143+$X$147),"")</f>
        <v>0</v>
      </c>
      <c r="U159" s="690">
        <f>IFERROR(U$156*$X$143/($D$9+$X$139+$X$143+$X$147),"")</f>
        <v>0</v>
      </c>
      <c r="V159" s="690">
        <f>IFERROR(V$156*$X$143/($D$9+$X$139+$X$143+$X$147),"")</f>
        <v>0</v>
      </c>
      <c r="W159" s="690">
        <f>IFERROR(W$156*$X$143/($D$9+$X$139+$X$143+$X$147),"")</f>
        <v>0</v>
      </c>
      <c r="X159" s="724">
        <f t="shared" si="96"/>
        <v>0</v>
      </c>
      <c r="Y159" s="240"/>
      <c r="Z159" s="231"/>
      <c r="AA159" s="231"/>
      <c r="AB159" s="231"/>
      <c r="AC159" s="231"/>
      <c r="AD159" s="153"/>
      <c r="AE159" s="153"/>
      <c r="AF159" s="153"/>
      <c r="AG159" s="256" t="s">
        <v>7453</v>
      </c>
      <c r="AH159" s="252" t="s">
        <v>145</v>
      </c>
      <c r="AI159" s="253" t="str">
        <f t="shared" si="95"/>
        <v>重量配分水素</v>
      </c>
      <c r="AJ159" s="254">
        <f>$D$9/($D$9+$X$139+$X$143+$X$147)</f>
        <v>1</v>
      </c>
      <c r="AK159" s="59"/>
      <c r="AL159" s="59"/>
      <c r="AM159" s="59"/>
      <c r="AR159" s="149"/>
      <c r="AT159" s="683" t="str">
        <f>R159</f>
        <v/>
      </c>
      <c r="AU159" s="684">
        <f>X159</f>
        <v>0</v>
      </c>
      <c r="AV159" s="684">
        <f>X163</f>
        <v>0</v>
      </c>
      <c r="AW159" s="684">
        <f>X167</f>
        <v>0</v>
      </c>
      <c r="AX159" s="684">
        <f>X171</f>
        <v>0</v>
      </c>
      <c r="AY159" s="684">
        <f>X174</f>
        <v>0</v>
      </c>
    </row>
    <row r="160" spans="1:51">
      <c r="A160" s="149"/>
      <c r="B160" s="149"/>
      <c r="C160" s="149"/>
      <c r="D160" s="143"/>
      <c r="E160" s="143"/>
      <c r="F160" s="143"/>
      <c r="G160" s="143"/>
      <c r="H160" s="143"/>
      <c r="I160" s="385"/>
      <c r="J160" s="385"/>
      <c r="K160" s="385"/>
      <c r="L160" s="220"/>
      <c r="M160" s="149"/>
      <c r="N160" s="320"/>
      <c r="O160" s="149"/>
      <c r="P160" s="149"/>
      <c r="Q160" s="80" t="s">
        <v>7453</v>
      </c>
      <c r="R160" s="68" t="str">
        <f>$Q$147</f>
        <v/>
      </c>
      <c r="S160" s="690">
        <f>IFERROR(S$156*$X$147/($D$9+$X$139+$X$143+$X$147),"")</f>
        <v>0</v>
      </c>
      <c r="T160" s="690">
        <f>IFERROR(T$156*$X$147/($D$9+$X$139+$X$143+$X$147),"")</f>
        <v>0</v>
      </c>
      <c r="U160" s="690">
        <f>IFERROR(U$156*$X$147/($D$9+$X$139+$X$143+$X$147),"")</f>
        <v>0</v>
      </c>
      <c r="V160" s="690">
        <f>IFERROR(V$156*$X$147/($D$9+$X$139+$X$143+$X$147),"")</f>
        <v>0</v>
      </c>
      <c r="W160" s="690">
        <f>IFERROR(W$156*$X$147/($D$9+$X$139+$X$143+$X$147),"")</f>
        <v>0</v>
      </c>
      <c r="X160" s="724">
        <f t="shared" si="96"/>
        <v>0</v>
      </c>
      <c r="Y160" s="240"/>
      <c r="Z160" s="231"/>
      <c r="AA160" s="231"/>
      <c r="AB160" s="231"/>
      <c r="AC160" s="231"/>
      <c r="AD160" s="153"/>
      <c r="AE160" s="153"/>
      <c r="AF160" s="153"/>
      <c r="AG160" s="251" t="s">
        <v>7455</v>
      </c>
      <c r="AH160" s="252" t="str">
        <f>$Q$139</f>
        <v/>
      </c>
      <c r="AI160" s="253" t="str">
        <f t="shared" ref="AI160:AI163" si="97">AG160&amp;AH160</f>
        <v>熱量配分</v>
      </c>
      <c r="AJ160" s="254">
        <f>$X$140/($D$10+$X$140+$X$144+$X$148)</f>
        <v>0</v>
      </c>
      <c r="AK160" s="59"/>
      <c r="AL160" s="59"/>
      <c r="AM160" s="59"/>
      <c r="AR160" s="149"/>
      <c r="AT160" s="683" t="str">
        <f>R160</f>
        <v/>
      </c>
      <c r="AU160" s="684">
        <f>X160</f>
        <v>0</v>
      </c>
      <c r="AV160" s="684">
        <f>X164</f>
        <v>0</v>
      </c>
      <c r="AW160" s="684">
        <f>X168</f>
        <v>0</v>
      </c>
      <c r="AX160" s="684">
        <f>X172</f>
        <v>0</v>
      </c>
      <c r="AY160" s="684">
        <f>X175</f>
        <v>0</v>
      </c>
    </row>
    <row r="161" spans="1:51">
      <c r="A161" s="149"/>
      <c r="B161" s="149"/>
      <c r="C161" s="149"/>
      <c r="D161" s="143"/>
      <c r="E161" s="143"/>
      <c r="F161" s="143"/>
      <c r="G161" s="143"/>
      <c r="H161" s="143"/>
      <c r="I161" s="385"/>
      <c r="J161" s="385"/>
      <c r="K161" s="385"/>
      <c r="L161" s="220"/>
      <c r="M161" s="149"/>
      <c r="N161" s="320"/>
      <c r="O161" s="149"/>
      <c r="P161" s="149"/>
      <c r="Q161" s="77" t="s">
        <v>7455</v>
      </c>
      <c r="R161" s="76" t="s">
        <v>145</v>
      </c>
      <c r="S161" s="690">
        <f>IFERROR(S$156*$D$10/($D$10+$X$140+$X$144+$X$148),"")</f>
        <v>49.852819395117479</v>
      </c>
      <c r="T161" s="690">
        <f>IFERROR(T$156*$D$10/($D$10+$X$140+$X$144+$X$148),"")</f>
        <v>0</v>
      </c>
      <c r="U161" s="690">
        <f>IFERROR(U$156*$D$10/($D$10+$X$140+$X$144+$X$148),"")</f>
        <v>0</v>
      </c>
      <c r="V161" s="690">
        <f>IFERROR(V$156*$D$10/($D$10+$X$140+$X$144+$X$148),"")</f>
        <v>0</v>
      </c>
      <c r="W161" s="690">
        <f>IFERROR(W$156*$D$10/($D$10+$X$140+$X$144+$X$148),"")</f>
        <v>0</v>
      </c>
      <c r="X161" s="724">
        <f t="shared" si="96"/>
        <v>49.852819395117479</v>
      </c>
      <c r="Y161" s="240"/>
      <c r="Z161" s="231"/>
      <c r="AA161" s="231"/>
      <c r="AB161" s="231"/>
      <c r="AC161" s="231"/>
      <c r="AD161" s="153"/>
      <c r="AE161" s="153"/>
      <c r="AF161" s="153"/>
      <c r="AG161" s="255" t="s">
        <v>7455</v>
      </c>
      <c r="AH161" s="252" t="str">
        <f>$Q$147</f>
        <v/>
      </c>
      <c r="AI161" s="253" t="str">
        <f t="shared" si="97"/>
        <v>熱量配分</v>
      </c>
      <c r="AJ161" s="254">
        <f>$X$148/($D$10+$X$140+$X$144+$X$148)</f>
        <v>0</v>
      </c>
      <c r="AK161" s="59"/>
      <c r="AL161" s="59"/>
      <c r="AM161" s="59"/>
      <c r="AR161" s="149"/>
      <c r="AT161" s="683"/>
      <c r="AU161" s="683"/>
      <c r="AV161" s="683"/>
      <c r="AW161" s="683"/>
      <c r="AX161" s="683"/>
      <c r="AY161" s="683"/>
    </row>
    <row r="162" spans="1:51">
      <c r="A162" s="149"/>
      <c r="B162" s="149"/>
      <c r="C162" s="149"/>
      <c r="D162" s="143"/>
      <c r="E162" s="143"/>
      <c r="F162" s="143"/>
      <c r="G162" s="143"/>
      <c r="H162" s="143"/>
      <c r="I162" s="385"/>
      <c r="J162" s="385"/>
      <c r="K162" s="385"/>
      <c r="L162" s="220"/>
      <c r="M162" s="149"/>
      <c r="N162" s="320"/>
      <c r="O162" s="149"/>
      <c r="P162" s="149"/>
      <c r="Q162" s="79" t="s">
        <v>7455</v>
      </c>
      <c r="R162" s="68" t="str">
        <f>Q139</f>
        <v/>
      </c>
      <c r="S162" s="690">
        <f>IFERROR(S$156*$X$140/($D$10+$X$140+$X$144+$X$148),"")</f>
        <v>0</v>
      </c>
      <c r="T162" s="690">
        <f>IFERROR(T$156*$X$140/($D$10+$X$140+$X$144+$X$148),"")</f>
        <v>0</v>
      </c>
      <c r="U162" s="690">
        <f>IFERROR(U$156*$X$140/($D$10+$X$140+$X$144+$X$148),"")</f>
        <v>0</v>
      </c>
      <c r="V162" s="690">
        <f>IFERROR(V$156*$X$140/($D$10+$X$140+$X$144+$X$148),"")</f>
        <v>0</v>
      </c>
      <c r="W162" s="690">
        <f>IFERROR(W$156*$X$140/($D$10+$X$140+$X$144+$X$148),"")</f>
        <v>0</v>
      </c>
      <c r="X162" s="724">
        <f t="shared" si="96"/>
        <v>0</v>
      </c>
      <c r="Y162" s="240"/>
      <c r="Z162" s="231"/>
      <c r="AA162" s="231"/>
      <c r="AB162" s="231"/>
      <c r="AC162" s="231"/>
      <c r="AD162" s="153"/>
      <c r="AE162" s="153"/>
      <c r="AF162" s="153"/>
      <c r="AG162" s="255" t="s">
        <v>7455</v>
      </c>
      <c r="AH162" s="252" t="str">
        <f>$Q$143</f>
        <v/>
      </c>
      <c r="AI162" s="253" t="str">
        <f t="shared" si="97"/>
        <v>熱量配分</v>
      </c>
      <c r="AJ162" s="254">
        <f>$X$144/($D$10+$X$140+$X$144+$X$148)</f>
        <v>0</v>
      </c>
      <c r="AK162" s="59"/>
      <c r="AL162" s="59"/>
      <c r="AM162" s="59"/>
      <c r="AR162" s="149"/>
      <c r="AT162" s="683"/>
      <c r="AU162" s="683" t="str">
        <f>AU156</f>
        <v>重量配分</v>
      </c>
      <c r="AV162" s="683" t="str">
        <f>AV156</f>
        <v>熱量配分</v>
      </c>
      <c r="AW162" s="683" t="str">
        <f>AW156</f>
        <v>金額配分</v>
      </c>
      <c r="AX162" s="683" t="str">
        <f>AX156</f>
        <v>体積配分</v>
      </c>
      <c r="AY162" s="683" t="str">
        <f>AY156</f>
        <v>代替</v>
      </c>
    </row>
    <row r="163" spans="1:51">
      <c r="A163" s="149"/>
      <c r="B163" s="149"/>
      <c r="C163" s="149"/>
      <c r="D163" s="143"/>
      <c r="E163" s="143"/>
      <c r="F163" s="143"/>
      <c r="G163" s="143"/>
      <c r="H163" s="143"/>
      <c r="I163" s="385"/>
      <c r="J163" s="385"/>
      <c r="K163" s="385"/>
      <c r="L163" s="220"/>
      <c r="M163" s="149"/>
      <c r="N163" s="320"/>
      <c r="O163" s="149"/>
      <c r="P163" s="149"/>
      <c r="Q163" s="79" t="s">
        <v>7455</v>
      </c>
      <c r="R163" s="68" t="str">
        <f>Q143</f>
        <v/>
      </c>
      <c r="S163" s="690">
        <f>IFERROR(S$156*$X$144/($D$10+$X$140+$X$144+$X$148),"")</f>
        <v>0</v>
      </c>
      <c r="T163" s="690">
        <f>IFERROR(T$156*$X$144/($D$10+$X$140+$X$144+$X$148),"")</f>
        <v>0</v>
      </c>
      <c r="U163" s="690">
        <f>IFERROR(U$156*$X$144/($D$10+$X$140+$X$144+$X$148),"")</f>
        <v>0</v>
      </c>
      <c r="V163" s="690">
        <f>IFERROR(V$156*$X$144/($D$10+$X$140+$X$144+$X$148),"")</f>
        <v>0</v>
      </c>
      <c r="W163" s="690">
        <f>IFERROR(W$156*$X$144/($D$10+$X$140+$X$144+$X$148),"")</f>
        <v>0</v>
      </c>
      <c r="X163" s="724">
        <f t="shared" si="96"/>
        <v>0</v>
      </c>
      <c r="Y163" s="240"/>
      <c r="Z163" s="231"/>
      <c r="AA163" s="231"/>
      <c r="AB163" s="231"/>
      <c r="AC163" s="231"/>
      <c r="AD163" s="153"/>
      <c r="AE163" s="153"/>
      <c r="AF163" s="153"/>
      <c r="AG163" s="256" t="s">
        <v>7455</v>
      </c>
      <c r="AH163" s="252" t="s">
        <v>145</v>
      </c>
      <c r="AI163" s="253" t="str">
        <f t="shared" si="97"/>
        <v>熱量配分水素</v>
      </c>
      <c r="AJ163" s="254">
        <f>$D$10/($D$10+$X$140+$X$144+$X$148)</f>
        <v>1</v>
      </c>
      <c r="AK163" s="59"/>
      <c r="AL163" s="59"/>
      <c r="AM163" s="59"/>
      <c r="AR163" s="149"/>
      <c r="AT163" s="683" t="str">
        <f>AT157</f>
        <v>水素</v>
      </c>
      <c r="AU163" s="684">
        <f t="shared" ref="AU163:AY166" si="98">AU157/$D$6</f>
        <v>0.49852819395117476</v>
      </c>
      <c r="AV163" s="684">
        <f t="shared" si="98"/>
        <v>0.49852819395117476</v>
      </c>
      <c r="AW163" s="684">
        <f t="shared" si="98"/>
        <v>0</v>
      </c>
      <c r="AX163" s="684">
        <f t="shared" si="98"/>
        <v>0.49852819395117476</v>
      </c>
      <c r="AY163" s="684">
        <f t="shared" si="98"/>
        <v>0.49852819395117476</v>
      </c>
    </row>
    <row r="164" spans="1:51">
      <c r="A164" s="149"/>
      <c r="B164" s="149"/>
      <c r="C164" s="149"/>
      <c r="D164" s="143"/>
      <c r="E164" s="143"/>
      <c r="F164" s="143"/>
      <c r="G164" s="143"/>
      <c r="H164" s="143"/>
      <c r="I164" s="385"/>
      <c r="J164" s="385"/>
      <c r="K164" s="385"/>
      <c r="L164" s="220"/>
      <c r="M164" s="149"/>
      <c r="N164" s="320"/>
      <c r="O164" s="149"/>
      <c r="P164" s="149"/>
      <c r="Q164" s="80" t="s">
        <v>7455</v>
      </c>
      <c r="R164" s="68" t="str">
        <f>Q147</f>
        <v/>
      </c>
      <c r="S164" s="690">
        <f>IFERROR(S$156*$X$148/($D$10+$X$140+$X$144+$X$148),"")</f>
        <v>0</v>
      </c>
      <c r="T164" s="690">
        <f>IFERROR(T$156*$X$148/($D$10+$X$140+$X$144+$X$148),"")</f>
        <v>0</v>
      </c>
      <c r="U164" s="690">
        <f>IFERROR(U$156*$X$148/($D$10+$X$140+$X$144+$X$148),"")</f>
        <v>0</v>
      </c>
      <c r="V164" s="690">
        <f>IFERROR(V$156*$X$148/($D$10+$X$140+$X$144+$X$148),"")</f>
        <v>0</v>
      </c>
      <c r="W164" s="690">
        <f>IFERROR(W$156*$X$148/($D$10+$X$140+$X$144+$X$148),"")</f>
        <v>0</v>
      </c>
      <c r="X164" s="724">
        <f t="shared" si="96"/>
        <v>0</v>
      </c>
      <c r="Y164" s="240"/>
      <c r="Z164" s="231"/>
      <c r="AA164" s="231"/>
      <c r="AB164" s="231"/>
      <c r="AC164" s="231"/>
      <c r="AD164" s="153"/>
      <c r="AE164" s="153"/>
      <c r="AF164" s="153"/>
      <c r="AG164" s="251" t="s">
        <v>7466</v>
      </c>
      <c r="AH164" s="252" t="str">
        <f>$Q$139</f>
        <v/>
      </c>
      <c r="AI164" s="253" t="str">
        <f t="shared" si="95"/>
        <v>体積配分</v>
      </c>
      <c r="AJ164" s="254">
        <f>$X$142/($D$11+$X$142+$X$146+$X$150)</f>
        <v>0</v>
      </c>
      <c r="AK164" s="59"/>
      <c r="AL164" s="59"/>
      <c r="AM164" s="59"/>
      <c r="AR164" s="149"/>
      <c r="AT164" s="683" t="str">
        <f>AT158</f>
        <v/>
      </c>
      <c r="AU164" s="684">
        <f t="shared" si="98"/>
        <v>0</v>
      </c>
      <c r="AV164" s="684">
        <f t="shared" si="98"/>
        <v>0</v>
      </c>
      <c r="AW164" s="684">
        <f t="shared" si="98"/>
        <v>0</v>
      </c>
      <c r="AX164" s="684">
        <f t="shared" si="98"/>
        <v>0</v>
      </c>
      <c r="AY164" s="684">
        <f t="shared" si="98"/>
        <v>0</v>
      </c>
    </row>
    <row r="165" spans="1:51">
      <c r="A165" s="149"/>
      <c r="B165" s="149"/>
      <c r="C165" s="149"/>
      <c r="D165" s="143"/>
      <c r="E165" s="143"/>
      <c r="F165" s="143"/>
      <c r="G165" s="143"/>
      <c r="H165" s="143"/>
      <c r="I165" s="385"/>
      <c r="J165" s="385"/>
      <c r="K165" s="385"/>
      <c r="L165" s="220"/>
      <c r="M165" s="149"/>
      <c r="N165" s="320"/>
      <c r="O165" s="149"/>
      <c r="P165" s="193"/>
      <c r="Q165" s="77" t="s">
        <v>7454</v>
      </c>
      <c r="R165" s="76" t="s">
        <v>145</v>
      </c>
      <c r="S165" s="690" t="str">
        <f>IFERROR(S$156*$J$144/($J$144+$X$141+$X$145+$X$149),"")</f>
        <v/>
      </c>
      <c r="T165" s="690" t="str">
        <f>IFERROR(T$156*$J$144/($J$144+$X$141+$X$145+$X$149),"")</f>
        <v/>
      </c>
      <c r="U165" s="690" t="str">
        <f>IFERROR(U$156*$J$144/($J$144+$X$141+$X$145+$X$149),"")</f>
        <v/>
      </c>
      <c r="V165" s="690" t="str">
        <f>IFERROR(V$156*$J$144/($J$144+$X$141+$X$145+$X$149),"")</f>
        <v/>
      </c>
      <c r="W165" s="690" t="str">
        <f>IFERROR(W$156*$J$144/($J$144+$X$141+$X$145+$X$149),"")</f>
        <v/>
      </c>
      <c r="X165" s="724">
        <f t="shared" si="96"/>
        <v>0</v>
      </c>
      <c r="Y165" s="240"/>
      <c r="Z165" s="231"/>
      <c r="AA165" s="231"/>
      <c r="AB165" s="231"/>
      <c r="AC165" s="231"/>
      <c r="AD165" s="153"/>
      <c r="AE165" s="153"/>
      <c r="AF165" s="153"/>
      <c r="AG165" s="251" t="s">
        <v>7466</v>
      </c>
      <c r="AH165" s="252" t="str">
        <f>$Q$147</f>
        <v/>
      </c>
      <c r="AI165" s="253" t="str">
        <f t="shared" si="95"/>
        <v>体積配分</v>
      </c>
      <c r="AJ165" s="254">
        <f>$X$150/($D$11+$X$142+$X$146+$X$150)</f>
        <v>0</v>
      </c>
      <c r="AK165" s="59"/>
      <c r="AL165" s="59"/>
      <c r="AM165" s="59"/>
      <c r="AR165" s="149"/>
      <c r="AT165" s="683" t="str">
        <f>AT159</f>
        <v/>
      </c>
      <c r="AU165" s="684">
        <f t="shared" si="98"/>
        <v>0</v>
      </c>
      <c r="AV165" s="684">
        <f t="shared" si="98"/>
        <v>0</v>
      </c>
      <c r="AW165" s="684">
        <f t="shared" si="98"/>
        <v>0</v>
      </c>
      <c r="AX165" s="684">
        <f t="shared" si="98"/>
        <v>0</v>
      </c>
      <c r="AY165" s="684">
        <f t="shared" si="98"/>
        <v>0</v>
      </c>
    </row>
    <row r="166" spans="1:51" ht="14.25" customHeight="1">
      <c r="A166" s="149"/>
      <c r="B166" s="149"/>
      <c r="C166" s="149"/>
      <c r="D166" s="143"/>
      <c r="E166" s="143"/>
      <c r="F166" s="385"/>
      <c r="G166" s="385"/>
      <c r="H166" s="385"/>
      <c r="I166" s="385"/>
      <c r="J166" s="385"/>
      <c r="K166" s="385"/>
      <c r="L166" s="220"/>
      <c r="M166" s="149"/>
      <c r="N166" s="320"/>
      <c r="O166" s="149"/>
      <c r="P166" s="193"/>
      <c r="Q166" s="79" t="s">
        <v>7454</v>
      </c>
      <c r="R166" s="68" t="str">
        <f>Q139</f>
        <v/>
      </c>
      <c r="S166" s="690" t="str">
        <f>IFERROR(S$156*$X$141/($J$144+$X$141+$X$145+$X$149),"")</f>
        <v/>
      </c>
      <c r="T166" s="690" t="str">
        <f>IFERROR(T$156*$X$141/($J$144+$X$141+$X$145+$X$149),"")</f>
        <v/>
      </c>
      <c r="U166" s="690" t="str">
        <f>IFERROR(U$156*$X$141/($J$144+$X$141+$X$145+$X$149),"")</f>
        <v/>
      </c>
      <c r="V166" s="690" t="str">
        <f>IFERROR(V$156*$X$141/($J$144+$X$141+$X$145+$X$149),"")</f>
        <v/>
      </c>
      <c r="W166" s="690" t="str">
        <f>IFERROR(W$156*$X$141/($J$144+$X$141+$X$145+$X$149),"")</f>
        <v/>
      </c>
      <c r="X166" s="724">
        <f t="shared" si="96"/>
        <v>0</v>
      </c>
      <c r="Y166" s="240"/>
      <c r="Z166" s="231"/>
      <c r="AA166" s="231"/>
      <c r="AB166" s="231"/>
      <c r="AC166" s="231"/>
      <c r="AD166" s="153"/>
      <c r="AE166" s="153"/>
      <c r="AF166" s="153"/>
      <c r="AG166" s="251" t="s">
        <v>7466</v>
      </c>
      <c r="AH166" s="252" t="str">
        <f>$Q$143</f>
        <v/>
      </c>
      <c r="AI166" s="253" t="str">
        <f t="shared" si="95"/>
        <v>体積配分</v>
      </c>
      <c r="AJ166" s="254">
        <f>$X$146/($D$11+$X$142+$X$146+$X$150)</f>
        <v>0</v>
      </c>
      <c r="AK166" s="59"/>
      <c r="AL166" s="59"/>
      <c r="AM166" s="59"/>
      <c r="AR166" s="149"/>
      <c r="AT166" s="683" t="str">
        <f>AT160</f>
        <v/>
      </c>
      <c r="AU166" s="684">
        <f t="shared" si="98"/>
        <v>0</v>
      </c>
      <c r="AV166" s="684">
        <f t="shared" si="98"/>
        <v>0</v>
      </c>
      <c r="AW166" s="684">
        <f t="shared" si="98"/>
        <v>0</v>
      </c>
      <c r="AX166" s="684">
        <f t="shared" si="98"/>
        <v>0</v>
      </c>
      <c r="AY166" s="684">
        <f t="shared" si="98"/>
        <v>0</v>
      </c>
    </row>
    <row r="167" spans="1:51">
      <c r="A167" s="149"/>
      <c r="B167" s="149"/>
      <c r="C167" s="149"/>
      <c r="D167" s="143"/>
      <c r="E167" s="143"/>
      <c r="F167" s="385"/>
      <c r="G167" s="385"/>
      <c r="H167" s="385"/>
      <c r="I167" s="385"/>
      <c r="J167" s="385"/>
      <c r="K167" s="385"/>
      <c r="L167" s="220"/>
      <c r="M167" s="149"/>
      <c r="N167" s="320"/>
      <c r="O167" s="149"/>
      <c r="P167" s="193"/>
      <c r="Q167" s="79" t="s">
        <v>7454</v>
      </c>
      <c r="R167" s="68" t="str">
        <f>Q143</f>
        <v/>
      </c>
      <c r="S167" s="690" t="str">
        <f>IFERROR(S$156*$X$145/($J$144+$X$141+$X$145+$X$149),"")</f>
        <v/>
      </c>
      <c r="T167" s="690" t="str">
        <f>IFERROR(T$156*$X$145/($J$144+$X$141+$X$145+$X$149),"")</f>
        <v/>
      </c>
      <c r="U167" s="690" t="str">
        <f>IFERROR(U$156*$X$145/($J$144+$X$141+$X$145+$X$149),"")</f>
        <v/>
      </c>
      <c r="V167" s="690" t="str">
        <f>IFERROR(V$156*$X$145/($J$144+$X$141+$X$145+$X$149),"")</f>
        <v/>
      </c>
      <c r="W167" s="690" t="str">
        <f>IFERROR(W$156*$X$145/($J$144+$X$141+$X$145+$X$149),"")</f>
        <v/>
      </c>
      <c r="X167" s="724">
        <f t="shared" si="96"/>
        <v>0</v>
      </c>
      <c r="Y167" s="240"/>
      <c r="Z167" s="231"/>
      <c r="AA167" s="231"/>
      <c r="AB167" s="231"/>
      <c r="AC167" s="231"/>
      <c r="AD167" s="153"/>
      <c r="AE167" s="153"/>
      <c r="AF167" s="153"/>
      <c r="AG167" s="251" t="s">
        <v>7466</v>
      </c>
      <c r="AH167" s="252" t="s">
        <v>145</v>
      </c>
      <c r="AI167" s="253" t="str">
        <f t="shared" si="95"/>
        <v>体積配分水素</v>
      </c>
      <c r="AJ167" s="254">
        <f>$D$11/($D$11+$X$142+$X$146+$X$150)</f>
        <v>1</v>
      </c>
      <c r="AK167" s="59"/>
      <c r="AL167" s="59"/>
      <c r="AM167" s="59"/>
      <c r="AR167" s="149"/>
    </row>
    <row r="168" spans="1:51">
      <c r="A168" s="149"/>
      <c r="B168" s="149"/>
      <c r="C168" s="149"/>
      <c r="D168" s="143"/>
      <c r="E168" s="143"/>
      <c r="F168" s="385"/>
      <c r="G168" s="385"/>
      <c r="H168" s="385"/>
      <c r="I168" s="385"/>
      <c r="J168" s="385"/>
      <c r="K168" s="385"/>
      <c r="L168" s="220"/>
      <c r="M168" s="149"/>
      <c r="N168" s="320"/>
      <c r="O168" s="149"/>
      <c r="P168" s="193"/>
      <c r="Q168" s="79" t="s">
        <v>7454</v>
      </c>
      <c r="R168" s="68" t="str">
        <f>Q147</f>
        <v/>
      </c>
      <c r="S168" s="690" t="str">
        <f>IFERROR(S$156*$X$149/($J$144+$X$141+$X$145+$X$149),"")</f>
        <v/>
      </c>
      <c r="T168" s="690" t="str">
        <f>IFERROR(T$156*$X$149/($J$144+$X$141+$X$145+$X$149),"")</f>
        <v/>
      </c>
      <c r="U168" s="690" t="str">
        <f>IFERROR(U$156*$X$149/($J$144+$X$141+$X$145+$X$149),"")</f>
        <v/>
      </c>
      <c r="V168" s="690" t="str">
        <f>IFERROR(V$156*$X$149/($J$144+$X$141+$X$145+$X$149),"")</f>
        <v/>
      </c>
      <c r="W168" s="690" t="str">
        <f>IFERROR(W$156*$X$149/($J$144+$X$141+$X$145+$X$149),"")</f>
        <v/>
      </c>
      <c r="X168" s="724">
        <f t="shared" si="96"/>
        <v>0</v>
      </c>
      <c r="Y168" s="240"/>
      <c r="Z168" s="231"/>
      <c r="AA168" s="231"/>
      <c r="AB168" s="231"/>
      <c r="AC168" s="231"/>
      <c r="AD168" s="153"/>
      <c r="AE168" s="153"/>
      <c r="AF168" s="153"/>
      <c r="AK168" s="59"/>
      <c r="AL168" s="59"/>
      <c r="AM168" s="59"/>
      <c r="AR168" s="149"/>
    </row>
    <row r="169" spans="1:51">
      <c r="A169" s="149"/>
      <c r="B169" s="149"/>
      <c r="C169" s="149"/>
      <c r="D169" s="143"/>
      <c r="E169" s="143"/>
      <c r="F169" s="385"/>
      <c r="G169" s="385"/>
      <c r="H169" s="385"/>
      <c r="I169" s="385"/>
      <c r="J169" s="385"/>
      <c r="K169" s="385"/>
      <c r="L169" s="220"/>
      <c r="M169" s="149"/>
      <c r="N169" s="320"/>
      <c r="O169" s="149"/>
      <c r="Q169" s="67" t="s">
        <v>7465</v>
      </c>
      <c r="R169" s="76" t="s">
        <v>145</v>
      </c>
      <c r="S169" s="690">
        <f>IFERROR(S$156*$D$11/($D$11+$X$142+$X$146+$X$150),"")</f>
        <v>49.852819395117479</v>
      </c>
      <c r="T169" s="690">
        <f>IFERROR(T$156*$D$11/($D$11+$X$142+$X$146+$X$150),"")</f>
        <v>0</v>
      </c>
      <c r="U169" s="690">
        <f>IFERROR(U$156*$D$11/($D$11+$X$142+$X$146+$X$150),"")</f>
        <v>0</v>
      </c>
      <c r="V169" s="690">
        <f>IFERROR(V$156*$D$11/($D$11+$X$142+$X$146+$X$150),"")</f>
        <v>0</v>
      </c>
      <c r="W169" s="690">
        <f>IFERROR(W$156*$D$11/($D$11+$X$142+$X$146+$X$150),"")</f>
        <v>0</v>
      </c>
      <c r="X169" s="724">
        <f t="shared" si="96"/>
        <v>49.852819395117479</v>
      </c>
      <c r="Y169" s="240"/>
      <c r="Z169" s="231"/>
      <c r="AA169" s="231"/>
      <c r="AB169" s="231"/>
      <c r="AC169" s="231"/>
      <c r="AD169" s="153"/>
      <c r="AE169" s="153"/>
      <c r="AF169" s="153"/>
      <c r="AK169" s="59"/>
      <c r="AL169" s="59"/>
      <c r="AM169" s="59"/>
      <c r="AR169" s="149"/>
    </row>
    <row r="170" spans="1:51" s="149" customFormat="1">
      <c r="D170" s="143"/>
      <c r="E170" s="143"/>
      <c r="F170" s="385"/>
      <c r="G170" s="385"/>
      <c r="H170" s="385"/>
      <c r="I170" s="385"/>
      <c r="J170" s="385"/>
      <c r="K170" s="385"/>
      <c r="L170" s="220"/>
      <c r="N170" s="320"/>
      <c r="Q170" s="79" t="s">
        <v>7466</v>
      </c>
      <c r="R170" s="68" t="str">
        <f>Q139</f>
        <v/>
      </c>
      <c r="S170" s="690">
        <f>IFERROR(S$156*$X$142/($D$11+$X$142+$X$146+$X$150),"")</f>
        <v>0</v>
      </c>
      <c r="T170" s="690">
        <f>IFERROR(T$156*$X$142/($D$11+$X$142+$X$146+$X$150),"")</f>
        <v>0</v>
      </c>
      <c r="U170" s="690">
        <f>IFERROR(U$156*$X$142/($D$11+$X$142+$X$146+$X$150),"")</f>
        <v>0</v>
      </c>
      <c r="V170" s="690">
        <f>IFERROR(V$156*$X$142/($D$11+$X$142+$X$146+$X$150),"")</f>
        <v>0</v>
      </c>
      <c r="W170" s="690">
        <f>IFERROR(W$156*$X$142/($D$11+$X$142+$X$146+$X$150),"")</f>
        <v>0</v>
      </c>
      <c r="X170" s="724">
        <f t="shared" si="96"/>
        <v>0</v>
      </c>
      <c r="Y170" s="240"/>
      <c r="Z170" s="231"/>
      <c r="AA170" s="231"/>
      <c r="AB170" s="231"/>
      <c r="AC170" s="231"/>
      <c r="AD170" s="153"/>
      <c r="AE170" s="153"/>
      <c r="AF170" s="153"/>
      <c r="AG170" s="762" t="s">
        <v>7916</v>
      </c>
      <c r="AH170" s="763"/>
      <c r="AI170" s="763"/>
      <c r="AJ170" s="764">
        <f>IF($B$135="金額配分",AJ155,IF($B$135="重量配分",AJ159,IF($B$135="熱量配分",AJ163,IF($B$135="体積配分",AJ167,"NA"))))</f>
        <v>1</v>
      </c>
      <c r="AK170" s="59"/>
      <c r="AL170" s="59"/>
      <c r="AM170" s="59"/>
      <c r="AN170" s="59"/>
      <c r="AO170" s="59"/>
      <c r="AP170" s="59"/>
    </row>
    <row r="171" spans="1:51" s="149" customFormat="1">
      <c r="D171" s="143"/>
      <c r="E171" s="143"/>
      <c r="F171" s="385"/>
      <c r="G171" s="385"/>
      <c r="H171" s="385"/>
      <c r="I171" s="385"/>
      <c r="J171" s="143"/>
      <c r="K171" s="143"/>
      <c r="N171" s="320"/>
      <c r="Q171" s="79" t="s">
        <v>7466</v>
      </c>
      <c r="R171" s="68" t="str">
        <f>Q143</f>
        <v/>
      </c>
      <c r="S171" s="690">
        <f>IFERROR(S$156*$X$146/($D$11+$X$142+$X$146+$X$150),"")</f>
        <v>0</v>
      </c>
      <c r="T171" s="690">
        <f>IFERROR(T$156*$X$146/($D$11+$X$142+$X$146+$X$150),"")</f>
        <v>0</v>
      </c>
      <c r="U171" s="690">
        <f>IFERROR(U$156*$X$146/($D$11+$X$142+$X$146+$X$150),"")</f>
        <v>0</v>
      </c>
      <c r="V171" s="690">
        <f>IFERROR(V$156*$X$146/($D$11+$X$142+$X$146+$X$150),"")</f>
        <v>0</v>
      </c>
      <c r="W171" s="690">
        <f>IFERROR(W$156*$X$146/($D$11+$X$142+$X$146+$X$150),"")</f>
        <v>0</v>
      </c>
      <c r="X171" s="724">
        <f t="shared" si="96"/>
        <v>0</v>
      </c>
      <c r="Y171" s="240"/>
      <c r="Z171" s="231"/>
      <c r="AA171" s="231"/>
      <c r="AB171" s="231"/>
      <c r="AC171" s="231"/>
      <c r="AD171" s="153"/>
      <c r="AE171" s="153"/>
      <c r="AF171" s="153"/>
      <c r="AJ171" s="333"/>
      <c r="AK171" s="59"/>
      <c r="AL171" s="153"/>
      <c r="AM171" s="153"/>
    </row>
    <row r="172" spans="1:51" s="149" customFormat="1">
      <c r="D172" s="143"/>
      <c r="E172" s="143"/>
      <c r="F172" s="385"/>
      <c r="G172" s="385"/>
      <c r="H172" s="385"/>
      <c r="I172" s="385"/>
      <c r="J172" s="143"/>
      <c r="K172" s="143"/>
      <c r="N172" s="320"/>
      <c r="Q172" s="80" t="s">
        <v>7466</v>
      </c>
      <c r="R172" s="68" t="str">
        <f>Q147</f>
        <v/>
      </c>
      <c r="S172" s="690">
        <f>IFERROR(S$156*$X$150/($D$11+$X$142+$X$146+$X$150),"")</f>
        <v>0</v>
      </c>
      <c r="T172" s="690">
        <f>IFERROR(T$156*$X$150/($D$11+$X$142+$X$146+$X$150),"")</f>
        <v>0</v>
      </c>
      <c r="U172" s="690">
        <f>IFERROR(U$156*$X$150/($D$11+$X$142+$X$146+$X$150),"")</f>
        <v>0</v>
      </c>
      <c r="V172" s="690">
        <f>IFERROR(V$156*$X$150/($D$11+$X$142+$X$146+$X$150),"")</f>
        <v>0</v>
      </c>
      <c r="W172" s="690">
        <f>IFERROR(W$156*$X$150/($D$11+$X$142+$X$146+$X$150),"")</f>
        <v>0</v>
      </c>
      <c r="X172" s="724">
        <f t="shared" si="96"/>
        <v>0</v>
      </c>
      <c r="Y172" s="240"/>
      <c r="Z172" s="231"/>
      <c r="AA172" s="231"/>
      <c r="AB172" s="231"/>
      <c r="AC172" s="231"/>
      <c r="AD172" s="153"/>
      <c r="AE172" s="153"/>
      <c r="AF172" s="153"/>
      <c r="AJ172" s="333"/>
      <c r="AK172" s="153"/>
      <c r="AL172" s="153"/>
      <c r="AM172" s="153"/>
    </row>
    <row r="173" spans="1:51">
      <c r="A173" s="149"/>
      <c r="B173" s="149"/>
      <c r="C173" s="149"/>
      <c r="D173" s="143"/>
      <c r="E173" s="143"/>
      <c r="F173" s="385"/>
      <c r="G173" s="385"/>
      <c r="H173" s="385"/>
      <c r="I173" s="385"/>
      <c r="J173" s="385"/>
      <c r="K173" s="385"/>
      <c r="L173" s="220"/>
      <c r="M173" s="149"/>
      <c r="N173" s="320"/>
      <c r="O173" s="149"/>
      <c r="P173" s="149"/>
      <c r="Q173" s="67" t="s">
        <v>5551</v>
      </c>
      <c r="R173" s="68" t="str">
        <f>Q139</f>
        <v/>
      </c>
      <c r="S173" s="690">
        <f t="shared" ref="S173:W175" si="99">0-F139*$N139*$O139</f>
        <v>0</v>
      </c>
      <c r="T173" s="690">
        <f t="shared" si="99"/>
        <v>0</v>
      </c>
      <c r="U173" s="690">
        <f t="shared" si="99"/>
        <v>0</v>
      </c>
      <c r="V173" s="690">
        <f t="shared" si="99"/>
        <v>0</v>
      </c>
      <c r="W173" s="690">
        <f t="shared" si="99"/>
        <v>0</v>
      </c>
      <c r="X173" s="724">
        <f t="shared" ref="X173:X175" si="100">SUM(S173:W173)</f>
        <v>0</v>
      </c>
      <c r="Y173" s="240"/>
      <c r="Z173" s="149"/>
      <c r="AA173" s="149"/>
      <c r="AB173" s="149"/>
      <c r="AC173" s="149"/>
      <c r="AD173" s="149"/>
      <c r="AE173" s="149"/>
      <c r="AF173" s="149"/>
      <c r="AG173" s="149"/>
      <c r="AH173" s="149"/>
      <c r="AI173" s="153"/>
      <c r="AJ173" s="535"/>
      <c r="AK173" s="153"/>
      <c r="AL173" s="153"/>
      <c r="AM173" s="153"/>
      <c r="AN173" s="149"/>
      <c r="AO173" s="149"/>
      <c r="AP173" s="149"/>
      <c r="AR173" s="149"/>
    </row>
    <row r="174" spans="1:51">
      <c r="A174" s="149"/>
      <c r="B174" s="149"/>
      <c r="C174" s="149"/>
      <c r="D174" s="149"/>
      <c r="E174" s="149"/>
      <c r="F174" s="220"/>
      <c r="G174" s="220"/>
      <c r="H174" s="220"/>
      <c r="I174" s="220"/>
      <c r="J174" s="220"/>
      <c r="K174" s="220"/>
      <c r="L174" s="220"/>
      <c r="M174" s="149"/>
      <c r="N174" s="325"/>
      <c r="O174" s="149"/>
      <c r="P174" s="149"/>
      <c r="Q174" s="79" t="s">
        <v>5551</v>
      </c>
      <c r="R174" s="68" t="str">
        <f>Q143</f>
        <v/>
      </c>
      <c r="S174" s="690">
        <f t="shared" si="99"/>
        <v>0</v>
      </c>
      <c r="T174" s="690">
        <f t="shared" si="99"/>
        <v>0</v>
      </c>
      <c r="U174" s="690">
        <f t="shared" si="99"/>
        <v>0</v>
      </c>
      <c r="V174" s="690">
        <f t="shared" si="99"/>
        <v>0</v>
      </c>
      <c r="W174" s="690">
        <f t="shared" si="99"/>
        <v>0</v>
      </c>
      <c r="X174" s="724">
        <f t="shared" si="100"/>
        <v>0</v>
      </c>
      <c r="Y174" s="240"/>
      <c r="Z174" s="149"/>
      <c r="AA174" s="149"/>
      <c r="AB174" s="149"/>
      <c r="AC174" s="149"/>
      <c r="AD174" s="149"/>
      <c r="AE174" s="149"/>
      <c r="AF174" s="149"/>
      <c r="AG174" s="149"/>
      <c r="AH174" s="149"/>
      <c r="AI174" s="153"/>
      <c r="AJ174" s="535"/>
      <c r="AK174" s="153"/>
      <c r="AR174" s="149"/>
    </row>
    <row r="175" spans="1:51">
      <c r="A175" s="149"/>
      <c r="B175" s="149"/>
      <c r="C175" s="149"/>
      <c r="D175" s="220"/>
      <c r="E175" s="149"/>
      <c r="F175" s="220"/>
      <c r="G175" s="220"/>
      <c r="H175" s="220"/>
      <c r="I175" s="220"/>
      <c r="J175" s="220"/>
      <c r="K175" s="149"/>
      <c r="L175" s="149"/>
      <c r="M175" s="149"/>
      <c r="N175" s="320"/>
      <c r="O175" s="149"/>
      <c r="P175" s="149"/>
      <c r="Q175" s="79" t="s">
        <v>5551</v>
      </c>
      <c r="R175" s="68" t="str">
        <f>Q147</f>
        <v/>
      </c>
      <c r="S175" s="690">
        <f t="shared" si="99"/>
        <v>0</v>
      </c>
      <c r="T175" s="690">
        <f t="shared" si="99"/>
        <v>0</v>
      </c>
      <c r="U175" s="690">
        <f t="shared" si="99"/>
        <v>0</v>
      </c>
      <c r="V175" s="690">
        <f t="shared" si="99"/>
        <v>0</v>
      </c>
      <c r="W175" s="690">
        <f t="shared" si="99"/>
        <v>0</v>
      </c>
      <c r="X175" s="724">
        <f t="shared" si="100"/>
        <v>0</v>
      </c>
      <c r="Y175" s="240"/>
      <c r="Z175" s="149"/>
      <c r="AA175" s="149"/>
      <c r="AB175" s="149"/>
      <c r="AC175" s="149"/>
      <c r="AD175" s="149"/>
      <c r="AE175" s="149"/>
      <c r="AF175" s="149"/>
      <c r="AG175" s="149"/>
      <c r="AH175" s="149"/>
      <c r="AI175" s="153"/>
      <c r="AJ175" s="535"/>
      <c r="AK175" s="153"/>
      <c r="AR175" s="149"/>
    </row>
    <row r="176" spans="1:51" ht="13.8" thickBot="1">
      <c r="A176" s="149"/>
      <c r="B176" s="149"/>
      <c r="C176" s="149"/>
      <c r="D176" s="220"/>
      <c r="E176" s="149"/>
      <c r="F176" s="220"/>
      <c r="G176" s="220"/>
      <c r="H176" s="220"/>
      <c r="I176" s="220"/>
      <c r="J176" s="220"/>
      <c r="K176" s="149"/>
      <c r="L176" s="149"/>
      <c r="M176" s="149"/>
      <c r="N176" s="320"/>
      <c r="O176" s="149"/>
      <c r="P176" s="149"/>
      <c r="Q176" s="80" t="s">
        <v>5551</v>
      </c>
      <c r="R176" s="76" t="s">
        <v>145</v>
      </c>
      <c r="S176" s="690">
        <f>SUM(S173:S175)+S156</f>
        <v>49.852819395117479</v>
      </c>
      <c r="T176" s="690">
        <f>SUM(T173:T175)+T156</f>
        <v>0</v>
      </c>
      <c r="U176" s="690">
        <f>SUM(U173:U175)+U156</f>
        <v>0</v>
      </c>
      <c r="V176" s="690">
        <f>SUM(V173:V175)+V156</f>
        <v>0</v>
      </c>
      <c r="W176" s="690">
        <f>SUM(W173:W175)+W156</f>
        <v>0</v>
      </c>
      <c r="X176" s="724">
        <f>SUM(S176:W176)</f>
        <v>49.852819395117479</v>
      </c>
      <c r="Y176" s="231"/>
      <c r="Z176" s="149"/>
      <c r="AA176" s="149"/>
      <c r="AB176" s="149"/>
      <c r="AC176" s="149"/>
      <c r="AD176" s="149"/>
      <c r="AE176" s="149"/>
      <c r="AF176" s="149"/>
      <c r="AG176" s="59"/>
      <c r="AH176" s="59"/>
      <c r="AJ176" s="535"/>
      <c r="AK176" s="153"/>
      <c r="AR176" s="149"/>
    </row>
    <row r="177" spans="1:44" ht="15.6" thickTop="1" thickBot="1">
      <c r="A177" s="149"/>
      <c r="B177" s="149"/>
      <c r="C177" s="149"/>
      <c r="D177" s="220"/>
      <c r="E177" s="1003" t="s">
        <v>7449</v>
      </c>
      <c r="F177" s="1004"/>
      <c r="G177" s="143"/>
      <c r="H177" s="143"/>
      <c r="I177" s="143"/>
      <c r="J177" s="143"/>
      <c r="K177" s="211"/>
      <c r="L177" s="220"/>
      <c r="M177" s="149"/>
      <c r="N177" s="320"/>
      <c r="O177" s="149"/>
      <c r="P177" s="149"/>
      <c r="Q177" s="244"/>
      <c r="R177" s="248"/>
      <c r="S177" s="245"/>
      <c r="T177" s="245"/>
      <c r="U177" s="245"/>
      <c r="V177" s="245"/>
      <c r="W177" s="245"/>
      <c r="X177" s="249"/>
      <c r="Y177" s="238"/>
      <c r="Z177" s="149"/>
      <c r="AA177" s="149"/>
      <c r="AB177" s="149"/>
      <c r="AC177" s="149"/>
      <c r="AD177" s="149"/>
      <c r="AE177" s="149"/>
      <c r="AF177" s="149"/>
      <c r="AG177" s="259" t="s">
        <v>2130</v>
      </c>
      <c r="AH177" s="260" t="s">
        <v>187</v>
      </c>
      <c r="AI177" s="259" t="s">
        <v>2130</v>
      </c>
      <c r="AJ177" s="542" t="str">
        <f>AG177&amp;AI177</f>
        <v>[kg][kg]</v>
      </c>
      <c r="AK177" s="230">
        <f>$F$194</f>
        <v>100</v>
      </c>
      <c r="AL177" s="243">
        <f>AK177*120</f>
        <v>12000</v>
      </c>
      <c r="AR177" s="149"/>
    </row>
    <row r="178" spans="1:44" ht="13.8" thickTop="1">
      <c r="A178" s="149"/>
      <c r="B178" s="149"/>
      <c r="C178" s="149"/>
      <c r="D178" s="220"/>
      <c r="E178" s="143"/>
      <c r="F178" s="143"/>
      <c r="G178" s="143"/>
      <c r="H178" s="143"/>
      <c r="I178" s="143"/>
      <c r="J178" s="143"/>
      <c r="K178" s="211"/>
      <c r="L178" s="220"/>
      <c r="M178" s="149"/>
      <c r="N178" s="320"/>
      <c r="O178" s="149"/>
      <c r="P178" s="149"/>
      <c r="Q178" s="67" t="s">
        <v>172</v>
      </c>
      <c r="R178" s="248"/>
      <c r="S178" s="245"/>
      <c r="T178" s="245"/>
      <c r="U178" s="245"/>
      <c r="V178" s="245"/>
      <c r="W178" s="245"/>
      <c r="X178" s="249"/>
      <c r="Y178" s="231"/>
      <c r="Z178" s="149"/>
      <c r="AA178" s="149"/>
      <c r="AB178" s="149"/>
      <c r="AC178" s="149"/>
      <c r="AD178" s="149"/>
      <c r="AE178" s="149"/>
      <c r="AF178" s="149"/>
      <c r="AG178" s="259" t="s">
        <v>2130</v>
      </c>
      <c r="AH178" s="260" t="s">
        <v>187</v>
      </c>
      <c r="AI178" s="261" t="s">
        <v>6998</v>
      </c>
      <c r="AJ178" s="542" t="str">
        <f t="shared" ref="AJ178:AJ188" si="101">AG178&amp;AI178</f>
        <v>[kg][MJ]</v>
      </c>
      <c r="AK178" s="262">
        <f>$F$194*共通データ!H29</f>
        <v>12000</v>
      </c>
      <c r="AR178" s="149"/>
    </row>
    <row r="179" spans="1:44">
      <c r="A179" s="149"/>
      <c r="B179" s="149"/>
      <c r="C179" s="149"/>
      <c r="D179" s="220"/>
      <c r="E179" s="966" t="s">
        <v>7665</v>
      </c>
      <c r="F179" s="966"/>
      <c r="G179" s="966"/>
      <c r="H179" s="966"/>
      <c r="I179" s="966"/>
      <c r="J179" s="966"/>
      <c r="K179" s="966"/>
      <c r="L179" s="220"/>
      <c r="M179" s="149"/>
      <c r="N179" s="320"/>
      <c r="O179" s="149"/>
      <c r="P179" s="149"/>
      <c r="Q179" s="487" t="str">
        <f>B135</f>
        <v>熱量配分</v>
      </c>
      <c r="R179" s="248"/>
      <c r="S179" s="245"/>
      <c r="T179" s="245"/>
      <c r="U179" s="245"/>
      <c r="V179" s="245"/>
      <c r="W179" s="245"/>
      <c r="X179" s="249"/>
      <c r="Y179" s="231"/>
      <c r="Z179" s="149"/>
      <c r="AA179" s="149"/>
      <c r="AB179" s="149"/>
      <c r="AC179" s="149"/>
      <c r="AD179" s="149"/>
      <c r="AE179" s="149"/>
      <c r="AF179" s="149"/>
      <c r="AG179" s="259" t="s">
        <v>2130</v>
      </c>
      <c r="AH179" s="260" t="s">
        <v>187</v>
      </c>
      <c r="AI179" s="261" t="s">
        <v>6996</v>
      </c>
      <c r="AJ179" s="542" t="str">
        <f t="shared" si="101"/>
        <v>[kg][Nm3]</v>
      </c>
      <c r="AK179" s="262">
        <f>$F$194/(製品単位換算2!$E$876*共通データ!$E$29/共通データ!$F$29)</f>
        <v>1318.3372471470359</v>
      </c>
      <c r="AR179" s="149"/>
    </row>
    <row r="180" spans="1:44">
      <c r="A180" s="149"/>
      <c r="B180" s="149"/>
      <c r="C180" s="149"/>
      <c r="D180" s="220"/>
      <c r="E180" s="149"/>
      <c r="F180" s="149"/>
      <c r="G180" s="149"/>
      <c r="H180" s="149"/>
      <c r="I180" s="149"/>
      <c r="J180" s="220"/>
      <c r="K180" s="510" t="s">
        <v>7681</v>
      </c>
      <c r="M180" s="149"/>
      <c r="N180" s="320"/>
      <c r="O180" s="149"/>
      <c r="P180" s="149"/>
      <c r="Q180" s="250" t="s">
        <v>6990</v>
      </c>
      <c r="R180" s="149"/>
      <c r="S180" s="220"/>
      <c r="T180" s="220"/>
      <c r="U180" s="220"/>
      <c r="V180" s="220"/>
      <c r="W180" s="220"/>
      <c r="X180" s="220"/>
      <c r="Y180" s="231"/>
      <c r="Z180" s="149"/>
      <c r="AA180" s="149"/>
      <c r="AB180" s="149"/>
      <c r="AC180" s="149"/>
      <c r="AD180" s="149"/>
      <c r="AE180" s="149"/>
      <c r="AF180" s="149"/>
      <c r="AG180" s="261" t="s">
        <v>6995</v>
      </c>
      <c r="AH180" s="260" t="s">
        <v>187</v>
      </c>
      <c r="AI180" s="259" t="s">
        <v>2130</v>
      </c>
      <c r="AJ180" s="542" t="str">
        <f t="shared" si="101"/>
        <v>[t][kg]</v>
      </c>
      <c r="AK180" s="230">
        <f>AK177*1000</f>
        <v>100000</v>
      </c>
      <c r="AR180" s="149"/>
    </row>
    <row r="181" spans="1:44">
      <c r="B181" s="149"/>
      <c r="C181" s="149"/>
      <c r="D181" s="220"/>
      <c r="E181" s="285" t="s">
        <v>146</v>
      </c>
      <c r="F181" s="316" t="s">
        <v>7682</v>
      </c>
      <c r="G181" s="316" t="s">
        <v>7683</v>
      </c>
      <c r="H181" s="316" t="s">
        <v>7684</v>
      </c>
      <c r="I181" s="316" t="s">
        <v>7685</v>
      </c>
      <c r="J181" s="316" t="s">
        <v>7686</v>
      </c>
      <c r="K181" s="316" t="s">
        <v>6972</v>
      </c>
      <c r="L181" s="149"/>
      <c r="M181" s="149"/>
      <c r="N181" s="320"/>
      <c r="O181" s="149"/>
      <c r="P181" s="257"/>
      <c r="Q181" s="890" t="s">
        <v>173</v>
      </c>
      <c r="R181" s="892"/>
      <c r="S181" s="1016" t="s">
        <v>7666</v>
      </c>
      <c r="T181" s="1017"/>
      <c r="U181" s="1017"/>
      <c r="V181" s="1017"/>
      <c r="W181" s="1017"/>
      <c r="X181" s="1018"/>
      <c r="Y181" s="231"/>
      <c r="Z181" s="149"/>
      <c r="AA181" s="149"/>
      <c r="AB181" s="149"/>
      <c r="AC181" s="149"/>
      <c r="AD181" s="149"/>
      <c r="AE181" s="149"/>
      <c r="AF181" s="149"/>
      <c r="AG181" s="261" t="s">
        <v>6995</v>
      </c>
      <c r="AH181" s="260" t="s">
        <v>187</v>
      </c>
      <c r="AI181" s="261" t="s">
        <v>6998</v>
      </c>
      <c r="AJ181" s="542" t="str">
        <f t="shared" si="101"/>
        <v>[t][MJ]</v>
      </c>
      <c r="AK181" s="230">
        <f t="shared" ref="AK181:AK182" si="102">AK178*1000</f>
        <v>12000000</v>
      </c>
      <c r="AR181" s="149"/>
    </row>
    <row r="182" spans="1:44">
      <c r="B182" s="149"/>
      <c r="C182" s="149"/>
      <c r="D182" s="220"/>
      <c r="E182" s="511" t="s">
        <v>6965</v>
      </c>
      <c r="F182" s="711">
        <f>S188</f>
        <v>0</v>
      </c>
      <c r="G182" s="711">
        <f>T188</f>
        <v>0</v>
      </c>
      <c r="H182" s="711">
        <f>U188</f>
        <v>0</v>
      </c>
      <c r="I182" s="711">
        <f>V188</f>
        <v>0</v>
      </c>
      <c r="J182" s="711">
        <f>W188</f>
        <v>0</v>
      </c>
      <c r="K182" s="712">
        <f t="shared" ref="K182:K190" si="103">SUM(F182:J182)</f>
        <v>0</v>
      </c>
      <c r="L182" s="149"/>
      <c r="M182" s="149"/>
      <c r="N182" s="320"/>
      <c r="O182" s="149"/>
      <c r="P182" s="149"/>
      <c r="Q182" s="896"/>
      <c r="R182" s="898"/>
      <c r="S182" s="312" t="s">
        <v>7426</v>
      </c>
      <c r="T182" s="312" t="s">
        <v>7427</v>
      </c>
      <c r="U182" s="312" t="s">
        <v>7428</v>
      </c>
      <c r="V182" s="312" t="s">
        <v>7429</v>
      </c>
      <c r="W182" s="312" t="s">
        <v>7430</v>
      </c>
      <c r="X182" s="314" t="s">
        <v>7431</v>
      </c>
      <c r="Y182" s="231"/>
      <c r="Z182" s="149"/>
      <c r="AA182" s="149"/>
      <c r="AB182" s="149"/>
      <c r="AC182" s="149"/>
      <c r="AD182" s="149"/>
      <c r="AE182" s="149"/>
      <c r="AF182" s="149"/>
      <c r="AG182" s="261" t="s">
        <v>6995</v>
      </c>
      <c r="AH182" s="260" t="s">
        <v>187</v>
      </c>
      <c r="AI182" s="261" t="s">
        <v>6996</v>
      </c>
      <c r="AJ182" s="542" t="str">
        <f t="shared" si="101"/>
        <v>[t][Nm3]</v>
      </c>
      <c r="AK182" s="230">
        <f t="shared" si="102"/>
        <v>1318337.2471470358</v>
      </c>
      <c r="AR182" s="149"/>
    </row>
    <row r="183" spans="1:44">
      <c r="B183" s="149"/>
      <c r="C183" s="149"/>
      <c r="D183" s="220"/>
      <c r="E183" s="511" t="s">
        <v>7692</v>
      </c>
      <c r="F183" s="711">
        <f>S193</f>
        <v>3.5867548230357489</v>
      </c>
      <c r="G183" s="711">
        <f>T193</f>
        <v>0</v>
      </c>
      <c r="H183" s="711">
        <f>U193</f>
        <v>0</v>
      </c>
      <c r="I183" s="711">
        <f>V193</f>
        <v>0</v>
      </c>
      <c r="J183" s="711">
        <f>W193</f>
        <v>0</v>
      </c>
      <c r="K183" s="712">
        <f t="shared" si="103"/>
        <v>3.5867548230357489</v>
      </c>
      <c r="L183" s="149"/>
      <c r="N183" s="320"/>
      <c r="O183" s="149"/>
      <c r="P183" s="149"/>
      <c r="Q183" s="218"/>
      <c r="R183" s="76" t="s">
        <v>145</v>
      </c>
      <c r="S183" s="690">
        <f>SUMIFS(S$157:S$176,$Q$157:$Q$176,$Q$179,$R$157:$R$176,$R183)</f>
        <v>49.852819395117479</v>
      </c>
      <c r="T183" s="690">
        <f t="shared" ref="S183:X186" si="104">SUMIFS(T$157:T$176,$Q$157:$Q$176,$Q$179,$R$157:$R$176,$R183)</f>
        <v>0</v>
      </c>
      <c r="U183" s="690">
        <f t="shared" si="104"/>
        <v>0</v>
      </c>
      <c r="V183" s="690">
        <f t="shared" si="104"/>
        <v>0</v>
      </c>
      <c r="W183" s="690">
        <f t="shared" si="104"/>
        <v>0</v>
      </c>
      <c r="X183" s="690">
        <f t="shared" si="104"/>
        <v>49.852819395117479</v>
      </c>
      <c r="Y183" s="231"/>
      <c r="Z183" s="244"/>
      <c r="AA183" s="150"/>
      <c r="AB183" s="245"/>
      <c r="AC183" s="245"/>
      <c r="AD183" s="245"/>
      <c r="AE183" s="245"/>
      <c r="AF183" s="245"/>
      <c r="AG183" s="261" t="s">
        <v>6996</v>
      </c>
      <c r="AH183" s="260" t="s">
        <v>187</v>
      </c>
      <c r="AI183" s="259" t="s">
        <v>2130</v>
      </c>
      <c r="AJ183" s="542" t="str">
        <f t="shared" si="101"/>
        <v>[Nm3][kg]</v>
      </c>
      <c r="AK183" s="230">
        <f>$F$194*製品単位換算2!$E$876*共通データ!$E$29/共通データ!$F$29</f>
        <v>7.5853125000000006</v>
      </c>
      <c r="AL183" s="153"/>
      <c r="AR183" s="149"/>
    </row>
    <row r="184" spans="1:44">
      <c r="B184" s="149"/>
      <c r="C184" s="149"/>
      <c r="D184" s="220"/>
      <c r="E184" s="511" t="s">
        <v>6967</v>
      </c>
      <c r="F184" s="711">
        <f>S198</f>
        <v>0</v>
      </c>
      <c r="G184" s="711">
        <f>T198</f>
        <v>0</v>
      </c>
      <c r="H184" s="711">
        <f>U198</f>
        <v>0</v>
      </c>
      <c r="I184" s="711">
        <f>V198</f>
        <v>0</v>
      </c>
      <c r="J184" s="711">
        <f>W198</f>
        <v>0</v>
      </c>
      <c r="K184" s="712">
        <f t="shared" si="103"/>
        <v>0</v>
      </c>
      <c r="L184" s="149"/>
      <c r="M184" s="149"/>
      <c r="N184" s="320"/>
      <c r="O184" s="149"/>
      <c r="P184" s="149"/>
      <c r="Q184" s="61"/>
      <c r="R184" s="68" t="str">
        <f>$Q$139</f>
        <v/>
      </c>
      <c r="S184" s="725">
        <f t="shared" si="104"/>
        <v>0</v>
      </c>
      <c r="T184" s="725">
        <f t="shared" si="104"/>
        <v>0</v>
      </c>
      <c r="U184" s="725">
        <f t="shared" si="104"/>
        <v>0</v>
      </c>
      <c r="V184" s="725">
        <f t="shared" si="104"/>
        <v>0</v>
      </c>
      <c r="W184" s="725">
        <f t="shared" si="104"/>
        <v>0</v>
      </c>
      <c r="X184" s="725">
        <f t="shared" si="104"/>
        <v>0</v>
      </c>
      <c r="Y184" s="231"/>
      <c r="Z184" s="231"/>
      <c r="AA184" s="231"/>
      <c r="AB184" s="231"/>
      <c r="AC184" s="231"/>
      <c r="AD184" s="231"/>
      <c r="AE184" s="231"/>
      <c r="AF184" s="231"/>
      <c r="AG184" s="261" t="s">
        <v>6996</v>
      </c>
      <c r="AH184" s="260" t="s">
        <v>187</v>
      </c>
      <c r="AI184" s="261" t="s">
        <v>6998</v>
      </c>
      <c r="AJ184" s="542" t="str">
        <f t="shared" si="101"/>
        <v>[Nm3][MJ]</v>
      </c>
      <c r="AK184" s="230">
        <f>$F$194*製品単位換算2!$E$877*共通データ!$E$29/共通データ!$F$29</f>
        <v>1077.1143750000001</v>
      </c>
      <c r="AL184" s="153"/>
      <c r="AR184" s="149"/>
    </row>
    <row r="185" spans="1:44">
      <c r="B185" s="149"/>
      <c r="C185" s="149"/>
      <c r="D185" s="220"/>
      <c r="E185" s="511" t="s">
        <v>7693</v>
      </c>
      <c r="F185" s="711">
        <f>S203</f>
        <v>0</v>
      </c>
      <c r="G185" s="711">
        <f>T203</f>
        <v>0</v>
      </c>
      <c r="H185" s="711">
        <f>U203</f>
        <v>0</v>
      </c>
      <c r="I185" s="711">
        <f>V203</f>
        <v>0</v>
      </c>
      <c r="J185" s="711">
        <f>W203</f>
        <v>0</v>
      </c>
      <c r="K185" s="712">
        <f t="shared" si="103"/>
        <v>0</v>
      </c>
      <c r="L185" s="149"/>
      <c r="M185" s="149"/>
      <c r="N185" s="320"/>
      <c r="O185" s="149"/>
      <c r="P185" s="149"/>
      <c r="Q185" s="191"/>
      <c r="R185" s="68" t="str">
        <f>$Q$143</f>
        <v/>
      </c>
      <c r="S185" s="725">
        <f t="shared" si="104"/>
        <v>0</v>
      </c>
      <c r="T185" s="725">
        <f t="shared" si="104"/>
        <v>0</v>
      </c>
      <c r="U185" s="725">
        <f t="shared" si="104"/>
        <v>0</v>
      </c>
      <c r="V185" s="725">
        <f t="shared" si="104"/>
        <v>0</v>
      </c>
      <c r="W185" s="725">
        <f t="shared" si="104"/>
        <v>0</v>
      </c>
      <c r="X185" s="725">
        <f t="shared" si="104"/>
        <v>0</v>
      </c>
      <c r="Y185" s="231"/>
      <c r="Z185" s="231"/>
      <c r="AA185" s="231"/>
      <c r="AB185" s="231"/>
      <c r="AC185" s="231"/>
      <c r="AD185" s="231"/>
      <c r="AE185" s="231"/>
      <c r="AF185" s="231"/>
      <c r="AG185" s="261" t="s">
        <v>6996</v>
      </c>
      <c r="AH185" s="260" t="s">
        <v>187</v>
      </c>
      <c r="AI185" s="261" t="s">
        <v>6996</v>
      </c>
      <c r="AJ185" s="542" t="str">
        <f t="shared" si="101"/>
        <v>[Nm3][Nm3]</v>
      </c>
      <c r="AK185" s="230">
        <f>$F$194</f>
        <v>100</v>
      </c>
      <c r="AL185" s="153"/>
      <c r="AR185" s="149"/>
    </row>
    <row r="186" spans="1:44" ht="14.25" customHeight="1">
      <c r="B186" s="149"/>
      <c r="C186" s="149"/>
      <c r="D186" s="220"/>
      <c r="E186" s="511" t="s">
        <v>7694</v>
      </c>
      <c r="F186" s="711">
        <f>S208</f>
        <v>0</v>
      </c>
      <c r="G186" s="711">
        <f>T208</f>
        <v>0</v>
      </c>
      <c r="H186" s="711">
        <f>U208</f>
        <v>0</v>
      </c>
      <c r="I186" s="711">
        <f>V208</f>
        <v>0</v>
      </c>
      <c r="J186" s="711">
        <f>W208</f>
        <v>0</v>
      </c>
      <c r="K186" s="712">
        <f t="shared" si="103"/>
        <v>0</v>
      </c>
      <c r="L186" s="149"/>
      <c r="M186" s="149"/>
      <c r="N186" s="320"/>
      <c r="O186" s="149"/>
      <c r="P186" s="257"/>
      <c r="Q186" s="192"/>
      <c r="R186" s="68" t="str">
        <f>$Q$147</f>
        <v/>
      </c>
      <c r="S186" s="725">
        <f t="shared" si="104"/>
        <v>0</v>
      </c>
      <c r="T186" s="725">
        <f t="shared" si="104"/>
        <v>0</v>
      </c>
      <c r="U186" s="725">
        <f t="shared" si="104"/>
        <v>0</v>
      </c>
      <c r="V186" s="725">
        <f t="shared" si="104"/>
        <v>0</v>
      </c>
      <c r="W186" s="725">
        <f t="shared" si="104"/>
        <v>0</v>
      </c>
      <c r="X186" s="725">
        <f t="shared" si="104"/>
        <v>0</v>
      </c>
      <c r="Y186" s="231"/>
      <c r="Z186" s="231"/>
      <c r="AA186" s="231"/>
      <c r="AB186" s="231"/>
      <c r="AC186" s="231"/>
      <c r="AD186" s="231"/>
      <c r="AE186" s="231"/>
      <c r="AF186" s="231"/>
      <c r="AG186" s="261" t="s">
        <v>6997</v>
      </c>
      <c r="AH186" s="260" t="s">
        <v>187</v>
      </c>
      <c r="AI186" s="259" t="s">
        <v>2130</v>
      </c>
      <c r="AJ186" s="542" t="str">
        <f t="shared" si="101"/>
        <v>[1000Nm3][kg]</v>
      </c>
      <c r="AK186" s="230">
        <f>1000*AK183</f>
        <v>7585.3125000000009</v>
      </c>
      <c r="AL186" s="153"/>
      <c r="AM186" s="59"/>
      <c r="AR186" s="149"/>
    </row>
    <row r="187" spans="1:44" ht="14.25" customHeight="1">
      <c r="B187" s="149"/>
      <c r="C187" s="149"/>
      <c r="D187" s="220"/>
      <c r="E187" s="511" t="s">
        <v>7695</v>
      </c>
      <c r="F187" s="711" t="str">
        <f>IF($Q$179="代替",SUM(S184:S186),"")</f>
        <v/>
      </c>
      <c r="G187" s="711" t="str">
        <f>IF($Q$179="代替",SUM(T184:T186),"")</f>
        <v/>
      </c>
      <c r="H187" s="711" t="str">
        <f>IF($Q$179="代替",SUM(U184:U186),"")</f>
        <v/>
      </c>
      <c r="I187" s="711" t="str">
        <f>IF($Q$179="代替",SUM(V184:V186),"")</f>
        <v/>
      </c>
      <c r="J187" s="711" t="str">
        <f>IF($Q$179="代替",SUM(W184:W186),"")</f>
        <v/>
      </c>
      <c r="K187" s="712">
        <f t="shared" si="103"/>
        <v>0</v>
      </c>
      <c r="L187" s="149"/>
      <c r="M187" s="149"/>
      <c r="N187" s="320"/>
      <c r="O187" s="149"/>
      <c r="P187" s="149"/>
      <c r="Q187" s="247" t="s">
        <v>6991</v>
      </c>
      <c r="R187" s="150"/>
      <c r="S187" s="674"/>
      <c r="T187" s="674"/>
      <c r="U187" s="674"/>
      <c r="V187" s="674"/>
      <c r="W187" s="674"/>
      <c r="X187" s="674"/>
      <c r="Y187" s="231"/>
      <c r="Z187" s="231"/>
      <c r="AA187" s="231"/>
      <c r="AB187" s="231"/>
      <c r="AC187" s="231"/>
      <c r="AD187" s="231"/>
      <c r="AE187" s="231"/>
      <c r="AF187" s="231"/>
      <c r="AG187" s="261" t="s">
        <v>6997</v>
      </c>
      <c r="AH187" s="260" t="s">
        <v>187</v>
      </c>
      <c r="AI187" s="261" t="s">
        <v>6998</v>
      </c>
      <c r="AJ187" s="542" t="str">
        <f t="shared" si="101"/>
        <v>[1000Nm3][MJ]</v>
      </c>
      <c r="AK187" s="230">
        <f t="shared" ref="AK187:AK188" si="105">1000*AK184</f>
        <v>1077114.375</v>
      </c>
      <c r="AM187" s="59"/>
      <c r="AR187" s="149"/>
    </row>
    <row r="188" spans="1:44" ht="14.25" customHeight="1">
      <c r="B188" s="149"/>
      <c r="C188" s="149"/>
      <c r="D188" s="220"/>
      <c r="E188" s="511" t="s">
        <v>7537</v>
      </c>
      <c r="F188" s="711">
        <f>S213</f>
        <v>46.266064572081731</v>
      </c>
      <c r="G188" s="711">
        <f>T213</f>
        <v>0</v>
      </c>
      <c r="H188" s="711">
        <f>U213</f>
        <v>0</v>
      </c>
      <c r="I188" s="711">
        <f>V213</f>
        <v>0</v>
      </c>
      <c r="J188" s="711">
        <f>W213</f>
        <v>0</v>
      </c>
      <c r="K188" s="712">
        <f t="shared" si="103"/>
        <v>46.266064572081731</v>
      </c>
      <c r="L188" s="149"/>
      <c r="M188" s="149"/>
      <c r="N188" s="320"/>
      <c r="O188" s="149"/>
      <c r="P188" s="149"/>
      <c r="Q188" s="218"/>
      <c r="R188" s="76" t="s">
        <v>145</v>
      </c>
      <c r="S188" s="725">
        <f>IF($Q$179="代替", S$33, IFERROR(VLOOKUP($Q$179&amp;$R188,$AI$152:$AJ$167,2,FALSE)*S$33,""))</f>
        <v>0</v>
      </c>
      <c r="T188" s="725">
        <f>IF($Q$179="代替", T$33, IFERROR(VLOOKUP($Q$179&amp;$R188,$AI$152:$AJ$167,2,FALSE)*T$33,""))</f>
        <v>0</v>
      </c>
      <c r="U188" s="725">
        <f>IF($Q$179="代替", U$33, IFERROR(VLOOKUP($Q$179&amp;$R188,$AI$152:$AJ$167,2,FALSE)*U$33,""))</f>
        <v>0</v>
      </c>
      <c r="V188" s="725">
        <f>IF($Q$179="代替", V$33, IFERROR(VLOOKUP($Q$179&amp;$R188,$AI$152:$AJ$167,2,FALSE)*V$33,""))</f>
        <v>0</v>
      </c>
      <c r="W188" s="725">
        <f>IF($Q$179="代替", W$33, IFERROR(VLOOKUP($Q$179&amp;$R188,$AI$152:$AJ$167,2,FALSE)*W$33,""))</f>
        <v>0</v>
      </c>
      <c r="X188" s="725">
        <f>SUM(S188:W188)</f>
        <v>0</v>
      </c>
      <c r="Y188" s="153"/>
      <c r="Z188" s="153"/>
      <c r="AA188" s="153"/>
      <c r="AB188" s="153"/>
      <c r="AC188" s="153"/>
      <c r="AD188" s="153"/>
      <c r="AE188" s="153"/>
      <c r="AF188" s="153"/>
      <c r="AG188" s="261" t="s">
        <v>6997</v>
      </c>
      <c r="AH188" s="260" t="s">
        <v>187</v>
      </c>
      <c r="AI188" s="261" t="s">
        <v>6996</v>
      </c>
      <c r="AJ188" s="542" t="str">
        <f t="shared" si="101"/>
        <v>[1000Nm3][Nm3]</v>
      </c>
      <c r="AK188" s="230">
        <f t="shared" si="105"/>
        <v>100000</v>
      </c>
      <c r="AM188" s="59"/>
      <c r="AR188" s="149"/>
    </row>
    <row r="189" spans="1:44" ht="14.25" customHeight="1">
      <c r="B189" s="149"/>
      <c r="C189" s="149"/>
      <c r="D189" s="149"/>
      <c r="E189" s="511" t="s">
        <v>6973</v>
      </c>
      <c r="F189" s="711">
        <f>S218</f>
        <v>0</v>
      </c>
      <c r="G189" s="711">
        <f>T218</f>
        <v>0</v>
      </c>
      <c r="H189" s="711">
        <f>U218</f>
        <v>0</v>
      </c>
      <c r="I189" s="711">
        <f>V218</f>
        <v>0</v>
      </c>
      <c r="J189" s="711">
        <f>W218</f>
        <v>0</v>
      </c>
      <c r="K189" s="712">
        <f t="shared" si="103"/>
        <v>0</v>
      </c>
      <c r="L189" s="149"/>
      <c r="M189" s="149"/>
      <c r="N189" s="320"/>
      <c r="O189" s="149"/>
      <c r="P189" s="149"/>
      <c r="Q189" s="61"/>
      <c r="R189" s="68" t="str">
        <f>$Q$139</f>
        <v/>
      </c>
      <c r="S189" s="725">
        <f t="shared" ref="S189:W191" si="106">IF($Q$179="代替", "-", IFERROR(VLOOKUP($Q$179&amp;$R189,$AI$152:$AJ$167,2,FALSE)*S$33,""))</f>
        <v>0</v>
      </c>
      <c r="T189" s="725">
        <f t="shared" si="106"/>
        <v>0</v>
      </c>
      <c r="U189" s="725">
        <f t="shared" si="106"/>
        <v>0</v>
      </c>
      <c r="V189" s="725">
        <f t="shared" si="106"/>
        <v>0</v>
      </c>
      <c r="W189" s="725">
        <f t="shared" si="106"/>
        <v>0</v>
      </c>
      <c r="X189" s="725">
        <f>SUM(S189:W189)</f>
        <v>0</v>
      </c>
      <c r="Y189" s="153"/>
      <c r="Z189" s="153"/>
      <c r="AA189" s="153"/>
      <c r="AB189" s="153"/>
      <c r="AC189" s="153"/>
      <c r="AD189" s="153"/>
      <c r="AE189" s="153"/>
      <c r="AF189" s="153"/>
      <c r="AG189" s="153"/>
      <c r="AH189" s="153"/>
      <c r="AI189" s="153"/>
      <c r="AJ189" s="535"/>
      <c r="AK189" s="153"/>
      <c r="AM189" s="59"/>
      <c r="AR189" s="149"/>
    </row>
    <row r="190" spans="1:44" ht="14.25" customHeight="1">
      <c r="B190" s="149"/>
      <c r="C190" s="149"/>
      <c r="D190" s="149"/>
      <c r="E190" s="511" t="s">
        <v>7696</v>
      </c>
      <c r="F190" s="713">
        <f>SUM(F182:F189)</f>
        <v>49.852819395117479</v>
      </c>
      <c r="G190" s="713">
        <f>SUM(G182:G189)</f>
        <v>0</v>
      </c>
      <c r="H190" s="713">
        <f>SUM(H182:H189)</f>
        <v>0</v>
      </c>
      <c r="I190" s="713">
        <f>SUM(I182:I189)</f>
        <v>0</v>
      </c>
      <c r="J190" s="713">
        <f>SUM(J182:J189)</f>
        <v>0</v>
      </c>
      <c r="K190" s="712">
        <f t="shared" si="103"/>
        <v>49.852819395117479</v>
      </c>
      <c r="L190" s="149"/>
      <c r="M190" s="149"/>
      <c r="N190" s="320"/>
      <c r="O190" s="149"/>
      <c r="P190" s="149"/>
      <c r="Q190" s="191"/>
      <c r="R190" s="68" t="str">
        <f>$Q$143</f>
        <v/>
      </c>
      <c r="S190" s="725">
        <f t="shared" si="106"/>
        <v>0</v>
      </c>
      <c r="T190" s="725">
        <f t="shared" si="106"/>
        <v>0</v>
      </c>
      <c r="U190" s="725">
        <f t="shared" si="106"/>
        <v>0</v>
      </c>
      <c r="V190" s="725">
        <f t="shared" si="106"/>
        <v>0</v>
      </c>
      <c r="W190" s="725">
        <f t="shared" si="106"/>
        <v>0</v>
      </c>
      <c r="X190" s="725">
        <f>SUM(S190:W190)</f>
        <v>0</v>
      </c>
      <c r="Y190" s="153"/>
      <c r="Z190" s="153"/>
      <c r="AA190" s="153"/>
      <c r="AB190" s="153"/>
      <c r="AC190" s="153"/>
      <c r="AD190" s="153"/>
      <c r="AE190" s="153"/>
      <c r="AF190" s="153"/>
      <c r="AG190" s="153"/>
      <c r="AH190" s="153"/>
      <c r="AI190" s="153"/>
      <c r="AJ190" s="535"/>
      <c r="AK190" s="153"/>
      <c r="AM190" s="59"/>
      <c r="AR190" s="149"/>
    </row>
    <row r="191" spans="1:44">
      <c r="B191" s="149"/>
      <c r="C191" s="149"/>
      <c r="D191" s="220"/>
      <c r="E191" s="149"/>
      <c r="F191" s="149"/>
      <c r="G191" s="149"/>
      <c r="H191" s="149"/>
      <c r="I191" s="149"/>
      <c r="J191" s="149"/>
      <c r="K191" s="149"/>
      <c r="L191" s="149"/>
      <c r="M191" s="149"/>
      <c r="N191" s="320"/>
      <c r="O191" s="149"/>
      <c r="P191" s="257"/>
      <c r="Q191" s="192"/>
      <c r="R191" s="68" t="str">
        <f>$Q$147</f>
        <v/>
      </c>
      <c r="S191" s="725">
        <f t="shared" si="106"/>
        <v>0</v>
      </c>
      <c r="T191" s="725">
        <f t="shared" si="106"/>
        <v>0</v>
      </c>
      <c r="U191" s="725">
        <f t="shared" si="106"/>
        <v>0</v>
      </c>
      <c r="V191" s="725">
        <f t="shared" si="106"/>
        <v>0</v>
      </c>
      <c r="W191" s="725">
        <f t="shared" si="106"/>
        <v>0</v>
      </c>
      <c r="X191" s="725">
        <f>SUM(S191:W191)</f>
        <v>0</v>
      </c>
      <c r="Y191" s="153"/>
      <c r="Z191" s="153"/>
      <c r="AA191" s="153"/>
      <c r="AB191" s="153"/>
      <c r="AC191" s="153"/>
      <c r="AD191" s="153"/>
      <c r="AE191" s="153"/>
      <c r="AF191" s="153"/>
      <c r="AG191" s="153"/>
      <c r="AH191" s="153"/>
      <c r="AI191" s="153"/>
      <c r="AJ191" s="535"/>
      <c r="AK191" s="153"/>
      <c r="AM191" s="59"/>
      <c r="AR191" s="149"/>
    </row>
    <row r="192" spans="1:44">
      <c r="B192" s="149"/>
      <c r="C192" s="149"/>
      <c r="D192" s="220"/>
      <c r="E192" s="966" t="s">
        <v>7667</v>
      </c>
      <c r="F192" s="966"/>
      <c r="G192" s="966"/>
      <c r="H192" s="966"/>
      <c r="I192" s="966"/>
      <c r="J192" s="966"/>
      <c r="K192" s="966"/>
      <c r="L192" s="966"/>
      <c r="M192" s="246"/>
      <c r="N192" s="320"/>
      <c r="O192" s="149"/>
      <c r="P192" s="149"/>
      <c r="Q192" s="149" t="s">
        <v>6981</v>
      </c>
      <c r="R192" s="220"/>
      <c r="S192" s="675"/>
      <c r="T192" s="675"/>
      <c r="U192" s="675"/>
      <c r="V192" s="675"/>
      <c r="W192" s="675"/>
      <c r="X192" s="676"/>
      <c r="Y192" s="153"/>
      <c r="Z192" s="153"/>
      <c r="AA192" s="153"/>
      <c r="AB192" s="153"/>
      <c r="AC192" s="153"/>
      <c r="AD192" s="153"/>
      <c r="AE192" s="153"/>
      <c r="AF192" s="153"/>
      <c r="AG192" s="153"/>
      <c r="AH192" s="153"/>
      <c r="AI192" s="153"/>
      <c r="AJ192" s="535"/>
      <c r="AK192" s="153"/>
      <c r="AM192" s="59"/>
      <c r="AR192" s="149"/>
    </row>
    <row r="193" spans="2:44" ht="13.8" thickBot="1">
      <c r="B193" s="233"/>
      <c r="C193" s="233"/>
      <c r="D193" s="220"/>
      <c r="E193" s="143"/>
      <c r="F193" s="143"/>
      <c r="G193" s="143"/>
      <c r="H193" s="143"/>
      <c r="I193" s="143"/>
      <c r="J193" s="143"/>
      <c r="K193" s="211"/>
      <c r="L193" s="149"/>
      <c r="M193" s="236"/>
      <c r="N193" s="320"/>
      <c r="O193" s="220"/>
      <c r="P193" s="220"/>
      <c r="Q193" s="218"/>
      <c r="R193" s="76" t="s">
        <v>145</v>
      </c>
      <c r="S193" s="725">
        <f>IF($Q$179="代替", S$53+S$60, IFERROR(VLOOKUP($Q$179&amp;$R193,$AI$152:$AJ$167,2,FALSE)*(S$53+S$60),""))</f>
        <v>3.5867548230357489</v>
      </c>
      <c r="T193" s="725">
        <f>IF($Q$179="代替", T$53+T$60, IFERROR(VLOOKUP($Q$179&amp;$R193,$AI$152:$AJ$167,2,FALSE)*(T$53+T$60),""))</f>
        <v>0</v>
      </c>
      <c r="U193" s="725">
        <f>IF($Q$179="代替", U$53+U$60, IFERROR(VLOOKUP($Q$179&amp;$R193,$AI$152:$AJ$167,2,FALSE)*(U$53+U$60),""))</f>
        <v>0</v>
      </c>
      <c r="V193" s="725">
        <f>IF($Q$179="代替", V$53+V$60, IFERROR(VLOOKUP($Q$179&amp;$R193,$AI$152:$AJ$167,2,FALSE)*(V$53+V$60),""))</f>
        <v>0</v>
      </c>
      <c r="W193" s="725">
        <f>IF($Q$179="代替", W$53+W$60, IFERROR(VLOOKUP($Q$179&amp;$R193,$AI$152:$AJ$167,2,FALSE)*(W$53+W$60),""))</f>
        <v>0</v>
      </c>
      <c r="X193" s="725">
        <f>SUM(S193:W193)</f>
        <v>3.5867548230357489</v>
      </c>
      <c r="Y193" s="153"/>
      <c r="Z193" s="153"/>
      <c r="AA193" s="153"/>
      <c r="AB193" s="153"/>
      <c r="AC193" s="153"/>
      <c r="AD193" s="153"/>
      <c r="AE193" s="153"/>
      <c r="AF193" s="153"/>
      <c r="AG193" s="153"/>
      <c r="AH193" s="153"/>
      <c r="AI193" s="153"/>
      <c r="AJ193" s="535"/>
      <c r="AK193" s="153"/>
      <c r="AM193" s="59"/>
      <c r="AR193" s="149"/>
    </row>
    <row r="194" spans="2:44" ht="15" customHeight="1" thickBot="1">
      <c r="B194" s="233"/>
      <c r="C194" s="233"/>
      <c r="D194" s="220"/>
      <c r="E194" s="503" t="s">
        <v>7680</v>
      </c>
      <c r="F194" s="714">
        <f>IFERROR(D6,"")</f>
        <v>100</v>
      </c>
      <c r="G194" s="1030" t="str">
        <f>IFERROR(C6,"")</f>
        <v>[Nm3]</v>
      </c>
      <c r="H194" s="1030"/>
      <c r="I194" s="92" t="s">
        <v>7679</v>
      </c>
      <c r="J194" s="1031">
        <f>VLOOKUP(G194&amp;L194,AJ176:AK187,2,FALSE)</f>
        <v>100</v>
      </c>
      <c r="K194" s="1031"/>
      <c r="L194" s="652" t="s">
        <v>2134</v>
      </c>
      <c r="M194" s="246"/>
      <c r="N194" s="320"/>
      <c r="O194" s="220"/>
      <c r="P194" s="220"/>
      <c r="Q194" s="61"/>
      <c r="R194" s="68" t="str">
        <f>$Q$139</f>
        <v/>
      </c>
      <c r="S194" s="725">
        <f t="shared" ref="S194:W196" si="107">IF($Q$179="代替", "-", IFERROR(VLOOKUP($Q$179&amp;$R194,$AI$152:$AJ$167,2,FALSE)*(S$53+S$60),""))</f>
        <v>0</v>
      </c>
      <c r="T194" s="725">
        <f t="shared" si="107"/>
        <v>0</v>
      </c>
      <c r="U194" s="725">
        <f t="shared" si="107"/>
        <v>0</v>
      </c>
      <c r="V194" s="725">
        <f t="shared" si="107"/>
        <v>0</v>
      </c>
      <c r="W194" s="725">
        <f t="shared" si="107"/>
        <v>0</v>
      </c>
      <c r="X194" s="725">
        <f>SUM(S194:W194)</f>
        <v>0</v>
      </c>
      <c r="Y194" s="153"/>
      <c r="Z194" s="153"/>
      <c r="AA194" s="153"/>
      <c r="AB194" s="153"/>
      <c r="AC194" s="153"/>
      <c r="AD194" s="153"/>
      <c r="AE194" s="153"/>
      <c r="AF194" s="153"/>
      <c r="AG194" s="153"/>
      <c r="AH194" s="153"/>
      <c r="AI194" s="153"/>
      <c r="AJ194" s="535"/>
      <c r="AK194" s="153"/>
      <c r="AR194" s="149"/>
    </row>
    <row r="195" spans="2:44">
      <c r="B195" s="149"/>
      <c r="C195" s="149"/>
      <c r="D195" s="220"/>
      <c r="E195" s="143"/>
      <c r="F195" s="143"/>
      <c r="G195" s="143"/>
      <c r="H195" s="143"/>
      <c r="I195" s="143"/>
      <c r="K195" s="211"/>
      <c r="L195" s="171" t="str">
        <f>"[単位：kgCO2/"&amp;MID(L194,2,(LENB(L194)-2))&amp;"H2]"</f>
        <v>[単位：kgCO2/Nm3H2]</v>
      </c>
      <c r="M195" s="246"/>
      <c r="N195" s="320"/>
      <c r="O195" s="220"/>
      <c r="P195" s="220"/>
      <c r="Q195" s="191"/>
      <c r="R195" s="68" t="str">
        <f>$Q$143</f>
        <v/>
      </c>
      <c r="S195" s="725">
        <f t="shared" si="107"/>
        <v>0</v>
      </c>
      <c r="T195" s="725">
        <f t="shared" si="107"/>
        <v>0</v>
      </c>
      <c r="U195" s="725">
        <f t="shared" si="107"/>
        <v>0</v>
      </c>
      <c r="V195" s="725">
        <f t="shared" si="107"/>
        <v>0</v>
      </c>
      <c r="W195" s="725">
        <f t="shared" si="107"/>
        <v>0</v>
      </c>
      <c r="X195" s="725">
        <f>SUM(S195:W195)</f>
        <v>0</v>
      </c>
      <c r="Y195" s="153"/>
      <c r="Z195" s="153"/>
      <c r="AA195" s="153"/>
      <c r="AB195" s="153"/>
      <c r="AC195" s="153"/>
      <c r="AD195" s="153"/>
      <c r="AE195" s="153"/>
      <c r="AF195" s="153"/>
      <c r="AG195" s="153"/>
      <c r="AH195" s="153"/>
      <c r="AI195" s="153"/>
      <c r="AJ195" s="535"/>
      <c r="AK195" s="153"/>
      <c r="AL195" s="153"/>
      <c r="AR195" s="149"/>
    </row>
    <row r="196" spans="2:44">
      <c r="B196" s="149"/>
      <c r="C196" s="149"/>
      <c r="D196" s="220"/>
      <c r="E196" s="466" t="s">
        <v>146</v>
      </c>
      <c r="F196" s="316" t="s">
        <v>7687</v>
      </c>
      <c r="G196" s="316" t="s">
        <v>7688</v>
      </c>
      <c r="H196" s="316" t="s">
        <v>7689</v>
      </c>
      <c r="I196" s="316" t="s">
        <v>7690</v>
      </c>
      <c r="J196" s="316" t="s">
        <v>7691</v>
      </c>
      <c r="K196" s="316" t="s">
        <v>6972</v>
      </c>
      <c r="L196" s="331" t="s">
        <v>7664</v>
      </c>
      <c r="M196" s="246"/>
      <c r="N196" s="320"/>
      <c r="O196" s="149"/>
      <c r="P196" s="257"/>
      <c r="Q196" s="192"/>
      <c r="R196" s="68" t="str">
        <f>$Q$147</f>
        <v/>
      </c>
      <c r="S196" s="725">
        <f t="shared" si="107"/>
        <v>0</v>
      </c>
      <c r="T196" s="725">
        <f t="shared" si="107"/>
        <v>0</v>
      </c>
      <c r="U196" s="725">
        <f t="shared" si="107"/>
        <v>0</v>
      </c>
      <c r="V196" s="725">
        <f t="shared" si="107"/>
        <v>0</v>
      </c>
      <c r="W196" s="725">
        <f t="shared" si="107"/>
        <v>0</v>
      </c>
      <c r="X196" s="725">
        <f>SUM(S196:W196)</f>
        <v>0</v>
      </c>
      <c r="Y196" s="153"/>
      <c r="Z196" s="153"/>
      <c r="AA196" s="153"/>
      <c r="AB196" s="153"/>
      <c r="AC196" s="153"/>
      <c r="AD196" s="153"/>
      <c r="AE196" s="153"/>
      <c r="AF196" s="153"/>
      <c r="AG196" s="153"/>
      <c r="AH196" s="153"/>
      <c r="AI196" s="153"/>
      <c r="AJ196" s="535"/>
      <c r="AK196" s="153"/>
      <c r="AL196" s="153"/>
      <c r="AR196" s="149"/>
    </row>
    <row r="197" spans="2:44">
      <c r="B197" s="149"/>
      <c r="C197" s="149"/>
      <c r="D197" s="220"/>
      <c r="E197" s="511" t="s">
        <v>6965</v>
      </c>
      <c r="F197" s="711">
        <f t="shared" ref="F197:J201" si="108">IFERROR(F182/$J$194, "")</f>
        <v>0</v>
      </c>
      <c r="G197" s="711">
        <f t="shared" si="108"/>
        <v>0</v>
      </c>
      <c r="H197" s="711">
        <f t="shared" si="108"/>
        <v>0</v>
      </c>
      <c r="I197" s="711">
        <f t="shared" si="108"/>
        <v>0</v>
      </c>
      <c r="J197" s="711">
        <f t="shared" si="108"/>
        <v>0</v>
      </c>
      <c r="K197" s="712">
        <f t="shared" ref="K197:K205" si="109">SUM(F197:J197)</f>
        <v>0</v>
      </c>
      <c r="L197" s="507">
        <f t="shared" ref="L197:L205" si="110">IF($K$205=0, 0, K197/$K$205)</f>
        <v>0</v>
      </c>
      <c r="M197" s="172"/>
      <c r="N197" s="320"/>
      <c r="O197" s="149"/>
      <c r="P197" s="149"/>
      <c r="Q197" s="149" t="s">
        <v>6983</v>
      </c>
      <c r="R197" s="149"/>
      <c r="S197" s="677"/>
      <c r="T197" s="677"/>
      <c r="U197" s="677"/>
      <c r="V197" s="677"/>
      <c r="W197" s="677"/>
      <c r="X197" s="676"/>
      <c r="Y197" s="153"/>
      <c r="Z197" s="153"/>
      <c r="AA197" s="153"/>
      <c r="AB197" s="153"/>
      <c r="AC197" s="153"/>
      <c r="AD197" s="153"/>
      <c r="AE197" s="153"/>
      <c r="AF197" s="153"/>
      <c r="AG197" s="153"/>
      <c r="AH197" s="153"/>
      <c r="AI197" s="153"/>
      <c r="AJ197" s="535"/>
      <c r="AK197" s="153"/>
      <c r="AL197" s="153"/>
      <c r="AR197" s="149"/>
    </row>
    <row r="198" spans="2:44">
      <c r="B198" s="149"/>
      <c r="C198" s="149"/>
      <c r="D198" s="220"/>
      <c r="E198" s="511" t="s">
        <v>7697</v>
      </c>
      <c r="F198" s="711">
        <f t="shared" si="108"/>
        <v>3.5867548230357489E-2</v>
      </c>
      <c r="G198" s="711">
        <f t="shared" si="108"/>
        <v>0</v>
      </c>
      <c r="H198" s="711">
        <f t="shared" si="108"/>
        <v>0</v>
      </c>
      <c r="I198" s="711">
        <f t="shared" si="108"/>
        <v>0</v>
      </c>
      <c r="J198" s="711">
        <f t="shared" si="108"/>
        <v>0</v>
      </c>
      <c r="K198" s="712">
        <f t="shared" si="109"/>
        <v>3.5867548230357489E-2</v>
      </c>
      <c r="L198" s="507">
        <f t="shared" si="110"/>
        <v>7.1946880167564425E-2</v>
      </c>
      <c r="M198" s="173"/>
      <c r="N198" s="320"/>
      <c r="O198" s="220"/>
      <c r="P198" s="222"/>
      <c r="Q198" s="218"/>
      <c r="R198" s="76" t="s">
        <v>145</v>
      </c>
      <c r="S198" s="725">
        <f>IF($Q$179="代替", S$71, IFERROR(VLOOKUP($Q$179&amp;$R198,$AI$152:$AJ$167,2,FALSE)*S$71,""))</f>
        <v>0</v>
      </c>
      <c r="T198" s="725">
        <f>IF($Q$179="代替", T$71, IFERROR(VLOOKUP($Q$179&amp;$R198,$AI$152:$AJ$167,2,FALSE)*T$71,""))</f>
        <v>0</v>
      </c>
      <c r="U198" s="725">
        <f>IF($Q$179="代替", U$71, IFERROR(VLOOKUP($Q$179&amp;$R198,$AI$152:$AJ$167,2,FALSE)*U$71,""))</f>
        <v>0</v>
      </c>
      <c r="V198" s="725">
        <f>IF($Q$179="代替", V$71, IFERROR(VLOOKUP($Q$179&amp;$R198,$AI$152:$AJ$167,2,FALSE)*V$71,""))</f>
        <v>0</v>
      </c>
      <c r="W198" s="725">
        <f>IF($Q$179="代替", W$71, IFERROR(VLOOKUP($Q$179&amp;$R198,$AI$152:$AJ$167,2,FALSE)*W$71,""))</f>
        <v>0</v>
      </c>
      <c r="X198" s="725">
        <f>SUM(S198:W198)</f>
        <v>0</v>
      </c>
      <c r="Y198" s="231"/>
      <c r="Z198" s="153"/>
      <c r="AA198" s="153"/>
      <c r="AB198" s="153"/>
      <c r="AC198" s="153"/>
      <c r="AD198" s="153"/>
      <c r="AE198" s="153"/>
      <c r="AF198" s="153"/>
      <c r="AG198" s="153"/>
      <c r="AH198" s="153"/>
      <c r="AI198" s="153"/>
      <c r="AJ198" s="535"/>
      <c r="AK198" s="153"/>
      <c r="AL198" s="153"/>
      <c r="AR198" s="149"/>
    </row>
    <row r="199" spans="2:44">
      <c r="B199" s="149"/>
      <c r="C199" s="149"/>
      <c r="D199" s="220"/>
      <c r="E199" s="511" t="s">
        <v>6967</v>
      </c>
      <c r="F199" s="711">
        <f t="shared" si="108"/>
        <v>0</v>
      </c>
      <c r="G199" s="711">
        <f t="shared" si="108"/>
        <v>0</v>
      </c>
      <c r="H199" s="711">
        <f t="shared" si="108"/>
        <v>0</v>
      </c>
      <c r="I199" s="711">
        <f t="shared" si="108"/>
        <v>0</v>
      </c>
      <c r="J199" s="711">
        <f t="shared" si="108"/>
        <v>0</v>
      </c>
      <c r="K199" s="712">
        <f t="shared" si="109"/>
        <v>0</v>
      </c>
      <c r="L199" s="507">
        <f t="shared" si="110"/>
        <v>0</v>
      </c>
      <c r="M199" s="246"/>
      <c r="N199" s="320"/>
      <c r="O199" s="220"/>
      <c r="P199" s="222"/>
      <c r="Q199" s="61"/>
      <c r="R199" s="68" t="str">
        <f>$Q$139</f>
        <v/>
      </c>
      <c r="S199" s="725">
        <f t="shared" ref="S199:W201" si="111">IF($Q$179="代替", "-", IFERROR(VLOOKUP($Q$179&amp;$R199,$AI$152:$AJ$167,2,FALSE)*S$71,""))</f>
        <v>0</v>
      </c>
      <c r="T199" s="725">
        <f t="shared" si="111"/>
        <v>0</v>
      </c>
      <c r="U199" s="725">
        <f t="shared" si="111"/>
        <v>0</v>
      </c>
      <c r="V199" s="725">
        <f t="shared" si="111"/>
        <v>0</v>
      </c>
      <c r="W199" s="725">
        <f t="shared" si="111"/>
        <v>0</v>
      </c>
      <c r="X199" s="725">
        <f>SUM(S199:W199)</f>
        <v>0</v>
      </c>
      <c r="Y199" s="231"/>
      <c r="Z199" s="231"/>
      <c r="AA199" s="231"/>
      <c r="AB199" s="231"/>
      <c r="AC199" s="231"/>
      <c r="AD199" s="231"/>
      <c r="AE199" s="231"/>
      <c r="AF199" s="231"/>
      <c r="AG199" s="153"/>
      <c r="AH199" s="153"/>
      <c r="AI199" s="153"/>
      <c r="AJ199" s="535"/>
      <c r="AK199" s="153"/>
      <c r="AL199" s="153"/>
      <c r="AM199" s="59"/>
      <c r="AR199" s="149"/>
    </row>
    <row r="200" spans="2:44">
      <c r="B200" s="149"/>
      <c r="C200" s="149"/>
      <c r="D200" s="220"/>
      <c r="E200" s="511" t="s">
        <v>7693</v>
      </c>
      <c r="F200" s="711">
        <f t="shared" si="108"/>
        <v>0</v>
      </c>
      <c r="G200" s="711">
        <f t="shared" si="108"/>
        <v>0</v>
      </c>
      <c r="H200" s="711">
        <f t="shared" si="108"/>
        <v>0</v>
      </c>
      <c r="I200" s="711">
        <f t="shared" si="108"/>
        <v>0</v>
      </c>
      <c r="J200" s="711">
        <f t="shared" si="108"/>
        <v>0</v>
      </c>
      <c r="K200" s="712">
        <f t="shared" si="109"/>
        <v>0</v>
      </c>
      <c r="L200" s="507">
        <f t="shared" si="110"/>
        <v>0</v>
      </c>
      <c r="M200" s="236"/>
      <c r="N200" s="320"/>
      <c r="O200" s="220"/>
      <c r="P200" s="222"/>
      <c r="Q200" s="191"/>
      <c r="R200" s="68" t="str">
        <f>$Q$143</f>
        <v/>
      </c>
      <c r="S200" s="725">
        <f t="shared" si="111"/>
        <v>0</v>
      </c>
      <c r="T200" s="725">
        <f t="shared" si="111"/>
        <v>0</v>
      </c>
      <c r="U200" s="725">
        <f t="shared" si="111"/>
        <v>0</v>
      </c>
      <c r="V200" s="725">
        <f t="shared" si="111"/>
        <v>0</v>
      </c>
      <c r="W200" s="725">
        <f t="shared" si="111"/>
        <v>0</v>
      </c>
      <c r="X200" s="725">
        <f>SUM(S200:W200)</f>
        <v>0</v>
      </c>
      <c r="Y200" s="231"/>
      <c r="Z200" s="231"/>
      <c r="AA200" s="231"/>
      <c r="AB200" s="231"/>
      <c r="AC200" s="231"/>
      <c r="AD200" s="231"/>
      <c r="AE200" s="231"/>
      <c r="AF200" s="231"/>
      <c r="AG200" s="153"/>
      <c r="AH200" s="153"/>
      <c r="AI200" s="153"/>
      <c r="AJ200" s="535"/>
      <c r="AK200" s="153"/>
      <c r="AM200" s="59"/>
      <c r="AR200" s="149"/>
    </row>
    <row r="201" spans="2:44">
      <c r="B201" s="149"/>
      <c r="C201" s="149"/>
      <c r="D201" s="220"/>
      <c r="E201" s="511" t="s">
        <v>7694</v>
      </c>
      <c r="F201" s="711">
        <f t="shared" si="108"/>
        <v>0</v>
      </c>
      <c r="G201" s="711">
        <f t="shared" si="108"/>
        <v>0</v>
      </c>
      <c r="H201" s="711">
        <f t="shared" si="108"/>
        <v>0</v>
      </c>
      <c r="I201" s="711">
        <f t="shared" si="108"/>
        <v>0</v>
      </c>
      <c r="J201" s="711">
        <f t="shared" si="108"/>
        <v>0</v>
      </c>
      <c r="K201" s="712">
        <f t="shared" si="109"/>
        <v>0</v>
      </c>
      <c r="L201" s="507">
        <f t="shared" si="110"/>
        <v>0</v>
      </c>
      <c r="M201" s="246"/>
      <c r="N201" s="320"/>
      <c r="O201" s="220"/>
      <c r="P201" s="222"/>
      <c r="Q201" s="192"/>
      <c r="R201" s="68" t="str">
        <f>$Q$147</f>
        <v/>
      </c>
      <c r="S201" s="725">
        <f t="shared" si="111"/>
        <v>0</v>
      </c>
      <c r="T201" s="725">
        <f t="shared" si="111"/>
        <v>0</v>
      </c>
      <c r="U201" s="725">
        <f t="shared" si="111"/>
        <v>0</v>
      </c>
      <c r="V201" s="725">
        <f t="shared" si="111"/>
        <v>0</v>
      </c>
      <c r="W201" s="725">
        <f t="shared" si="111"/>
        <v>0</v>
      </c>
      <c r="X201" s="725">
        <f>SUM(S201:W201)</f>
        <v>0</v>
      </c>
      <c r="Y201" s="153"/>
      <c r="Z201" s="153"/>
      <c r="AA201" s="153"/>
      <c r="AB201" s="153"/>
      <c r="AC201" s="153"/>
      <c r="AD201" s="153"/>
      <c r="AE201" s="153"/>
      <c r="AF201" s="153"/>
      <c r="AG201" s="153"/>
      <c r="AH201" s="153"/>
      <c r="AI201" s="153"/>
      <c r="AJ201" s="535"/>
      <c r="AK201" s="153"/>
      <c r="AM201" s="59"/>
      <c r="AR201" s="149"/>
    </row>
    <row r="202" spans="2:44">
      <c r="B202" s="149"/>
      <c r="C202" s="149"/>
      <c r="D202" s="220"/>
      <c r="E202" s="511" t="s">
        <v>7698</v>
      </c>
      <c r="F202" s="711" t="str">
        <f>IF(ISNUMBER(F187),F187/$J$194,"")</f>
        <v/>
      </c>
      <c r="G202" s="711" t="str">
        <f>IF(ISNUMBER(G187),G187/$J$194,"")</f>
        <v/>
      </c>
      <c r="H202" s="711" t="str">
        <f>IF(ISNUMBER(H187),H187/$J$194,"")</f>
        <v/>
      </c>
      <c r="I202" s="711" t="str">
        <f>IF(ISNUMBER(I187),I187/$J$194,"")</f>
        <v/>
      </c>
      <c r="J202" s="711" t="str">
        <f>IF(ISNUMBER(J187),J187/$J$194,"")</f>
        <v/>
      </c>
      <c r="K202" s="712">
        <f t="shared" si="109"/>
        <v>0</v>
      </c>
      <c r="L202" s="507">
        <f t="shared" si="110"/>
        <v>0</v>
      </c>
      <c r="M202" s="246"/>
      <c r="N202" s="320"/>
      <c r="O202" s="220"/>
      <c r="P202" s="222"/>
      <c r="Q202" s="220" t="s">
        <v>6985</v>
      </c>
      <c r="R202" s="220"/>
      <c r="S202" s="675"/>
      <c r="T202" s="675"/>
      <c r="U202" s="675"/>
      <c r="V202" s="675"/>
      <c r="W202" s="675"/>
      <c r="X202" s="675"/>
      <c r="Y202" s="153"/>
      <c r="Z202" s="153"/>
      <c r="AA202" s="153"/>
      <c r="AB202" s="153"/>
      <c r="AC202" s="153"/>
      <c r="AD202" s="153"/>
      <c r="AE202" s="153"/>
      <c r="AF202" s="153"/>
      <c r="AG202" s="153"/>
      <c r="AH202" s="153"/>
      <c r="AI202" s="153"/>
      <c r="AJ202" s="535"/>
      <c r="AK202" s="153"/>
      <c r="AM202" s="59"/>
      <c r="AR202" s="149"/>
    </row>
    <row r="203" spans="2:44">
      <c r="B203" s="149"/>
      <c r="C203" s="149"/>
      <c r="D203" s="220"/>
      <c r="E203" s="511" t="s">
        <v>7537</v>
      </c>
      <c r="F203" s="711">
        <f t="shared" ref="F203:J205" si="112">IFERROR(F188/$J$194,"")</f>
        <v>0.46266064572081733</v>
      </c>
      <c r="G203" s="711">
        <f t="shared" si="112"/>
        <v>0</v>
      </c>
      <c r="H203" s="711">
        <f t="shared" si="112"/>
        <v>0</v>
      </c>
      <c r="I203" s="711">
        <f t="shared" si="112"/>
        <v>0</v>
      </c>
      <c r="J203" s="711">
        <f t="shared" si="112"/>
        <v>0</v>
      </c>
      <c r="K203" s="712">
        <f t="shared" si="109"/>
        <v>0.46266064572081733</v>
      </c>
      <c r="L203" s="507">
        <f t="shared" si="110"/>
        <v>0.92805311983243566</v>
      </c>
      <c r="M203" s="246"/>
      <c r="N203" s="320"/>
      <c r="O203" s="220"/>
      <c r="P203" s="222"/>
      <c r="Q203" s="218"/>
      <c r="R203" s="76" t="s">
        <v>145</v>
      </c>
      <c r="S203" s="725">
        <f>IF($Q$179="代替", S$98, IFERROR(VLOOKUP($Q$179&amp;$R203,$AI$152:$AJ$167,2,FALSE)*S$98,""))</f>
        <v>0</v>
      </c>
      <c r="T203" s="725">
        <f>IF($Q$179="代替", T$98, IFERROR(VLOOKUP($Q$179&amp;$R203,$AI$152:$AJ$167,2,FALSE)*T$98,""))</f>
        <v>0</v>
      </c>
      <c r="U203" s="725">
        <f>IF($Q$179="代替", U$98, IFERROR(VLOOKUP($Q$179&amp;$R203,$AI$152:$AJ$167,2,FALSE)*U$98,""))</f>
        <v>0</v>
      </c>
      <c r="V203" s="725">
        <f>IF($Q$179="代替", V$98, IFERROR(VLOOKUP($Q$179&amp;$R203,$AI$152:$AJ$167,2,FALSE)*V$98,""))</f>
        <v>0</v>
      </c>
      <c r="W203" s="725">
        <f>IF($Q$179="代替", W$98, IFERROR(VLOOKUP($Q$179&amp;$R203,$AI$152:$AJ$167,2,FALSE)*W$98,""))</f>
        <v>0</v>
      </c>
      <c r="X203" s="725">
        <f>SUM(S203:W203)</f>
        <v>0</v>
      </c>
      <c r="Y203" s="153"/>
      <c r="Z203" s="153"/>
      <c r="AA203" s="153"/>
      <c r="AB203" s="153"/>
      <c r="AC203" s="153"/>
      <c r="AD203" s="153"/>
      <c r="AE203" s="153"/>
      <c r="AF203" s="153"/>
      <c r="AG203" s="153"/>
      <c r="AH203" s="153"/>
      <c r="AI203" s="153"/>
      <c r="AJ203" s="535"/>
      <c r="AK203" s="153"/>
      <c r="AM203" s="59"/>
      <c r="AR203" s="149"/>
    </row>
    <row r="204" spans="2:44">
      <c r="B204" s="149"/>
      <c r="C204" s="149"/>
      <c r="D204" s="220"/>
      <c r="E204" s="511" t="s">
        <v>6973</v>
      </c>
      <c r="F204" s="711">
        <f t="shared" si="112"/>
        <v>0</v>
      </c>
      <c r="G204" s="711">
        <f t="shared" si="112"/>
        <v>0</v>
      </c>
      <c r="H204" s="711">
        <f t="shared" si="112"/>
        <v>0</v>
      </c>
      <c r="I204" s="711">
        <f t="shared" si="112"/>
        <v>0</v>
      </c>
      <c r="J204" s="711">
        <f t="shared" si="112"/>
        <v>0</v>
      </c>
      <c r="K204" s="712">
        <f t="shared" si="109"/>
        <v>0</v>
      </c>
      <c r="L204" s="507">
        <f t="shared" si="110"/>
        <v>0</v>
      </c>
      <c r="M204" s="173"/>
      <c r="N204" s="320"/>
      <c r="O204" s="220"/>
      <c r="P204" s="222"/>
      <c r="Q204" s="61"/>
      <c r="R204" s="68" t="str">
        <f>$Q$139</f>
        <v/>
      </c>
      <c r="S204" s="725">
        <f t="shared" ref="S204:W206" si="113">IF($Q$179="代替", "-", IFERROR(VLOOKUP($Q$179&amp;$R204,$AI$152:$AJ$167,2,FALSE)*S$98,""))</f>
        <v>0</v>
      </c>
      <c r="T204" s="725">
        <f t="shared" si="113"/>
        <v>0</v>
      </c>
      <c r="U204" s="725">
        <f t="shared" si="113"/>
        <v>0</v>
      </c>
      <c r="V204" s="725">
        <f t="shared" si="113"/>
        <v>0</v>
      </c>
      <c r="W204" s="725">
        <f t="shared" si="113"/>
        <v>0</v>
      </c>
      <c r="X204" s="725">
        <f>SUM(S204:W204)</f>
        <v>0</v>
      </c>
      <c r="Y204" s="153"/>
      <c r="Z204" s="153"/>
      <c r="AA204" s="153"/>
      <c r="AB204" s="153"/>
      <c r="AC204" s="153"/>
      <c r="AD204" s="153"/>
      <c r="AE204" s="153"/>
      <c r="AF204" s="153"/>
      <c r="AG204" s="153"/>
      <c r="AH204" s="153"/>
      <c r="AI204" s="153"/>
      <c r="AJ204" s="535"/>
      <c r="AK204" s="153"/>
      <c r="AM204" s="59"/>
      <c r="AR204" s="149"/>
    </row>
    <row r="205" spans="2:44">
      <c r="B205" s="149"/>
      <c r="C205" s="149"/>
      <c r="D205" s="220"/>
      <c r="E205" s="511" t="s">
        <v>7696</v>
      </c>
      <c r="F205" s="711">
        <f t="shared" si="112"/>
        <v>0.49852819395117476</v>
      </c>
      <c r="G205" s="711">
        <f t="shared" si="112"/>
        <v>0</v>
      </c>
      <c r="H205" s="711">
        <f t="shared" si="112"/>
        <v>0</v>
      </c>
      <c r="I205" s="711">
        <f t="shared" si="112"/>
        <v>0</v>
      </c>
      <c r="J205" s="711">
        <f t="shared" si="112"/>
        <v>0</v>
      </c>
      <c r="K205" s="712">
        <f t="shared" si="109"/>
        <v>0.49852819395117476</v>
      </c>
      <c r="L205" s="507">
        <f t="shared" si="110"/>
        <v>1</v>
      </c>
      <c r="M205" s="173"/>
      <c r="N205" s="320"/>
      <c r="O205" s="220"/>
      <c r="P205" s="220"/>
      <c r="Q205" s="191"/>
      <c r="R205" s="68" t="str">
        <f>$Q$143</f>
        <v/>
      </c>
      <c r="S205" s="725">
        <f t="shared" si="113"/>
        <v>0</v>
      </c>
      <c r="T205" s="725">
        <f t="shared" si="113"/>
        <v>0</v>
      </c>
      <c r="U205" s="725">
        <f t="shared" si="113"/>
        <v>0</v>
      </c>
      <c r="V205" s="725">
        <f t="shared" si="113"/>
        <v>0</v>
      </c>
      <c r="W205" s="725">
        <f t="shared" si="113"/>
        <v>0</v>
      </c>
      <c r="X205" s="725">
        <f>SUM(S205:W205)</f>
        <v>0</v>
      </c>
      <c r="Y205" s="153"/>
      <c r="Z205" s="153"/>
      <c r="AA205" s="153"/>
      <c r="AB205" s="153"/>
      <c r="AC205" s="153"/>
      <c r="AD205" s="153"/>
      <c r="AE205" s="153"/>
      <c r="AF205" s="153"/>
      <c r="AG205" s="153"/>
      <c r="AH205" s="153"/>
      <c r="AI205" s="153"/>
      <c r="AJ205" s="535"/>
      <c r="AK205" s="153"/>
      <c r="AM205" s="59"/>
      <c r="AR205" s="149"/>
    </row>
    <row r="206" spans="2:44">
      <c r="B206" s="149"/>
      <c r="C206" s="149"/>
      <c r="D206" s="220"/>
      <c r="E206" s="511" t="s">
        <v>7664</v>
      </c>
      <c r="F206" s="508">
        <f t="shared" ref="F206:K206" si="114">IF($K$205=0,0,F205/$K$205)</f>
        <v>1</v>
      </c>
      <c r="G206" s="508">
        <f t="shared" si="114"/>
        <v>0</v>
      </c>
      <c r="H206" s="508">
        <f t="shared" si="114"/>
        <v>0</v>
      </c>
      <c r="I206" s="508">
        <f t="shared" si="114"/>
        <v>0</v>
      </c>
      <c r="J206" s="508">
        <f t="shared" si="114"/>
        <v>0</v>
      </c>
      <c r="K206" s="508">
        <f t="shared" si="114"/>
        <v>1</v>
      </c>
      <c r="L206" s="509"/>
      <c r="M206" s="246"/>
      <c r="N206" s="320"/>
      <c r="O206" s="149"/>
      <c r="P206" s="149"/>
      <c r="Q206" s="192"/>
      <c r="R206" s="68" t="str">
        <f>$Q$147</f>
        <v/>
      </c>
      <c r="S206" s="725">
        <f t="shared" si="113"/>
        <v>0</v>
      </c>
      <c r="T206" s="725">
        <f t="shared" si="113"/>
        <v>0</v>
      </c>
      <c r="U206" s="725">
        <f t="shared" si="113"/>
        <v>0</v>
      </c>
      <c r="V206" s="725">
        <f t="shared" si="113"/>
        <v>0</v>
      </c>
      <c r="W206" s="725">
        <f t="shared" si="113"/>
        <v>0</v>
      </c>
      <c r="X206" s="725">
        <f>SUM(S206:W206)</f>
        <v>0</v>
      </c>
      <c r="Y206" s="153"/>
      <c r="Z206" s="153"/>
      <c r="AA206" s="153"/>
      <c r="AB206" s="153"/>
      <c r="AC206" s="153"/>
      <c r="AD206" s="153"/>
      <c r="AE206" s="153"/>
      <c r="AF206" s="153"/>
      <c r="AG206" s="153"/>
      <c r="AH206" s="153"/>
      <c r="AI206" s="153"/>
      <c r="AJ206" s="535"/>
      <c r="AK206" s="153"/>
      <c r="AR206" s="149"/>
    </row>
    <row r="207" spans="2:44">
      <c r="B207" s="149"/>
      <c r="C207" s="149"/>
      <c r="D207" s="220"/>
      <c r="E207" s="149"/>
      <c r="F207" s="149"/>
      <c r="G207" s="149"/>
      <c r="H207" s="149"/>
      <c r="I207" s="149"/>
      <c r="J207" s="149"/>
      <c r="K207" s="220"/>
      <c r="L207" s="149"/>
      <c r="M207" s="236"/>
      <c r="N207" s="320"/>
      <c r="O207" s="149"/>
      <c r="P207" s="149"/>
      <c r="Q207" s="222" t="s">
        <v>6987</v>
      </c>
      <c r="R207" s="222"/>
      <c r="S207" s="675"/>
      <c r="T207" s="675"/>
      <c r="U207" s="675"/>
      <c r="V207" s="677"/>
      <c r="W207" s="677"/>
      <c r="X207" s="676"/>
      <c r="Y207" s="153"/>
      <c r="Z207" s="153"/>
      <c r="AA207" s="153"/>
      <c r="AB207" s="153"/>
      <c r="AC207" s="153"/>
      <c r="AD207" s="153"/>
      <c r="AE207" s="153"/>
      <c r="AF207" s="153"/>
      <c r="AG207" s="153"/>
      <c r="AH207" s="153"/>
      <c r="AI207" s="153"/>
      <c r="AJ207" s="535"/>
      <c r="AK207" s="153"/>
      <c r="AR207" s="149"/>
    </row>
    <row r="208" spans="2:44">
      <c r="B208" s="149"/>
      <c r="C208" s="149"/>
      <c r="D208" s="220"/>
      <c r="E208" s="149"/>
      <c r="F208" s="220"/>
      <c r="G208" s="220"/>
      <c r="H208" s="220"/>
      <c r="I208" s="220"/>
      <c r="J208" s="220"/>
      <c r="K208" s="149"/>
      <c r="L208" s="149"/>
      <c r="M208" s="246"/>
      <c r="N208" s="320"/>
      <c r="O208" s="149"/>
      <c r="P208" s="149"/>
      <c r="Q208" s="218"/>
      <c r="R208" s="76" t="s">
        <v>145</v>
      </c>
      <c r="S208" s="725">
        <f>IF($Q$179="代替", S$107, IFERROR(VLOOKUP($Q$179&amp;$R208,$AI$152:$AJ$167,2,FALSE)*S$107,""))</f>
        <v>0</v>
      </c>
      <c r="T208" s="725">
        <f>IF($Q$179="代替", T$107, IFERROR(VLOOKUP($Q$179&amp;$R208,$AI$152:$AJ$167,2,FALSE)*T$107,""))</f>
        <v>0</v>
      </c>
      <c r="U208" s="725">
        <f>IF($Q$179="代替", U$107, IFERROR(VLOOKUP($Q$179&amp;$R208,$AI$152:$AJ$167,2,FALSE)*U$107,""))</f>
        <v>0</v>
      </c>
      <c r="V208" s="725">
        <f>IF($Q$179="代替", V$107, IFERROR(VLOOKUP($Q$179&amp;$R208,$AI$152:$AJ$167,2,FALSE)*V$107,""))</f>
        <v>0</v>
      </c>
      <c r="W208" s="725">
        <f>IF($Q$179="代替", W$107, IFERROR(VLOOKUP($Q$179&amp;$R208,$AI$152:$AJ$167,2,FALSE)*W$107,""))</f>
        <v>0</v>
      </c>
      <c r="X208" s="725">
        <f>SUM(S208:W208)</f>
        <v>0</v>
      </c>
      <c r="Y208" s="153"/>
      <c r="Z208" s="153"/>
      <c r="AA208" s="153"/>
      <c r="AB208" s="153"/>
      <c r="AC208" s="153"/>
      <c r="AD208" s="153"/>
      <c r="AE208" s="153"/>
      <c r="AF208" s="153"/>
      <c r="AG208" s="153"/>
      <c r="AH208" s="153"/>
      <c r="AR208" s="149"/>
    </row>
    <row r="209" spans="2:44">
      <c r="B209" s="149"/>
      <c r="C209" s="149"/>
      <c r="D209" s="149"/>
      <c r="E209" s="149"/>
      <c r="F209" s="220"/>
      <c r="G209" s="220"/>
      <c r="H209" s="220"/>
      <c r="I209" s="220"/>
      <c r="J209" s="220"/>
      <c r="K209" s="149"/>
      <c r="L209" s="149"/>
      <c r="M209" s="149"/>
      <c r="N209" s="320"/>
      <c r="O209" s="149"/>
      <c r="P209" s="149"/>
      <c r="Q209" s="61"/>
      <c r="R209" s="68" t="str">
        <f>$Q$139</f>
        <v/>
      </c>
      <c r="S209" s="725">
        <f t="shared" ref="S209:W211" si="115">IF($Q$179="代替", "-", IFERROR(VLOOKUP($Q$179&amp;$R209,$AI$152:$AJ$167,2,FALSE)*S$107,""))</f>
        <v>0</v>
      </c>
      <c r="T209" s="725">
        <f t="shared" si="115"/>
        <v>0</v>
      </c>
      <c r="U209" s="725">
        <f t="shared" si="115"/>
        <v>0</v>
      </c>
      <c r="V209" s="725">
        <f t="shared" si="115"/>
        <v>0</v>
      </c>
      <c r="W209" s="725">
        <f t="shared" si="115"/>
        <v>0</v>
      </c>
      <c r="X209" s="725">
        <f>SUM(S209:W209)</f>
        <v>0</v>
      </c>
      <c r="Y209" s="231"/>
      <c r="Z209" s="231"/>
      <c r="AA209" s="231"/>
      <c r="AB209" s="231"/>
      <c r="AC209" s="231"/>
      <c r="AD209" s="231"/>
      <c r="AE209" s="231"/>
      <c r="AF209" s="231"/>
      <c r="AG209" s="153"/>
      <c r="AH209" s="153"/>
      <c r="AR209" s="149"/>
    </row>
    <row r="210" spans="2:44">
      <c r="B210" s="149"/>
      <c r="C210" s="149"/>
      <c r="D210" s="149"/>
      <c r="E210" s="149"/>
      <c r="F210" s="220"/>
      <c r="G210" s="220"/>
      <c r="H210" s="220"/>
      <c r="I210" s="220"/>
      <c r="J210" s="220"/>
      <c r="K210" s="149"/>
      <c r="L210" s="149"/>
      <c r="M210" s="149"/>
      <c r="N210" s="320"/>
      <c r="O210" s="149"/>
      <c r="P210" s="149"/>
      <c r="Q210" s="191"/>
      <c r="R210" s="68" t="str">
        <f>$Q$143</f>
        <v/>
      </c>
      <c r="S210" s="725">
        <f t="shared" si="115"/>
        <v>0</v>
      </c>
      <c r="T210" s="725">
        <f t="shared" si="115"/>
        <v>0</v>
      </c>
      <c r="U210" s="725">
        <f t="shared" si="115"/>
        <v>0</v>
      </c>
      <c r="V210" s="725">
        <f t="shared" si="115"/>
        <v>0</v>
      </c>
      <c r="W210" s="725">
        <f t="shared" si="115"/>
        <v>0</v>
      </c>
      <c r="X210" s="725">
        <f>SUM(S210:W210)</f>
        <v>0</v>
      </c>
      <c r="Y210" s="231"/>
      <c r="Z210" s="231"/>
      <c r="AA210" s="231"/>
      <c r="AB210" s="231"/>
      <c r="AC210" s="231"/>
      <c r="AD210" s="231"/>
      <c r="AE210" s="231"/>
      <c r="AF210" s="231"/>
      <c r="AG210" s="153"/>
      <c r="AH210" s="153"/>
      <c r="AR210" s="149"/>
    </row>
    <row r="211" spans="2:44">
      <c r="B211" s="149"/>
      <c r="C211" s="149"/>
      <c r="D211" s="149"/>
      <c r="E211" s="149"/>
      <c r="F211" s="220"/>
      <c r="G211" s="220"/>
      <c r="H211" s="220"/>
      <c r="I211" s="220"/>
      <c r="J211" s="220"/>
      <c r="K211" s="149"/>
      <c r="L211" s="149"/>
      <c r="M211" s="149"/>
      <c r="N211" s="320"/>
      <c r="O211" s="149"/>
      <c r="P211" s="149"/>
      <c r="Q211" s="192"/>
      <c r="R211" s="68" t="str">
        <f>$Q$147</f>
        <v/>
      </c>
      <c r="S211" s="725">
        <f t="shared" si="115"/>
        <v>0</v>
      </c>
      <c r="T211" s="725">
        <f t="shared" si="115"/>
        <v>0</v>
      </c>
      <c r="U211" s="725">
        <f t="shared" si="115"/>
        <v>0</v>
      </c>
      <c r="V211" s="725">
        <f t="shared" si="115"/>
        <v>0</v>
      </c>
      <c r="W211" s="725">
        <f t="shared" si="115"/>
        <v>0</v>
      </c>
      <c r="X211" s="725">
        <f>SUM(S211:W211)</f>
        <v>0</v>
      </c>
      <c r="Y211" s="231"/>
      <c r="Z211" s="231"/>
      <c r="AA211" s="231"/>
      <c r="AB211" s="231"/>
      <c r="AC211" s="231"/>
      <c r="AD211" s="231"/>
      <c r="AE211" s="231"/>
      <c r="AF211" s="231"/>
      <c r="AG211" s="153"/>
      <c r="AH211" s="153"/>
      <c r="AR211" s="149"/>
    </row>
    <row r="212" spans="2:44">
      <c r="B212" s="149"/>
      <c r="C212" s="149"/>
      <c r="D212" s="149"/>
      <c r="E212" s="149"/>
      <c r="F212" s="220"/>
      <c r="G212" s="220"/>
      <c r="H212" s="220"/>
      <c r="I212" s="220"/>
      <c r="J212" s="220"/>
      <c r="K212" s="149"/>
      <c r="L212" s="149"/>
      <c r="M212" s="149"/>
      <c r="N212" s="320"/>
      <c r="O212" s="149"/>
      <c r="P212" s="149"/>
      <c r="Q212" s="258" t="s">
        <v>6974</v>
      </c>
      <c r="R212" s="222"/>
      <c r="S212" s="675"/>
      <c r="T212" s="675"/>
      <c r="U212" s="675"/>
      <c r="V212" s="677"/>
      <c r="W212" s="677"/>
      <c r="X212" s="676"/>
      <c r="Y212" s="231"/>
      <c r="Z212" s="231"/>
      <c r="AA212" s="231"/>
      <c r="AB212" s="231"/>
      <c r="AC212" s="231"/>
      <c r="AD212" s="231"/>
      <c r="AE212" s="231"/>
      <c r="AF212" s="231"/>
      <c r="AG212" s="153"/>
      <c r="AH212" s="153"/>
      <c r="AI212" s="153"/>
      <c r="AR212" s="149"/>
    </row>
    <row r="213" spans="2:44">
      <c r="B213" s="149"/>
      <c r="C213" s="149"/>
      <c r="D213" s="149"/>
      <c r="E213" s="149"/>
      <c r="F213" s="220"/>
      <c r="G213" s="220"/>
      <c r="H213" s="220"/>
      <c r="I213" s="220"/>
      <c r="J213" s="220"/>
      <c r="K213" s="149"/>
      <c r="L213" s="149"/>
      <c r="M213" s="149"/>
      <c r="N213" s="320"/>
      <c r="O213" s="149"/>
      <c r="P213" s="149"/>
      <c r="Q213" s="218"/>
      <c r="R213" s="76" t="s">
        <v>145</v>
      </c>
      <c r="S213" s="725">
        <f>IF($Q$179="代替", (S$123+S$130), IFERROR(VLOOKUP($Q$179&amp;$R213,$AI$152:$AJ$167,2,FALSE)*(S$123+S$130),""))</f>
        <v>46.266064572081731</v>
      </c>
      <c r="T213" s="725">
        <f>IF($Q$179="代替", (T$123+T$130), IFERROR(VLOOKUP($Q$179&amp;$R213,$AI$152:$AJ$167,2,FALSE)*(T$123+T$130),""))</f>
        <v>0</v>
      </c>
      <c r="U213" s="725">
        <f>IF($Q$179="代替", (U$123+U$130), IFERROR(VLOOKUP($Q$179&amp;$R213,$AI$152:$AJ$167,2,FALSE)*(U$123+U$130),""))</f>
        <v>0</v>
      </c>
      <c r="V213" s="725">
        <f>IF($Q$179="代替", (V$123+V$130), IFERROR(VLOOKUP($Q$179&amp;$R213,$AI$152:$AJ$167,2,FALSE)*(V$123+V$130),""))</f>
        <v>0</v>
      </c>
      <c r="W213" s="725">
        <f>IF($Q$179="代替", (W$123+W$130), IFERROR(VLOOKUP($Q$179&amp;$R213,$AI$152:$AJ$167,2,FALSE)*(W$123+W$130),""))</f>
        <v>0</v>
      </c>
      <c r="X213" s="725">
        <f>SUM(S213:W213)</f>
        <v>46.266064572081731</v>
      </c>
      <c r="Y213" s="231"/>
      <c r="Z213" s="231"/>
      <c r="AA213" s="231"/>
      <c r="AB213" s="231"/>
      <c r="AC213" s="231"/>
      <c r="AD213" s="231"/>
      <c r="AE213" s="231"/>
      <c r="AF213" s="231"/>
      <c r="AR213" s="149"/>
    </row>
    <row r="214" spans="2:44">
      <c r="B214" s="149"/>
      <c r="C214" s="149"/>
      <c r="D214" s="149"/>
      <c r="E214" s="149"/>
      <c r="F214" s="220"/>
      <c r="G214" s="220"/>
      <c r="H214" s="220"/>
      <c r="I214" s="220"/>
      <c r="J214" s="220"/>
      <c r="K214" s="149"/>
      <c r="L214" s="149"/>
      <c r="M214" s="149"/>
      <c r="N214" s="320"/>
      <c r="O214" s="149"/>
      <c r="P214" s="149"/>
      <c r="Q214" s="61"/>
      <c r="R214" s="68" t="str">
        <f>$Q$139</f>
        <v/>
      </c>
      <c r="S214" s="725">
        <f t="shared" ref="S214:W216" si="116">IF($Q$179="代替", "-", IFERROR(VLOOKUP($Q$179&amp;$R214,$AI$152:$AJ$167,2,FALSE)* (S$123+S$130),""))</f>
        <v>0</v>
      </c>
      <c r="T214" s="725">
        <f t="shared" si="116"/>
        <v>0</v>
      </c>
      <c r="U214" s="725">
        <f t="shared" si="116"/>
        <v>0</v>
      </c>
      <c r="V214" s="725">
        <f t="shared" si="116"/>
        <v>0</v>
      </c>
      <c r="W214" s="725">
        <f t="shared" si="116"/>
        <v>0</v>
      </c>
      <c r="X214" s="725">
        <f>SUM(S214:W214)</f>
        <v>0</v>
      </c>
      <c r="Y214" s="231"/>
      <c r="Z214" s="231"/>
      <c r="AA214" s="231"/>
      <c r="AB214" s="231"/>
      <c r="AC214" s="231"/>
      <c r="AD214" s="231"/>
      <c r="AE214" s="231"/>
      <c r="AF214" s="231"/>
      <c r="AR214" s="149"/>
    </row>
    <row r="215" spans="2:44">
      <c r="B215" s="149"/>
      <c r="C215" s="149"/>
      <c r="D215" s="149"/>
      <c r="E215" s="149"/>
      <c r="F215" s="220"/>
      <c r="G215" s="220"/>
      <c r="H215" s="220"/>
      <c r="I215" s="220"/>
      <c r="J215" s="220"/>
      <c r="K215" s="149"/>
      <c r="L215" s="149"/>
      <c r="M215" s="149"/>
      <c r="N215" s="320"/>
      <c r="O215" s="149"/>
      <c r="P215" s="149"/>
      <c r="Q215" s="191"/>
      <c r="R215" s="68" t="str">
        <f>$Q$143</f>
        <v/>
      </c>
      <c r="S215" s="725">
        <f t="shared" si="116"/>
        <v>0</v>
      </c>
      <c r="T215" s="725">
        <f t="shared" si="116"/>
        <v>0</v>
      </c>
      <c r="U215" s="725">
        <f t="shared" si="116"/>
        <v>0</v>
      </c>
      <c r="V215" s="725">
        <f t="shared" si="116"/>
        <v>0</v>
      </c>
      <c r="W215" s="725">
        <f t="shared" si="116"/>
        <v>0</v>
      </c>
      <c r="X215" s="725">
        <f>SUM(S215:W215)</f>
        <v>0</v>
      </c>
      <c r="Y215" s="231"/>
      <c r="Z215" s="231"/>
      <c r="AA215" s="231"/>
      <c r="AB215" s="231"/>
      <c r="AC215" s="231"/>
      <c r="AD215" s="231"/>
      <c r="AE215" s="231"/>
      <c r="AF215" s="231"/>
      <c r="AR215" s="149"/>
    </row>
    <row r="216" spans="2:44">
      <c r="B216" s="149"/>
      <c r="C216" s="149"/>
      <c r="D216" s="149"/>
      <c r="E216" s="149"/>
      <c r="F216" s="220"/>
      <c r="G216" s="220"/>
      <c r="H216" s="220"/>
      <c r="I216" s="220"/>
      <c r="J216" s="220"/>
      <c r="K216" s="149"/>
      <c r="L216" s="149"/>
      <c r="M216" s="149"/>
      <c r="N216" s="320"/>
      <c r="O216" s="149"/>
      <c r="P216" s="149"/>
      <c r="Q216" s="192"/>
      <c r="R216" s="68" t="str">
        <f>$Q$147</f>
        <v/>
      </c>
      <c r="S216" s="725">
        <f t="shared" si="116"/>
        <v>0</v>
      </c>
      <c r="T216" s="725">
        <f t="shared" si="116"/>
        <v>0</v>
      </c>
      <c r="U216" s="725">
        <f t="shared" si="116"/>
        <v>0</v>
      </c>
      <c r="V216" s="725">
        <f t="shared" si="116"/>
        <v>0</v>
      </c>
      <c r="W216" s="725">
        <f t="shared" si="116"/>
        <v>0</v>
      </c>
      <c r="X216" s="725">
        <f>SUM(S216:W216)</f>
        <v>0</v>
      </c>
      <c r="Y216" s="231"/>
      <c r="Z216" s="231"/>
      <c r="AA216" s="231"/>
      <c r="AB216" s="231"/>
      <c r="AC216" s="231"/>
      <c r="AD216" s="231"/>
      <c r="AE216" s="231"/>
      <c r="AF216" s="231"/>
      <c r="AR216" s="149"/>
    </row>
    <row r="217" spans="2:44">
      <c r="B217" s="149"/>
      <c r="C217" s="149"/>
      <c r="D217" s="149"/>
      <c r="E217" s="149"/>
      <c r="F217" s="220"/>
      <c r="G217" s="220"/>
      <c r="H217" s="220"/>
      <c r="I217" s="220"/>
      <c r="J217" s="220"/>
      <c r="K217" s="149"/>
      <c r="L217" s="149"/>
      <c r="M217" s="149"/>
      <c r="N217" s="320"/>
      <c r="O217" s="149"/>
      <c r="P217" s="149"/>
      <c r="Q217" s="277" t="s">
        <v>7047</v>
      </c>
      <c r="R217" s="222"/>
      <c r="S217" s="675"/>
      <c r="T217" s="675"/>
      <c r="U217" s="675"/>
      <c r="V217" s="677"/>
      <c r="W217" s="677"/>
      <c r="X217" s="676"/>
      <c r="Y217" s="231"/>
      <c r="Z217" s="231"/>
      <c r="AA217" s="231"/>
      <c r="AB217" s="231"/>
      <c r="AC217" s="231"/>
      <c r="AD217" s="231"/>
      <c r="AE217" s="231"/>
      <c r="AF217" s="231"/>
      <c r="AR217" s="149"/>
    </row>
    <row r="218" spans="2:44">
      <c r="B218" s="149"/>
      <c r="C218" s="149"/>
      <c r="D218" s="149"/>
      <c r="E218" s="149"/>
      <c r="F218" s="220"/>
      <c r="G218" s="220"/>
      <c r="H218" s="220"/>
      <c r="I218" s="220"/>
      <c r="J218" s="220"/>
      <c r="K218" s="149"/>
      <c r="L218" s="149"/>
      <c r="M218" s="149"/>
      <c r="N218" s="320"/>
      <c r="O218" s="149"/>
      <c r="P218" s="149"/>
      <c r="Q218" s="218"/>
      <c r="R218" s="76" t="s">
        <v>145</v>
      </c>
      <c r="S218" s="725">
        <f>IF($Q$179="代替", S$88, IFERROR(VLOOKUP($Q$179&amp;$R218,$AI$152:$AJ$167,2,FALSE)*S$88,""))</f>
        <v>0</v>
      </c>
      <c r="T218" s="725">
        <f>IF($Q$179="代替", T$88, IFERROR(VLOOKUP($Q$179&amp;$R218,$AI$152:$AJ$167,2,FALSE)*T$88,""))</f>
        <v>0</v>
      </c>
      <c r="U218" s="725">
        <f>IF($Q$179="代替", U$88, IFERROR(VLOOKUP($Q$179&amp;$R218,$AI$152:$AJ$167,2,FALSE)*U$88,""))</f>
        <v>0</v>
      </c>
      <c r="V218" s="725">
        <f>IF($Q$179="代替", V$88, IFERROR(VLOOKUP($Q$179&amp;$R218,$AI$152:$AJ$167,2,FALSE)*V$88,""))</f>
        <v>0</v>
      </c>
      <c r="W218" s="725">
        <f>IF($Q$179="代替", W$88, IFERROR(VLOOKUP($Q$179&amp;$R218,$AI$152:$AJ$167,2,FALSE)*W$88,""))</f>
        <v>0</v>
      </c>
      <c r="X218" s="725">
        <f>SUM(S218:W218)</f>
        <v>0</v>
      </c>
      <c r="Y218" s="231"/>
      <c r="Z218" s="231"/>
      <c r="AA218" s="231"/>
      <c r="AB218" s="231"/>
      <c r="AC218" s="231"/>
      <c r="AD218" s="231"/>
      <c r="AE218" s="231"/>
      <c r="AF218" s="231"/>
      <c r="AR218" s="149"/>
    </row>
    <row r="219" spans="2:44">
      <c r="B219" s="149"/>
      <c r="C219" s="149"/>
      <c r="D219" s="149"/>
      <c r="E219" s="149"/>
      <c r="F219" s="220"/>
      <c r="G219" s="220"/>
      <c r="H219" s="220"/>
      <c r="I219" s="220"/>
      <c r="J219" s="220"/>
      <c r="K219" s="149"/>
      <c r="L219" s="149"/>
      <c r="M219" s="149"/>
      <c r="N219" s="320"/>
      <c r="O219" s="149"/>
      <c r="P219" s="149"/>
      <c r="Q219" s="61"/>
      <c r="R219" s="68" t="str">
        <f>$Q$139</f>
        <v/>
      </c>
      <c r="S219" s="725">
        <f t="shared" ref="S219:W221" si="117">IF($Q$179="代替", "-", IFERROR(VLOOKUP($Q$179&amp;$R219,$AI$152:$AJ$167,2,FALSE)*S$88,""))</f>
        <v>0</v>
      </c>
      <c r="T219" s="725">
        <f t="shared" si="117"/>
        <v>0</v>
      </c>
      <c r="U219" s="725">
        <f t="shared" si="117"/>
        <v>0</v>
      </c>
      <c r="V219" s="725">
        <f t="shared" si="117"/>
        <v>0</v>
      </c>
      <c r="W219" s="725">
        <f t="shared" si="117"/>
        <v>0</v>
      </c>
      <c r="X219" s="725">
        <f>SUM(S219:W219)</f>
        <v>0</v>
      </c>
      <c r="Y219" s="231"/>
      <c r="Z219" s="231"/>
      <c r="AA219" s="231"/>
      <c r="AB219" s="231"/>
      <c r="AC219" s="231"/>
      <c r="AD219" s="231"/>
      <c r="AE219" s="231"/>
      <c r="AF219" s="231"/>
      <c r="AR219" s="149"/>
    </row>
    <row r="220" spans="2:44">
      <c r="B220" s="149"/>
      <c r="C220" s="149"/>
      <c r="D220" s="149"/>
      <c r="E220" s="149"/>
      <c r="F220" s="220"/>
      <c r="G220" s="220"/>
      <c r="H220" s="220"/>
      <c r="I220" s="220"/>
      <c r="J220" s="220"/>
      <c r="K220" s="149"/>
      <c r="L220" s="149"/>
      <c r="M220" s="149"/>
      <c r="N220" s="320"/>
      <c r="O220" s="149"/>
      <c r="P220" s="149"/>
      <c r="Q220" s="191"/>
      <c r="R220" s="68" t="str">
        <f>$Q$143</f>
        <v/>
      </c>
      <c r="S220" s="725">
        <f t="shared" si="117"/>
        <v>0</v>
      </c>
      <c r="T220" s="725">
        <f t="shared" si="117"/>
        <v>0</v>
      </c>
      <c r="U220" s="725">
        <f t="shared" si="117"/>
        <v>0</v>
      </c>
      <c r="V220" s="725">
        <f t="shared" si="117"/>
        <v>0</v>
      </c>
      <c r="W220" s="725">
        <f t="shared" si="117"/>
        <v>0</v>
      </c>
      <c r="X220" s="725">
        <f>SUM(S220:W220)</f>
        <v>0</v>
      </c>
      <c r="Y220" s="231"/>
      <c r="Z220" s="231"/>
      <c r="AA220" s="231"/>
      <c r="AB220" s="231"/>
      <c r="AC220" s="231"/>
      <c r="AD220" s="231"/>
      <c r="AE220" s="231"/>
      <c r="AF220" s="231"/>
      <c r="AR220" s="149"/>
    </row>
    <row r="221" spans="2:44">
      <c r="B221" s="149"/>
      <c r="C221" s="149"/>
      <c r="D221" s="149"/>
      <c r="E221" s="149"/>
      <c r="F221" s="220"/>
      <c r="G221" s="220"/>
      <c r="H221" s="220"/>
      <c r="I221" s="220"/>
      <c r="J221" s="220"/>
      <c r="K221" s="149"/>
      <c r="L221" s="149"/>
      <c r="M221" s="149"/>
      <c r="N221" s="320"/>
      <c r="O221" s="149"/>
      <c r="P221" s="149"/>
      <c r="Q221" s="192"/>
      <c r="R221" s="68" t="str">
        <f>$Q$147</f>
        <v/>
      </c>
      <c r="S221" s="725">
        <f t="shared" si="117"/>
        <v>0</v>
      </c>
      <c r="T221" s="725">
        <f t="shared" si="117"/>
        <v>0</v>
      </c>
      <c r="U221" s="725">
        <f t="shared" si="117"/>
        <v>0</v>
      </c>
      <c r="V221" s="725">
        <f t="shared" si="117"/>
        <v>0</v>
      </c>
      <c r="W221" s="725">
        <f t="shared" si="117"/>
        <v>0</v>
      </c>
      <c r="X221" s="725">
        <f>SUM(S221:W221)</f>
        <v>0</v>
      </c>
      <c r="Y221" s="231"/>
      <c r="Z221" s="231"/>
      <c r="AA221" s="231"/>
      <c r="AB221" s="231"/>
      <c r="AC221" s="231"/>
      <c r="AD221" s="231"/>
      <c r="AE221" s="231"/>
      <c r="AF221" s="231"/>
      <c r="AR221" s="149"/>
    </row>
    <row r="222" spans="2:44">
      <c r="C222" s="149"/>
      <c r="D222" s="149"/>
      <c r="E222" s="149"/>
      <c r="Q222" s="149"/>
      <c r="R222" s="149"/>
      <c r="S222" s="59"/>
      <c r="T222" s="59"/>
      <c r="U222" s="59"/>
      <c r="V222" s="59"/>
      <c r="W222" s="59"/>
      <c r="X222" s="59"/>
      <c r="Y222" s="59"/>
    </row>
    <row r="223" spans="2:44">
      <c r="Q223" s="149"/>
      <c r="R223" s="149"/>
      <c r="S223" s="59"/>
      <c r="T223" s="59"/>
      <c r="U223" s="59"/>
      <c r="V223" s="59"/>
      <c r="W223" s="59"/>
      <c r="X223" s="59"/>
      <c r="Y223" s="59"/>
    </row>
    <row r="224" spans="2:44">
      <c r="Q224" s="149"/>
      <c r="R224" s="149"/>
      <c r="S224" s="59"/>
      <c r="T224" s="59"/>
      <c r="U224" s="59"/>
      <c r="V224" s="59"/>
      <c r="W224" s="59"/>
      <c r="X224" s="59"/>
      <c r="Y224" s="328"/>
      <c r="Z224" s="329"/>
    </row>
    <row r="225" spans="2:26">
      <c r="B225" s="149"/>
      <c r="C225" s="149"/>
      <c r="D225" s="149"/>
      <c r="E225" s="149"/>
      <c r="F225" s="172"/>
      <c r="Q225" s="149"/>
      <c r="R225" s="149"/>
      <c r="S225" s="59"/>
      <c r="T225" s="59"/>
      <c r="U225" s="59"/>
      <c r="V225" s="59"/>
      <c r="W225" s="59"/>
      <c r="X225" s="59"/>
      <c r="Y225" s="328"/>
      <c r="Z225" s="329"/>
    </row>
    <row r="226" spans="2:26">
      <c r="Q226" s="149"/>
      <c r="R226" s="149"/>
      <c r="S226" s="59"/>
      <c r="T226" s="59"/>
      <c r="U226" s="59"/>
      <c r="V226" s="59"/>
      <c r="W226" s="59"/>
      <c r="X226" s="59"/>
      <c r="Z226" s="329"/>
    </row>
    <row r="227" spans="2:26">
      <c r="Q227" s="246"/>
      <c r="R227" s="149"/>
      <c r="S227" s="59"/>
      <c r="T227" s="59"/>
      <c r="U227" s="59"/>
      <c r="V227" s="59"/>
      <c r="W227" s="59"/>
      <c r="X227" s="59"/>
      <c r="Z227" s="329"/>
    </row>
    <row r="228" spans="2:26">
      <c r="Q228" s="236"/>
      <c r="R228" s="149"/>
      <c r="S228" s="328"/>
      <c r="T228" s="328"/>
      <c r="U228" s="328"/>
      <c r="V228" s="328"/>
      <c r="W228" s="328"/>
      <c r="X228" s="328"/>
      <c r="Z228" s="329"/>
    </row>
    <row r="229" spans="2:26">
      <c r="Q229" s="246"/>
      <c r="R229" s="149"/>
      <c r="S229" s="328"/>
      <c r="T229" s="328"/>
      <c r="U229" s="328"/>
      <c r="V229" s="328"/>
      <c r="W229" s="328"/>
      <c r="X229" s="328"/>
      <c r="Z229" s="329"/>
    </row>
    <row r="230" spans="2:26">
      <c r="Q230" s="246"/>
      <c r="R230" s="149"/>
      <c r="Z230" s="329"/>
    </row>
    <row r="231" spans="2:26">
      <c r="Q231" s="246"/>
      <c r="R231" s="149"/>
      <c r="Z231" s="329"/>
    </row>
    <row r="232" spans="2:26">
      <c r="B232" s="149"/>
      <c r="C232" s="149"/>
      <c r="D232" s="149"/>
      <c r="E232" s="149"/>
      <c r="F232" s="173"/>
      <c r="Q232" s="172"/>
      <c r="R232" s="149"/>
      <c r="Z232" s="329"/>
    </row>
    <row r="233" spans="2:26">
      <c r="Q233" s="173"/>
      <c r="R233" s="149"/>
      <c r="Y233" s="328"/>
      <c r="Z233" s="329"/>
    </row>
    <row r="234" spans="2:26">
      <c r="Q234" s="246"/>
      <c r="R234" s="149"/>
      <c r="Y234" s="328"/>
      <c r="Z234" s="329"/>
    </row>
    <row r="235" spans="2:26">
      <c r="Q235" s="236"/>
      <c r="R235" s="149"/>
      <c r="Y235" s="328"/>
      <c r="Z235" s="329"/>
    </row>
    <row r="236" spans="2:26">
      <c r="Q236" s="246"/>
      <c r="R236" s="149"/>
      <c r="Y236" s="328"/>
      <c r="Z236" s="329"/>
    </row>
    <row r="237" spans="2:26">
      <c r="P237" s="246"/>
      <c r="Q237" s="246"/>
      <c r="R237" s="149"/>
      <c r="S237" s="328"/>
      <c r="T237" s="328"/>
      <c r="U237" s="328"/>
      <c r="V237" s="328"/>
      <c r="W237" s="328"/>
      <c r="X237" s="328"/>
      <c r="Y237" s="59"/>
    </row>
    <row r="238" spans="2:26">
      <c r="P238" s="246"/>
      <c r="Q238" s="246"/>
      <c r="R238" s="149"/>
      <c r="S238" s="328"/>
      <c r="T238" s="328"/>
      <c r="U238" s="328"/>
      <c r="V238" s="328"/>
      <c r="W238" s="328"/>
      <c r="X238" s="328"/>
      <c r="Y238" s="59"/>
    </row>
    <row r="239" spans="2:26">
      <c r="F239" s="149"/>
      <c r="P239" s="149"/>
      <c r="Q239" s="173"/>
      <c r="R239" s="149"/>
      <c r="S239" s="328"/>
      <c r="T239" s="328"/>
      <c r="U239" s="328"/>
      <c r="V239" s="328"/>
      <c r="W239" s="328"/>
      <c r="X239" s="328"/>
      <c r="Y239" s="59"/>
    </row>
    <row r="240" spans="2:26">
      <c r="F240" s="59"/>
      <c r="Q240" s="173"/>
      <c r="R240" s="149"/>
      <c r="S240" s="328"/>
      <c r="T240" s="328"/>
      <c r="U240" s="328"/>
      <c r="V240" s="328"/>
      <c r="W240" s="328"/>
      <c r="X240" s="328"/>
      <c r="Y240" s="59"/>
    </row>
    <row r="241" spans="6:25">
      <c r="F241" s="59"/>
      <c r="G241" s="59"/>
      <c r="H241" s="59"/>
      <c r="I241" s="59"/>
      <c r="J241" s="59"/>
      <c r="N241" s="59"/>
      <c r="Q241" s="246"/>
      <c r="R241" s="149"/>
      <c r="S241" s="59"/>
      <c r="T241" s="59"/>
      <c r="U241" s="59"/>
      <c r="V241" s="59"/>
      <c r="W241" s="59"/>
      <c r="X241" s="59"/>
      <c r="Y241" s="59"/>
    </row>
    <row r="242" spans="6:25">
      <c r="Q242" s="236"/>
      <c r="R242" s="149"/>
      <c r="S242" s="59"/>
      <c r="T242" s="59"/>
      <c r="U242" s="59"/>
      <c r="V242" s="59"/>
      <c r="W242" s="59"/>
      <c r="X242" s="59"/>
      <c r="Y242" s="59"/>
    </row>
    <row r="243" spans="6:25">
      <c r="Q243" s="246"/>
      <c r="R243" s="149"/>
      <c r="S243" s="59"/>
      <c r="T243" s="59"/>
      <c r="U243" s="59"/>
      <c r="V243" s="59"/>
      <c r="W243" s="59"/>
      <c r="X243" s="59"/>
      <c r="Y243" s="59"/>
    </row>
    <row r="244" spans="6:25">
      <c r="Q244" s="246"/>
      <c r="R244" s="149"/>
      <c r="S244" s="59"/>
      <c r="T244" s="59"/>
      <c r="U244" s="59"/>
      <c r="V244" s="59"/>
      <c r="W244" s="59"/>
      <c r="X244" s="59"/>
      <c r="Y244" s="59"/>
    </row>
    <row r="245" spans="6:25">
      <c r="Q245" s="246"/>
      <c r="R245" s="149"/>
      <c r="S245" s="59"/>
      <c r="T245" s="59"/>
      <c r="U245" s="59"/>
      <c r="V245" s="59"/>
      <c r="W245" s="59"/>
      <c r="X245" s="59"/>
    </row>
    <row r="246" spans="6:25">
      <c r="Q246" s="149"/>
      <c r="R246" s="153"/>
      <c r="S246" s="59"/>
      <c r="T246" s="59"/>
      <c r="U246" s="59"/>
      <c r="V246" s="59"/>
      <c r="W246" s="59"/>
      <c r="X246" s="59"/>
    </row>
    <row r="247" spans="6:25">
      <c r="S247" s="59"/>
      <c r="T247" s="59"/>
      <c r="U247" s="59"/>
      <c r="V247" s="59"/>
      <c r="W247" s="59"/>
      <c r="X247" s="59"/>
    </row>
    <row r="248" spans="6:25">
      <c r="S248" s="59"/>
      <c r="T248" s="59"/>
      <c r="U248" s="59"/>
      <c r="V248" s="59"/>
      <c r="W248" s="59"/>
      <c r="X248" s="59"/>
    </row>
  </sheetData>
  <sheetProtection sheet="1" objects="1" scenarios="1"/>
  <mergeCells count="247">
    <mergeCell ref="Y125:AD125"/>
    <mergeCell ref="Q23:R23"/>
    <mergeCell ref="Q31:R31"/>
    <mergeCell ref="Q32:R32"/>
    <mergeCell ref="AJ75:AK76"/>
    <mergeCell ref="G194:H194"/>
    <mergeCell ref="Q128:R128"/>
    <mergeCell ref="Q129:R129"/>
    <mergeCell ref="Q116:R116"/>
    <mergeCell ref="Q117:R117"/>
    <mergeCell ref="Y55:AD55"/>
    <mergeCell ref="AJ55:AK56"/>
    <mergeCell ref="AJ125:AK126"/>
    <mergeCell ref="AJ64:AK65"/>
    <mergeCell ref="Q115:R115"/>
    <mergeCell ref="S75:X75"/>
    <mergeCell ref="Y111:AD111"/>
    <mergeCell ref="S111:X111"/>
    <mergeCell ref="E192:L192"/>
    <mergeCell ref="J194:K194"/>
    <mergeCell ref="Q181:R182"/>
    <mergeCell ref="S181:X181"/>
    <mergeCell ref="E179:K179"/>
    <mergeCell ref="AJ92:AK93"/>
    <mergeCell ref="AJ102:AK103"/>
    <mergeCell ref="Q75:R76"/>
    <mergeCell ref="Q81:R81"/>
    <mergeCell ref="Q82:R82"/>
    <mergeCell ref="Y64:AD64"/>
    <mergeCell ref="Q80:R80"/>
    <mergeCell ref="AJ21:AK22"/>
    <mergeCell ref="B35:O35"/>
    <mergeCell ref="B37:E38"/>
    <mergeCell ref="F37:K37"/>
    <mergeCell ref="L37:L38"/>
    <mergeCell ref="M37:O38"/>
    <mergeCell ref="Q37:R38"/>
    <mergeCell ref="S37:X37"/>
    <mergeCell ref="Y37:AD37"/>
    <mergeCell ref="B21:E22"/>
    <mergeCell ref="F21:K21"/>
    <mergeCell ref="L21:L22"/>
    <mergeCell ref="M21:O22"/>
    <mergeCell ref="Q21:R22"/>
    <mergeCell ref="S21:X21"/>
    <mergeCell ref="Y21:AD21"/>
    <mergeCell ref="S102:X102"/>
    <mergeCell ref="B58:D58"/>
    <mergeCell ref="E177:F177"/>
    <mergeCell ref="Q64:R65"/>
    <mergeCell ref="B132:O132"/>
    <mergeCell ref="B111:E112"/>
    <mergeCell ref="F111:K111"/>
    <mergeCell ref="L111:M112"/>
    <mergeCell ref="N111:O112"/>
    <mergeCell ref="Q77:R77"/>
    <mergeCell ref="Q79:R79"/>
    <mergeCell ref="Q83:R83"/>
    <mergeCell ref="B128:D128"/>
    <mergeCell ref="B129:D129"/>
    <mergeCell ref="Q127:R127"/>
    <mergeCell ref="Q152:X152"/>
    <mergeCell ref="Q154:R155"/>
    <mergeCell ref="S154:X154"/>
    <mergeCell ref="B113:D113"/>
    <mergeCell ref="B73:O73"/>
    <mergeCell ref="Q88:R88"/>
    <mergeCell ref="B100:O100"/>
    <mergeCell ref="B102:E103"/>
    <mergeCell ref="S92:X92"/>
    <mergeCell ref="Q106:R106"/>
    <mergeCell ref="Q102:R103"/>
    <mergeCell ref="Q156:R156"/>
    <mergeCell ref="B114:D114"/>
    <mergeCell ref="B115:D115"/>
    <mergeCell ref="B116:D116"/>
    <mergeCell ref="B117:D117"/>
    <mergeCell ref="L114:M114"/>
    <mergeCell ref="L115:M115"/>
    <mergeCell ref="L116:M116"/>
    <mergeCell ref="L117:M117"/>
    <mergeCell ref="B118:D118"/>
    <mergeCell ref="B119:D119"/>
    <mergeCell ref="Q143:Q146"/>
    <mergeCell ref="Q147:Q150"/>
    <mergeCell ref="F137:K137"/>
    <mergeCell ref="Q139:Q142"/>
    <mergeCell ref="B121:D121"/>
    <mergeCell ref="L137:L138"/>
    <mergeCell ref="B125:E126"/>
    <mergeCell ref="F125:K125"/>
    <mergeCell ref="L125:L126"/>
    <mergeCell ref="M125:O126"/>
    <mergeCell ref="B120:D120"/>
    <mergeCell ref="Q137:R138"/>
    <mergeCell ref="B137:E137"/>
    <mergeCell ref="B1:D1"/>
    <mergeCell ref="B104:D104"/>
    <mergeCell ref="B50:C50"/>
    <mergeCell ref="B51:C51"/>
    <mergeCell ref="B52:C52"/>
    <mergeCell ref="B94:C94"/>
    <mergeCell ref="B96:C96"/>
    <mergeCell ref="B90:O90"/>
    <mergeCell ref="B19:O19"/>
    <mergeCell ref="B62:O62"/>
    <mergeCell ref="F64:K64"/>
    <mergeCell ref="L64:L65"/>
    <mergeCell ref="M64:O65"/>
    <mergeCell ref="B16:C16"/>
    <mergeCell ref="B17:C17"/>
    <mergeCell ref="B77:C77"/>
    <mergeCell ref="B78:C78"/>
    <mergeCell ref="B66:D66"/>
    <mergeCell ref="B67:D67"/>
    <mergeCell ref="B57:D57"/>
    <mergeCell ref="B13:J13"/>
    <mergeCell ref="F102:K102"/>
    <mergeCell ref="B23:D23"/>
    <mergeCell ref="B3:E3"/>
    <mergeCell ref="B5:C5"/>
    <mergeCell ref="B9:C9"/>
    <mergeCell ref="B105:D105"/>
    <mergeCell ref="L113:M113"/>
    <mergeCell ref="B106:D106"/>
    <mergeCell ref="Y102:AD102"/>
    <mergeCell ref="Q111:R112"/>
    <mergeCell ref="Q113:R113"/>
    <mergeCell ref="L92:L93"/>
    <mergeCell ref="M92:O93"/>
    <mergeCell ref="Q92:R93"/>
    <mergeCell ref="Q96:R96"/>
    <mergeCell ref="Q97:R97"/>
    <mergeCell ref="Q104:R104"/>
    <mergeCell ref="Q100:AD100"/>
    <mergeCell ref="B109:O109"/>
    <mergeCell ref="Q109:AD109"/>
    <mergeCell ref="L102:M103"/>
    <mergeCell ref="B92:E93"/>
    <mergeCell ref="F92:K92"/>
    <mergeCell ref="Q105:R105"/>
    <mergeCell ref="N102:O103"/>
    <mergeCell ref="Y92:AD92"/>
    <mergeCell ref="B10:C10"/>
    <mergeCell ref="B11:C11"/>
    <mergeCell ref="B8:C8"/>
    <mergeCell ref="B144:D144"/>
    <mergeCell ref="H144:I144"/>
    <mergeCell ref="Q19:AD19"/>
    <mergeCell ref="Q35:AD35"/>
    <mergeCell ref="Q62:AD62"/>
    <mergeCell ref="B39:D39"/>
    <mergeCell ref="B40:D40"/>
    <mergeCell ref="B41:D41"/>
    <mergeCell ref="B42:D42"/>
    <mergeCell ref="B43:D43"/>
    <mergeCell ref="B44:D44"/>
    <mergeCell ref="B45:D45"/>
    <mergeCell ref="B46:D46"/>
    <mergeCell ref="B47:D47"/>
    <mergeCell ref="B48:D48"/>
    <mergeCell ref="B49:D49"/>
    <mergeCell ref="Q55:R56"/>
    <mergeCell ref="B31:D31"/>
    <mergeCell ref="B32:D32"/>
    <mergeCell ref="S55:X55"/>
    <mergeCell ref="Q57:R57"/>
    <mergeCell ref="Q73:AD73"/>
    <mergeCell ref="Q90:AD90"/>
    <mergeCell ref="Q66:R66"/>
    <mergeCell ref="Q67:R67"/>
    <mergeCell ref="B68:D68"/>
    <mergeCell ref="B55:E56"/>
    <mergeCell ref="F55:K55"/>
    <mergeCell ref="L55:L56"/>
    <mergeCell ref="M55:O56"/>
    <mergeCell ref="S64:X64"/>
    <mergeCell ref="B69:D69"/>
    <mergeCell ref="B70:D70"/>
    <mergeCell ref="Q68:R68"/>
    <mergeCell ref="Q69:R69"/>
    <mergeCell ref="Q70:R70"/>
    <mergeCell ref="Y75:AD75"/>
    <mergeCell ref="Q58:R58"/>
    <mergeCell ref="B59:D59"/>
    <mergeCell ref="Q59:R59"/>
    <mergeCell ref="B64:E65"/>
    <mergeCell ref="B75:D76"/>
    <mergeCell ref="F75:K75"/>
    <mergeCell ref="L75:L76"/>
    <mergeCell ref="M75:O76"/>
    <mergeCell ref="Q125:R126"/>
    <mergeCell ref="Q114:R114"/>
    <mergeCell ref="S137:X137"/>
    <mergeCell ref="M137:M138"/>
    <mergeCell ref="N137:N138"/>
    <mergeCell ref="O137:O138"/>
    <mergeCell ref="L106:M106"/>
    <mergeCell ref="B127:D127"/>
    <mergeCell ref="S125:X125"/>
    <mergeCell ref="Q132:X132"/>
    <mergeCell ref="Q122:R122"/>
    <mergeCell ref="Q118:R118"/>
    <mergeCell ref="Q119:R119"/>
    <mergeCell ref="Q120:R120"/>
    <mergeCell ref="Q121:R121"/>
    <mergeCell ref="B122:D122"/>
    <mergeCell ref="G9:I9"/>
    <mergeCell ref="G10:I10"/>
    <mergeCell ref="G11:I11"/>
    <mergeCell ref="G3:L3"/>
    <mergeCell ref="K4:L4"/>
    <mergeCell ref="K5:L5"/>
    <mergeCell ref="K6:L6"/>
    <mergeCell ref="K7:L7"/>
    <mergeCell ref="K8:L8"/>
    <mergeCell ref="K9:L9"/>
    <mergeCell ref="K10:L10"/>
    <mergeCell ref="K11:L11"/>
    <mergeCell ref="G5:I5"/>
    <mergeCell ref="G6:I6"/>
    <mergeCell ref="G7:I7"/>
    <mergeCell ref="G8:I8"/>
    <mergeCell ref="AE21:AE22"/>
    <mergeCell ref="AE37:AE38"/>
    <mergeCell ref="AE55:AE56"/>
    <mergeCell ref="AE64:AE65"/>
    <mergeCell ref="AE75:AE76"/>
    <mergeCell ref="AE92:AE93"/>
    <mergeCell ref="AE111:AE112"/>
    <mergeCell ref="B24:D24"/>
    <mergeCell ref="B25:D25"/>
    <mergeCell ref="B26:D26"/>
    <mergeCell ref="B27:D27"/>
    <mergeCell ref="B28:D28"/>
    <mergeCell ref="B29:D29"/>
    <mergeCell ref="B30:D30"/>
    <mergeCell ref="Q24:R24"/>
    <mergeCell ref="Q25:R25"/>
    <mergeCell ref="Q26:R26"/>
    <mergeCell ref="Q27:R27"/>
    <mergeCell ref="Q28:R28"/>
    <mergeCell ref="Q29:R29"/>
    <mergeCell ref="Q30:R30"/>
    <mergeCell ref="L104:M104"/>
    <mergeCell ref="L105:M105"/>
    <mergeCell ref="Q95:R95"/>
  </mergeCells>
  <phoneticPr fontId="33"/>
  <conditionalFormatting sqref="Q50:Q53 Q37:R48 Q137 B37:E38 B64:E65 B92:E93 B102:E103 B53:E54 B39 E39 B50:B52">
    <cfRule type="expression" dxfId="918" priority="778" stopIfTrue="1">
      <formula>#REF!="Ⅲ[再生可能エネルギー供給量]"</formula>
    </cfRule>
    <cfRule type="expression" dxfId="917" priority="779" stopIfTrue="1">
      <formula>#REF!="Ⅱ[エネルギー使用量差]"</formula>
    </cfRule>
  </conditionalFormatting>
  <conditionalFormatting sqref="R50:R52">
    <cfRule type="expression" dxfId="916" priority="776" stopIfTrue="1">
      <formula>#REF!="Ⅲ[再生可能エネルギー供給量]"</formula>
    </cfRule>
    <cfRule type="expression" dxfId="915" priority="777" stopIfTrue="1">
      <formula>#REF!="Ⅱ[エネルギー使用量差]"</formula>
    </cfRule>
  </conditionalFormatting>
  <conditionalFormatting sqref="Q64 AG20:AH22 AG63:AH70 AG74:AH87 AH123:AI123 AG24:AH30 AG91:AI108 AG132:AI139 AG111:AI112">
    <cfRule type="expression" dxfId="914" priority="774" stopIfTrue="1">
      <formula>#REF!="Ⅲ[再生可能エネルギー供給量]"</formula>
    </cfRule>
    <cfRule type="expression" dxfId="913" priority="775" stopIfTrue="1">
      <formula>#REF!="Ⅱ[エネルギー使用量差]"</formula>
    </cfRule>
  </conditionalFormatting>
  <conditionalFormatting sqref="R53">
    <cfRule type="expression" dxfId="912" priority="772" stopIfTrue="1">
      <formula>#REF!="Ⅲ[再生可能エネルギー供給量]"</formula>
    </cfRule>
    <cfRule type="expression" dxfId="911" priority="773" stopIfTrue="1">
      <formula>#REF!="Ⅱ[エネルギー使用量差]"</formula>
    </cfRule>
  </conditionalFormatting>
  <conditionalFormatting sqref="Q92">
    <cfRule type="expression" dxfId="910" priority="770" stopIfTrue="1">
      <formula>#REF!="Ⅲ[再生可能エネルギー供給量]"</formula>
    </cfRule>
    <cfRule type="expression" dxfId="909" priority="771" stopIfTrue="1">
      <formula>#REF!="Ⅱ[エネルギー使用量差]"</formula>
    </cfRule>
  </conditionalFormatting>
  <conditionalFormatting sqref="R98:R99">
    <cfRule type="expression" dxfId="908" priority="758" stopIfTrue="1">
      <formula>#REF!="Ⅲ[再生可能エネルギー供給量]"</formula>
    </cfRule>
    <cfRule type="expression" dxfId="907" priority="759" stopIfTrue="1">
      <formula>#REF!="Ⅱ[エネルギー使用量差]"</formula>
    </cfRule>
  </conditionalFormatting>
  <conditionalFormatting sqref="Q98:Q99">
    <cfRule type="expression" dxfId="906" priority="760" stopIfTrue="1">
      <formula>#REF!="Ⅲ[再生可能エネルギー供給量]"</formula>
    </cfRule>
    <cfRule type="expression" dxfId="905" priority="761" stopIfTrue="1">
      <formula>#REF!="Ⅱ[エネルギー使用量差]"</formula>
    </cfRule>
  </conditionalFormatting>
  <conditionalFormatting sqref="Q154">
    <cfRule type="expression" dxfId="904" priority="756" stopIfTrue="1">
      <formula>#REF!="Ⅲ[再生可能エネルギー供給量]"</formula>
    </cfRule>
    <cfRule type="expression" dxfId="903" priority="757" stopIfTrue="1">
      <formula>#REF!="Ⅱ[エネルギー使用量差]"</formula>
    </cfRule>
  </conditionalFormatting>
  <conditionalFormatting sqref="Q102">
    <cfRule type="expression" dxfId="902" priority="754" stopIfTrue="1">
      <formula>#REF!="Ⅲ[再生可能エネルギー供給量]"</formula>
    </cfRule>
    <cfRule type="expression" dxfId="901" priority="755" stopIfTrue="1">
      <formula>#REF!="Ⅱ[エネルギー使用量差]"</formula>
    </cfRule>
  </conditionalFormatting>
  <conditionalFormatting sqref="R107">
    <cfRule type="expression" dxfId="900" priority="748" stopIfTrue="1">
      <formula>#REF!="Ⅲ[再生可能エネルギー供給量]"</formula>
    </cfRule>
    <cfRule type="expression" dxfId="899" priority="749" stopIfTrue="1">
      <formula>#REF!="Ⅱ[エネルギー使用量差]"</formula>
    </cfRule>
  </conditionalFormatting>
  <conditionalFormatting sqref="Q107">
    <cfRule type="expression" dxfId="898" priority="750" stopIfTrue="1">
      <formula>#REF!="Ⅲ[再生可能エネルギー供給量]"</formula>
    </cfRule>
    <cfRule type="expression" dxfId="897" priority="751" stopIfTrue="1">
      <formula>#REF!="Ⅱ[エネルギー使用量差]"</formula>
    </cfRule>
  </conditionalFormatting>
  <conditionalFormatting sqref="AG40:AG48">
    <cfRule type="expression" dxfId="896" priority="746" stopIfTrue="1">
      <formula>#REF!="Ⅲ[再生可能エネルギー供給量]"</formula>
    </cfRule>
    <cfRule type="expression" dxfId="895" priority="747" stopIfTrue="1">
      <formula>#REF!="Ⅱ[エネルギー使用量差]"</formula>
    </cfRule>
  </conditionalFormatting>
  <conditionalFormatting sqref="B21:E22">
    <cfRule type="expression" dxfId="894" priority="744" stopIfTrue="1">
      <formula>#REF!="Ⅲ[再生可能エネルギー供給量]"</formula>
    </cfRule>
    <cfRule type="expression" dxfId="893" priority="745" stopIfTrue="1">
      <formula>#REF!="Ⅱ[エネルギー使用量差]"</formula>
    </cfRule>
  </conditionalFormatting>
  <conditionalFormatting sqref="Q21">
    <cfRule type="expression" dxfId="892" priority="742" stopIfTrue="1">
      <formula>#REF!="Ⅲ[再生可能エネルギー供給量]"</formula>
    </cfRule>
    <cfRule type="expression" dxfId="891" priority="743" stopIfTrue="1">
      <formula>#REF!="Ⅱ[エネルギー使用量差]"</formula>
    </cfRule>
  </conditionalFormatting>
  <conditionalFormatting sqref="AG49:AH49">
    <cfRule type="expression" dxfId="890" priority="738" stopIfTrue="1">
      <formula>#REF!="Ⅲ[再生可能エネルギー供給量]"</formula>
    </cfRule>
    <cfRule type="expression" dxfId="889" priority="739" stopIfTrue="1">
      <formula>#REF!="Ⅱ[エネルギー使用量差]"</formula>
    </cfRule>
  </conditionalFormatting>
  <conditionalFormatting sqref="Q33 B33:E33">
    <cfRule type="expression" dxfId="888" priority="736" stopIfTrue="1">
      <formula>#REF!="Ⅲ[再生可能エネルギー供給量]"</formula>
    </cfRule>
    <cfRule type="expression" dxfId="887" priority="737" stopIfTrue="1">
      <formula>#REF!="Ⅱ[エネルギー使用量差]"</formula>
    </cfRule>
  </conditionalFormatting>
  <conditionalFormatting sqref="R33">
    <cfRule type="expression" dxfId="886" priority="734" stopIfTrue="1">
      <formula>#REF!="Ⅲ[再生可能エネルギー供給量]"</formula>
    </cfRule>
    <cfRule type="expression" dxfId="885" priority="735" stopIfTrue="1">
      <formula>#REF!="Ⅱ[エネルギー使用量差]"</formula>
    </cfRule>
  </conditionalFormatting>
  <conditionalFormatting sqref="Q71 B71:E71">
    <cfRule type="expression" dxfId="884" priority="732" stopIfTrue="1">
      <formula>#REF!="Ⅲ[再生可能エネルギー供給量]"</formula>
    </cfRule>
    <cfRule type="expression" dxfId="883" priority="733" stopIfTrue="1">
      <formula>#REF!="Ⅱ[エネルギー使用量差]"</formula>
    </cfRule>
  </conditionalFormatting>
  <conditionalFormatting sqref="R71">
    <cfRule type="expression" dxfId="882" priority="730" stopIfTrue="1">
      <formula>#REF!="Ⅲ[再生可能エネルギー供給量]"</formula>
    </cfRule>
    <cfRule type="expression" dxfId="881" priority="731" stopIfTrue="1">
      <formula>#REF!="Ⅱ[エネルギー使用量差]"</formula>
    </cfRule>
  </conditionalFormatting>
  <conditionalFormatting sqref="AG31:AH31">
    <cfRule type="expression" dxfId="880" priority="728" stopIfTrue="1">
      <formula>#REF!="Ⅲ[再生可能エネルギー供給量]"</formula>
    </cfRule>
    <cfRule type="expression" dxfId="879" priority="729" stopIfTrue="1">
      <formula>#REF!="Ⅱ[エネルギー使用量差]"</formula>
    </cfRule>
  </conditionalFormatting>
  <conditionalFormatting sqref="Q181">
    <cfRule type="expression" dxfId="878" priority="722" stopIfTrue="1">
      <formula>#REF!="Ⅲ[再生可能エネルギー供給量]"</formula>
    </cfRule>
    <cfRule type="expression" dxfId="877" priority="723" stopIfTrue="1">
      <formula>#REF!="Ⅱ[エネルギー使用量差]"</formula>
    </cfRule>
  </conditionalFormatting>
  <conditionalFormatting sqref="D50:D52">
    <cfRule type="expression" dxfId="876" priority="716" stopIfTrue="1">
      <formula>#REF!="Ⅲ[再生可能エネルギー供給量]"</formula>
    </cfRule>
    <cfRule type="expression" dxfId="875" priority="717" stopIfTrue="1">
      <formula>#REF!="Ⅱ[エネルギー使用量差]"</formula>
    </cfRule>
  </conditionalFormatting>
  <conditionalFormatting sqref="E23:E32">
    <cfRule type="expression" dxfId="874" priority="720" stopIfTrue="1">
      <formula>#REF!="Ⅲ[再生可能エネルギー供給量]"</formula>
    </cfRule>
    <cfRule type="expression" dxfId="873" priority="721" stopIfTrue="1">
      <formula>#REF!="Ⅱ[エネルギー使用量差]"</formula>
    </cfRule>
  </conditionalFormatting>
  <conditionalFormatting sqref="E50:E52">
    <cfRule type="expression" dxfId="872" priority="714" stopIfTrue="1">
      <formula>#REF!="Ⅲ[再生可能エネルギー供給量]"</formula>
    </cfRule>
    <cfRule type="expression" dxfId="871" priority="715" stopIfTrue="1">
      <formula>#REF!="Ⅱ[エネルギー使用量差]"</formula>
    </cfRule>
  </conditionalFormatting>
  <conditionalFormatting sqref="B75:C75 E75:E76">
    <cfRule type="expression" dxfId="870" priority="704" stopIfTrue="1">
      <formula>#REF!="Ⅲ[再生可能エネルギー供給量]"</formula>
    </cfRule>
    <cfRule type="expression" dxfId="869" priority="705" stopIfTrue="1">
      <formula>#REF!="Ⅱ[エネルギー使用量差]"</formula>
    </cfRule>
  </conditionalFormatting>
  <conditionalFormatting sqref="B88:E88">
    <cfRule type="expression" dxfId="868" priority="699" stopIfTrue="1">
      <formula>#REF!="Ⅲ[再生可能エネルギー供給量]"</formula>
    </cfRule>
    <cfRule type="expression" dxfId="867" priority="701" stopIfTrue="1">
      <formula>#REF!="Ⅱ[エネルギー使用量差]"</formula>
    </cfRule>
  </conditionalFormatting>
  <conditionalFormatting sqref="D79:J87">
    <cfRule type="expression" dxfId="866" priority="700">
      <formula>$B$78=燃料法</formula>
    </cfRule>
  </conditionalFormatting>
  <conditionalFormatting sqref="D77:J78 D83:J87 S77:AD77 S83:AE83">
    <cfRule type="expression" dxfId="865" priority="91">
      <formula>$B$78="燃費法"</formula>
    </cfRule>
  </conditionalFormatting>
  <conditionalFormatting sqref="AL79:AQ79">
    <cfRule type="expression" dxfId="864" priority="692">
      <formula>$B$78="改良トンキロ法"</formula>
    </cfRule>
  </conditionalFormatting>
  <conditionalFormatting sqref="AL79:AQ79">
    <cfRule type="expression" dxfId="863" priority="691">
      <formula>$B$78="燃料法"</formula>
    </cfRule>
  </conditionalFormatting>
  <conditionalFormatting sqref="N51">
    <cfRule type="expression" dxfId="862" priority="665" stopIfTrue="1">
      <formula>#REF!="Ⅲ[再生可能エネルギー供給量]"</formula>
    </cfRule>
    <cfRule type="expression" dxfId="861" priority="666" stopIfTrue="1">
      <formula>#REF!="Ⅱ[エネルギー使用量差]"</formula>
    </cfRule>
  </conditionalFormatting>
  <conditionalFormatting sqref="N52">
    <cfRule type="expression" dxfId="860" priority="667" stopIfTrue="1">
      <formula>#REF!="Ⅲ[再生可能エネルギー供給量]"</formula>
    </cfRule>
    <cfRule type="expression" dxfId="859" priority="668" stopIfTrue="1">
      <formula>#REF!="Ⅱ[エネルギー使用量差]"</formula>
    </cfRule>
  </conditionalFormatting>
  <conditionalFormatting sqref="N50">
    <cfRule type="expression" dxfId="858" priority="663" stopIfTrue="1">
      <formula>#REF!="Ⅲ[再生可能エネルギー供給量]"</formula>
    </cfRule>
    <cfRule type="expression" dxfId="857" priority="664" stopIfTrue="1">
      <formula>#REF!="Ⅱ[エネルギー使用量差]"</formula>
    </cfRule>
  </conditionalFormatting>
  <conditionalFormatting sqref="B137:C137 B138:D138">
    <cfRule type="expression" dxfId="856" priority="661" stopIfTrue="1">
      <formula>#REF!="Ⅲ[再生可能エネルギー供給量]"</formula>
    </cfRule>
    <cfRule type="expression" dxfId="855" priority="662" stopIfTrue="1">
      <formula>#REF!="Ⅱ[エネルギー使用量差]"</formula>
    </cfRule>
  </conditionalFormatting>
  <conditionalFormatting sqref="S33:X33 X23:X32">
    <cfRule type="dataBar" priority="653">
      <dataBar>
        <cfvo type="percent" val="&quot;S13/S$109&quot;"/>
        <cfvo type="percent" val="&quot;S13/S$109&quot;"/>
        <color rgb="FF638EC6"/>
      </dataBar>
      <extLst>
        <ext xmlns:x14="http://schemas.microsoft.com/office/spreadsheetml/2009/9/main" uri="{B025F937-C7B1-47D3-B67F-A62EFF666E3E}">
          <x14:id>{28B1D8E4-43A6-4EA6-ABDE-CB102AF77D24}</x14:id>
        </ext>
      </extLst>
    </cfRule>
  </conditionalFormatting>
  <conditionalFormatting sqref="AG109:AI110">
    <cfRule type="expression" dxfId="854" priority="479" stopIfTrue="1">
      <formula>#REF!="Ⅲ[再生可能エネルギー供給量]"</formula>
    </cfRule>
    <cfRule type="expression" dxfId="853" priority="480" stopIfTrue="1">
      <formula>#REF!="Ⅱ[エネルギー使用量差]"</formula>
    </cfRule>
  </conditionalFormatting>
  <conditionalFormatting sqref="B111:E112">
    <cfRule type="expression" dxfId="852" priority="477" stopIfTrue="1">
      <formula>#REF!="Ⅲ[再生可能エネルギー供給量]"</formula>
    </cfRule>
    <cfRule type="expression" dxfId="851" priority="478" stopIfTrue="1">
      <formula>#REF!="Ⅱ[エネルギー使用量差]"</formula>
    </cfRule>
  </conditionalFormatting>
  <conditionalFormatting sqref="Q111 T112">
    <cfRule type="expression" dxfId="850" priority="475" stopIfTrue="1">
      <formula>#REF!="Ⅲ[再生可能エネルギー供給量]"</formula>
    </cfRule>
    <cfRule type="expression" dxfId="849" priority="476" stopIfTrue="1">
      <formula>#REF!="Ⅱ[エネルギー使用量差]"</formula>
    </cfRule>
  </conditionalFormatting>
  <conditionalFormatting sqref="R123">
    <cfRule type="expression" dxfId="848" priority="471" stopIfTrue="1">
      <formula>#REF!="Ⅲ[再生可能エネルギー供給量]"</formula>
    </cfRule>
    <cfRule type="expression" dxfId="847" priority="472" stopIfTrue="1">
      <formula>#REF!="Ⅱ[エネルギー使用量差]"</formula>
    </cfRule>
  </conditionalFormatting>
  <conditionalFormatting sqref="Q123">
    <cfRule type="expression" dxfId="846" priority="473" stopIfTrue="1">
      <formula>#REF!="Ⅲ[再生可能エネルギー供給量]"</formula>
    </cfRule>
    <cfRule type="expression" dxfId="845" priority="474" stopIfTrue="1">
      <formula>#REF!="Ⅱ[エネルギー使用量差]"</formula>
    </cfRule>
  </conditionalFormatting>
  <conditionalFormatting sqref="AG124:AH127">
    <cfRule type="expression" dxfId="844" priority="429" stopIfTrue="1">
      <formula>#REF!="Ⅲ[再生可能エネルギー供給量]"</formula>
    </cfRule>
    <cfRule type="expression" dxfId="843" priority="430" stopIfTrue="1">
      <formula>#REF!="Ⅱ[エネルギー使用量差]"</formula>
    </cfRule>
  </conditionalFormatting>
  <conditionalFormatting sqref="R130">
    <cfRule type="expression" dxfId="842" priority="421" stopIfTrue="1">
      <formula>#REF!="Ⅲ[再生可能エネルギー供給量]"</formula>
    </cfRule>
    <cfRule type="expression" dxfId="841" priority="422" stopIfTrue="1">
      <formula>#REF!="Ⅱ[エネルギー使用量差]"</formula>
    </cfRule>
  </conditionalFormatting>
  <conditionalFormatting sqref="Q125">
    <cfRule type="expression" dxfId="840" priority="425" stopIfTrue="1">
      <formula>#REF!="Ⅲ[再生可能エネルギー供給量]"</formula>
    </cfRule>
    <cfRule type="expression" dxfId="839" priority="426" stopIfTrue="1">
      <formula>#REF!="Ⅱ[エネルギー使用量差]"</formula>
    </cfRule>
  </conditionalFormatting>
  <conditionalFormatting sqref="Q130 B130:E130">
    <cfRule type="expression" dxfId="838" priority="423" stopIfTrue="1">
      <formula>#REF!="Ⅲ[再生可能エネルギー供給量]"</formula>
    </cfRule>
    <cfRule type="expression" dxfId="837" priority="424" stopIfTrue="1">
      <formula>#REF!="Ⅱ[エネルギー使用量差]"</formula>
    </cfRule>
  </conditionalFormatting>
  <conditionalFormatting sqref="AG128:AH129">
    <cfRule type="expression" dxfId="836" priority="419" stopIfTrue="1">
      <formula>#REF!="Ⅲ[再生可能エネルギー供給量]"</formula>
    </cfRule>
    <cfRule type="expression" dxfId="835" priority="420" stopIfTrue="1">
      <formula>#REF!="Ⅱ[エネルギー使用量差]"</formula>
    </cfRule>
  </conditionalFormatting>
  <conditionalFormatting sqref="S130:X130 X127:X129">
    <cfRule type="dataBar" priority="412">
      <dataBar>
        <cfvo type="percent" val="&quot;S13/S$109&quot;"/>
        <cfvo type="percent" val="&quot;S13/S$109&quot;"/>
        <color rgb="FF638EC6"/>
      </dataBar>
      <extLst>
        <ext xmlns:x14="http://schemas.microsoft.com/office/spreadsheetml/2009/9/main" uri="{B025F937-C7B1-47D3-B67F-A62EFF666E3E}">
          <x14:id>{3A103EF7-95A4-4C42-9D3A-D9446DC5C15E}</x14:id>
        </ext>
      </extLst>
    </cfRule>
  </conditionalFormatting>
  <conditionalFormatting sqref="AG55:AH57">
    <cfRule type="expression" dxfId="834" priority="358" stopIfTrue="1">
      <formula>#REF!="Ⅲ[再生可能エネルギー供給量]"</formula>
    </cfRule>
    <cfRule type="expression" dxfId="833" priority="359" stopIfTrue="1">
      <formula>#REF!="Ⅱ[エネルギー使用量差]"</formula>
    </cfRule>
  </conditionalFormatting>
  <conditionalFormatting sqref="B55:E56">
    <cfRule type="expression" dxfId="832" priority="356" stopIfTrue="1">
      <formula>#REF!="Ⅲ[再生可能エネルギー供給量]"</formula>
    </cfRule>
    <cfRule type="expression" dxfId="831" priority="357" stopIfTrue="1">
      <formula>#REF!="Ⅱ[エネルギー使用量差]"</formula>
    </cfRule>
  </conditionalFormatting>
  <conditionalFormatting sqref="Q55">
    <cfRule type="expression" dxfId="830" priority="354" stopIfTrue="1">
      <formula>#REF!="Ⅲ[再生可能エネルギー供給量]"</formula>
    </cfRule>
    <cfRule type="expression" dxfId="829" priority="355" stopIfTrue="1">
      <formula>#REF!="Ⅱ[エネルギー使用量差]"</formula>
    </cfRule>
  </conditionalFormatting>
  <conditionalFormatting sqref="Q60 B60:E60">
    <cfRule type="expression" dxfId="828" priority="352" stopIfTrue="1">
      <formula>#REF!="Ⅲ[再生可能エネルギー供給量]"</formula>
    </cfRule>
    <cfRule type="expression" dxfId="827" priority="353" stopIfTrue="1">
      <formula>#REF!="Ⅱ[エネルギー使用量差]"</formula>
    </cfRule>
  </conditionalFormatting>
  <conditionalFormatting sqref="R60">
    <cfRule type="expression" dxfId="826" priority="350" stopIfTrue="1">
      <formula>#REF!="Ⅲ[再生可能エネルギー供給量]"</formula>
    </cfRule>
    <cfRule type="expression" dxfId="825" priority="351" stopIfTrue="1">
      <formula>#REF!="Ⅱ[エネルギー使用量差]"</formula>
    </cfRule>
  </conditionalFormatting>
  <conditionalFormatting sqref="AG58:AH59">
    <cfRule type="expression" dxfId="824" priority="348" stopIfTrue="1">
      <formula>#REF!="Ⅲ[再生可能エネルギー供給量]"</formula>
    </cfRule>
    <cfRule type="expression" dxfId="823" priority="349" stopIfTrue="1">
      <formula>#REF!="Ⅱ[エネルギー使用量差]"</formula>
    </cfRule>
  </conditionalFormatting>
  <conditionalFormatting sqref="S60:X60 X57:X59">
    <cfRule type="dataBar" priority="347">
      <dataBar>
        <cfvo type="percent" val="&quot;S13/S$109&quot;"/>
        <cfvo type="percent" val="&quot;S13/S$109&quot;"/>
        <color rgb="FF638EC6"/>
      </dataBar>
      <extLst>
        <ext xmlns:x14="http://schemas.microsoft.com/office/spreadsheetml/2009/9/main" uri="{B025F937-C7B1-47D3-B67F-A62EFF666E3E}">
          <x14:id>{A34E01DB-A371-47A3-A7F3-C94A67E88763}</x14:id>
        </ext>
      </extLst>
    </cfRule>
  </conditionalFormatting>
  <conditionalFormatting sqref="B127:B129">
    <cfRule type="expression" dxfId="822" priority="333" stopIfTrue="1">
      <formula>#REF!="Ⅲ[再生可能エネルギー供給量]"</formula>
    </cfRule>
    <cfRule type="expression" dxfId="821" priority="334" stopIfTrue="1">
      <formula>#REF!="Ⅱ[エネルギー使用量差]"</formula>
    </cfRule>
  </conditionalFormatting>
  <conditionalFormatting sqref="B57">
    <cfRule type="expression" dxfId="820" priority="339" stopIfTrue="1">
      <formula>#REF!="Ⅲ[再生可能エネルギー供給量]"</formula>
    </cfRule>
    <cfRule type="expression" dxfId="819" priority="340" stopIfTrue="1">
      <formula>#REF!="Ⅱ[エネルギー使用量差]"</formula>
    </cfRule>
  </conditionalFormatting>
  <conditionalFormatting sqref="B125:E126">
    <cfRule type="expression" dxfId="818" priority="335" stopIfTrue="1">
      <formula>#REF!="Ⅲ[再生可能エネルギー供給量]"</formula>
    </cfRule>
    <cfRule type="expression" dxfId="817" priority="336" stopIfTrue="1">
      <formula>#REF!="Ⅱ[エネルギー使用量差]"</formula>
    </cfRule>
  </conditionalFormatting>
  <conditionalFormatting sqref="B5 B8">
    <cfRule type="expression" dxfId="816" priority="329" stopIfTrue="1">
      <formula>#REF!="Ⅲ[再生可能エネルギー供給量]"</formula>
    </cfRule>
    <cfRule type="expression" dxfId="815" priority="330" stopIfTrue="1">
      <formula>#REF!="Ⅱ[エネルギー使用量差]"</formula>
    </cfRule>
  </conditionalFormatting>
  <conditionalFormatting sqref="E41:E48">
    <cfRule type="expression" dxfId="814" priority="325" stopIfTrue="1">
      <formula>#REF!="Ⅲ[再生可能エネルギー供給量]"</formula>
    </cfRule>
    <cfRule type="expression" dxfId="813" priority="326" stopIfTrue="1">
      <formula>#REF!="Ⅱ[エネルギー使用量差]"</formula>
    </cfRule>
  </conditionalFormatting>
  <conditionalFormatting sqref="E40">
    <cfRule type="expression" dxfId="812" priority="323" stopIfTrue="1">
      <formula>#REF!="Ⅲ[再生可能エネルギー供給量]"</formula>
    </cfRule>
    <cfRule type="expression" dxfId="811" priority="324" stopIfTrue="1">
      <formula>#REF!="Ⅱ[エネルギー使用量差]"</formula>
    </cfRule>
  </conditionalFormatting>
  <conditionalFormatting sqref="B66">
    <cfRule type="expression" dxfId="810" priority="319" stopIfTrue="1">
      <formula>#REF!="Ⅲ[再生可能エネルギー供給量]"</formula>
    </cfRule>
    <cfRule type="expression" dxfId="809" priority="320" stopIfTrue="1">
      <formula>#REF!="Ⅱ[エネルギー使用量差]"</formula>
    </cfRule>
  </conditionalFormatting>
  <conditionalFormatting sqref="E66:E70">
    <cfRule type="expression" dxfId="808" priority="309" stopIfTrue="1">
      <formula>#REF!="Ⅲ[再生可能エネルギー供給量]"</formula>
    </cfRule>
    <cfRule type="expression" dxfId="807" priority="310" stopIfTrue="1">
      <formula>#REF!="Ⅱ[エネルギー使用量差]"</formula>
    </cfRule>
  </conditionalFormatting>
  <conditionalFormatting sqref="B40:B49">
    <cfRule type="expression" dxfId="806" priority="307" stopIfTrue="1">
      <formula>#REF!="Ⅲ[再生可能エネルギー供給量]"</formula>
    </cfRule>
    <cfRule type="expression" dxfId="805" priority="308" stopIfTrue="1">
      <formula>#REF!="Ⅱ[エネルギー使用量差]"</formula>
    </cfRule>
  </conditionalFormatting>
  <conditionalFormatting sqref="S39:S52 S57:S59 S66:S70 S94:S97 S104:S106 S127:S129 S113:W122 S77 S23:S32">
    <cfRule type="dataBar" priority="285">
      <dataBar>
        <cfvo type="num" val="0"/>
        <cfvo type="num" val="$S$156"/>
        <color rgb="FF638EC6"/>
      </dataBar>
      <extLst>
        <ext xmlns:x14="http://schemas.microsoft.com/office/spreadsheetml/2009/9/main" uri="{B025F937-C7B1-47D3-B67F-A62EFF666E3E}">
          <x14:id>{FAFC5D66-EC3E-4D22-B2AE-C5BD80DF91CF}</x14:id>
        </ext>
      </extLst>
    </cfRule>
  </conditionalFormatting>
  <conditionalFormatting sqref="T39:T52 T57:T59 T66:T70 T94:T97 T104:T106 T127:T129 T77 T23:T32">
    <cfRule type="dataBar" priority="284">
      <dataBar>
        <cfvo type="num" val="0"/>
        <cfvo type="num" val="$T$156"/>
        <color rgb="FF638EC6"/>
      </dataBar>
      <extLst>
        <ext xmlns:x14="http://schemas.microsoft.com/office/spreadsheetml/2009/9/main" uri="{B025F937-C7B1-47D3-B67F-A62EFF666E3E}">
          <x14:id>{E04D67B0-F4DE-4522-90C9-F8611FBA1F22}</x14:id>
        </ext>
      </extLst>
    </cfRule>
  </conditionalFormatting>
  <conditionalFormatting sqref="U39:U52 U57:U59 U66:U70 U94:U97 U104:U106 U127:U129 U83 U23:U32">
    <cfRule type="dataBar" priority="283">
      <dataBar>
        <cfvo type="num" val="0"/>
        <cfvo type="num" val="$U$156"/>
        <color rgb="FF638EC6"/>
      </dataBar>
      <extLst>
        <ext xmlns:x14="http://schemas.microsoft.com/office/spreadsheetml/2009/9/main" uri="{B025F937-C7B1-47D3-B67F-A62EFF666E3E}">
          <x14:id>{C94A8C5A-2B92-4CE1-B5F2-84E18E2EE6E7}</x14:id>
        </ext>
      </extLst>
    </cfRule>
  </conditionalFormatting>
  <conditionalFormatting sqref="V39:V52 V57:V59 V66:V70 V94:V97 V104:V106 V127:V129 V83 V23:V32">
    <cfRule type="dataBar" priority="281">
      <dataBar>
        <cfvo type="num" val="0"/>
        <cfvo type="num" val="$V$156"/>
        <color rgb="FF638EC6"/>
      </dataBar>
      <extLst>
        <ext xmlns:x14="http://schemas.microsoft.com/office/spreadsheetml/2009/9/main" uri="{B025F937-C7B1-47D3-B67F-A62EFF666E3E}">
          <x14:id>{CFB0EF75-6EC1-497B-9743-5F83C9B73F37}</x14:id>
        </ext>
      </extLst>
    </cfRule>
  </conditionalFormatting>
  <conditionalFormatting sqref="W39:W52 W57:W59 W66:W70 W94:W97 W104:W106 W127:W129 W83 W23:W32">
    <cfRule type="dataBar" priority="280">
      <dataBar>
        <cfvo type="num" val="0"/>
        <cfvo type="num" val="$W$156"/>
        <color rgb="FF638EC6"/>
      </dataBar>
      <extLst>
        <ext xmlns:x14="http://schemas.microsoft.com/office/spreadsheetml/2009/9/main" uri="{B025F937-C7B1-47D3-B67F-A62EFF666E3E}">
          <x14:id>{79329080-FCEB-4AB7-93A7-C007C2C764E9}</x14:id>
        </ext>
      </extLst>
    </cfRule>
  </conditionalFormatting>
  <conditionalFormatting sqref="E138">
    <cfRule type="expression" dxfId="804" priority="271" stopIfTrue="1">
      <formula>#REF!="Ⅲ[再生可能エネルギー供給量]"</formula>
    </cfRule>
    <cfRule type="expression" dxfId="803" priority="272" stopIfTrue="1">
      <formula>#REF!="Ⅱ[エネルギー使用量差]"</formula>
    </cfRule>
  </conditionalFormatting>
  <conditionalFormatting sqref="C139:C141">
    <cfRule type="expression" dxfId="802" priority="270">
      <formula>$B$135="熱量配分"</formula>
    </cfRule>
  </conditionalFormatting>
  <conditionalFormatting sqref="D139:D141">
    <cfRule type="expression" dxfId="801" priority="269">
      <formula>$B$135="金額配分"</formula>
    </cfRule>
  </conditionalFormatting>
  <conditionalFormatting sqref="M139:O141">
    <cfRule type="expression" dxfId="800" priority="268">
      <formula>$B$135="代替"</formula>
    </cfRule>
  </conditionalFormatting>
  <conditionalFormatting sqref="E141">
    <cfRule type="expression" dxfId="799" priority="267">
      <formula>$B$135="体積配分"</formula>
    </cfRule>
  </conditionalFormatting>
  <conditionalFormatting sqref="E144 J144">
    <cfRule type="expression" dxfId="798" priority="266">
      <formula>$B$135="金額配分"</formula>
    </cfRule>
  </conditionalFormatting>
  <conditionalFormatting sqref="B67:B70">
    <cfRule type="expression" dxfId="797" priority="262" stopIfTrue="1">
      <formula>#REF!="Ⅲ[再生可能エネルギー供給量]"</formula>
    </cfRule>
    <cfRule type="expression" dxfId="796" priority="263" stopIfTrue="1">
      <formula>#REF!="Ⅱ[エネルギー使用量差]"</formula>
    </cfRule>
  </conditionalFormatting>
  <conditionalFormatting sqref="B104">
    <cfRule type="expression" dxfId="795" priority="260" stopIfTrue="1">
      <formula>#REF!="Ⅲ[再生可能エネルギー供給量]"</formula>
    </cfRule>
    <cfRule type="expression" dxfId="794" priority="261" stopIfTrue="1">
      <formula>#REF!="Ⅱ[エネルギー使用量差]"</formula>
    </cfRule>
  </conditionalFormatting>
  <conditionalFormatting sqref="B105">
    <cfRule type="expression" dxfId="793" priority="258" stopIfTrue="1">
      <formula>#REF!="Ⅲ[再生可能エネルギー供給量]"</formula>
    </cfRule>
    <cfRule type="expression" dxfId="792" priority="259" stopIfTrue="1">
      <formula>#REF!="Ⅱ[エネルギー使用量差]"</formula>
    </cfRule>
  </conditionalFormatting>
  <conditionalFormatting sqref="B106">
    <cfRule type="expression" dxfId="791" priority="256" stopIfTrue="1">
      <formula>#REF!="Ⅲ[再生可能エネルギー供給量]"</formula>
    </cfRule>
    <cfRule type="expression" dxfId="790" priority="257" stopIfTrue="1">
      <formula>#REF!="Ⅱ[エネルギー使用量差]"</formula>
    </cfRule>
  </conditionalFormatting>
  <conditionalFormatting sqref="E139:E140">
    <cfRule type="expression" dxfId="789" priority="239">
      <formula>$B$135="体積配分"</formula>
    </cfRule>
  </conditionalFormatting>
  <conditionalFormatting sqref="Q78:Q79">
    <cfRule type="expression" dxfId="788" priority="227">
      <formula>$B$78="改良トンキロ法"</formula>
    </cfRule>
  </conditionalFormatting>
  <conditionalFormatting sqref="R78">
    <cfRule type="expression" dxfId="787" priority="226">
      <formula>$B$78="改良トンキロ法"</formula>
    </cfRule>
  </conditionalFormatting>
  <conditionalFormatting sqref="Q75">
    <cfRule type="expression" dxfId="786" priority="235" stopIfTrue="1">
      <formula>#REF!="Ⅲ[再生可能エネルギー供給量]"</formula>
    </cfRule>
    <cfRule type="expression" dxfId="785" priority="236" stopIfTrue="1">
      <formula>#REF!="Ⅱ[エネルギー使用量差]"</formula>
    </cfRule>
  </conditionalFormatting>
  <conditionalFormatting sqref="Q88">
    <cfRule type="expression" dxfId="784" priority="233" stopIfTrue="1">
      <formula>#REF!="Ⅲ[再生可能エネルギー供給量]"</formula>
    </cfRule>
    <cfRule type="expression" dxfId="783" priority="234" stopIfTrue="1">
      <formula>#REF!="Ⅱ[エネルギー使用量差]"</formula>
    </cfRule>
  </conditionalFormatting>
  <conditionalFormatting sqref="Q83">
    <cfRule type="expression" dxfId="782" priority="232">
      <formula>$B$78="燃費法"</formula>
    </cfRule>
  </conditionalFormatting>
  <conditionalFormatting sqref="Q83">
    <cfRule type="expression" dxfId="781" priority="231">
      <formula>$B$78="燃料法"</formula>
    </cfRule>
  </conditionalFormatting>
  <conditionalFormatting sqref="Q80:Q82">
    <cfRule type="expression" dxfId="780" priority="230">
      <formula>$B$78="燃料法"</formula>
    </cfRule>
  </conditionalFormatting>
  <conditionalFormatting sqref="Q77">
    <cfRule type="expression" dxfId="779" priority="228">
      <formula>$B$78="燃費法"</formula>
    </cfRule>
  </conditionalFormatting>
  <conditionalFormatting sqref="Q77">
    <cfRule type="expression" dxfId="778" priority="229">
      <formula>$B$78="改良トンキロ法"</formula>
    </cfRule>
  </conditionalFormatting>
  <conditionalFormatting sqref="S83">
    <cfRule type="dataBar" priority="225">
      <dataBar>
        <cfvo type="num" val="0"/>
        <cfvo type="num" val="$S$156"/>
        <color rgb="FF638EC6"/>
      </dataBar>
      <extLst>
        <ext xmlns:x14="http://schemas.microsoft.com/office/spreadsheetml/2009/9/main" uri="{B025F937-C7B1-47D3-B67F-A62EFF666E3E}">
          <x14:id>{DEDF7951-F4BA-428E-AC34-BF3BA95EC6A8}</x14:id>
        </ext>
      </extLst>
    </cfRule>
  </conditionalFormatting>
  <conditionalFormatting sqref="T83">
    <cfRule type="dataBar" priority="224">
      <dataBar>
        <cfvo type="num" val="0"/>
        <cfvo type="num" val="$T$156"/>
        <color rgb="FF638EC6"/>
      </dataBar>
      <extLst>
        <ext xmlns:x14="http://schemas.microsoft.com/office/spreadsheetml/2009/9/main" uri="{B025F937-C7B1-47D3-B67F-A62EFF666E3E}">
          <x14:id>{FDB05CED-8670-487B-A9B7-54F060B1DA83}</x14:id>
        </ext>
      </extLst>
    </cfRule>
  </conditionalFormatting>
  <conditionalFormatting sqref="U79">
    <cfRule type="dataBar" priority="223">
      <dataBar>
        <cfvo type="num" val="0"/>
        <cfvo type="num" val="$U$156"/>
        <color rgb="FF638EC6"/>
      </dataBar>
      <extLst>
        <ext xmlns:x14="http://schemas.microsoft.com/office/spreadsheetml/2009/9/main" uri="{B025F937-C7B1-47D3-B67F-A62EFF666E3E}">
          <x14:id>{4DDFEF76-5326-4655-A9F1-61BD30E45FB0}</x14:id>
        </ext>
      </extLst>
    </cfRule>
  </conditionalFormatting>
  <conditionalFormatting sqref="V79">
    <cfRule type="dataBar" priority="222">
      <dataBar>
        <cfvo type="num" val="0"/>
        <cfvo type="num" val="$V$156"/>
        <color rgb="FF638EC6"/>
      </dataBar>
      <extLst>
        <ext xmlns:x14="http://schemas.microsoft.com/office/spreadsheetml/2009/9/main" uri="{B025F937-C7B1-47D3-B67F-A62EFF666E3E}">
          <x14:id>{EDEA02D2-E717-4214-AD5C-CE788E21356F}</x14:id>
        </ext>
      </extLst>
    </cfRule>
  </conditionalFormatting>
  <conditionalFormatting sqref="W79">
    <cfRule type="dataBar" priority="221">
      <dataBar>
        <cfvo type="num" val="0"/>
        <cfvo type="num" val="$W$156"/>
        <color rgb="FF638EC6"/>
      </dataBar>
      <extLst>
        <ext xmlns:x14="http://schemas.microsoft.com/office/spreadsheetml/2009/9/main" uri="{B025F937-C7B1-47D3-B67F-A62EFF666E3E}">
          <x14:id>{8936C173-860F-4A1A-BF7F-4E66B0BD8721}</x14:id>
        </ext>
      </extLst>
    </cfRule>
  </conditionalFormatting>
  <conditionalFormatting sqref="S77:W77">
    <cfRule type="expression" dxfId="777" priority="219">
      <formula>$B$78="燃費法"</formula>
    </cfRule>
  </conditionalFormatting>
  <conditionalFormatting sqref="D77:L82 Q77:AD77 Q78:AE79">
    <cfRule type="expression" dxfId="776" priority="220">
      <formula>$B$78="改良トンキロ法"</formula>
    </cfRule>
  </conditionalFormatting>
  <conditionalFormatting sqref="S79:W83">
    <cfRule type="expression" dxfId="775" priority="218">
      <formula>$B$78="燃料法"</formula>
    </cfRule>
  </conditionalFormatting>
  <conditionalFormatting sqref="S79">
    <cfRule type="dataBar" priority="217">
      <dataBar>
        <cfvo type="num" val="0"/>
        <cfvo type="num" val="$S$156"/>
        <color rgb="FF638EC6"/>
      </dataBar>
      <extLst>
        <ext xmlns:x14="http://schemas.microsoft.com/office/spreadsheetml/2009/9/main" uri="{B025F937-C7B1-47D3-B67F-A62EFF666E3E}">
          <x14:id>{2CCAD16F-47E7-4EF4-AD22-D6DF39FEF2B2}</x14:id>
        </ext>
      </extLst>
    </cfRule>
  </conditionalFormatting>
  <conditionalFormatting sqref="T79">
    <cfRule type="dataBar" priority="216">
      <dataBar>
        <cfvo type="num" val="0"/>
        <cfvo type="num" val="$T$156"/>
        <color rgb="FF638EC6"/>
      </dataBar>
      <extLst>
        <ext xmlns:x14="http://schemas.microsoft.com/office/spreadsheetml/2009/9/main" uri="{B025F937-C7B1-47D3-B67F-A62EFF666E3E}">
          <x14:id>{2A4EAFB2-B991-4E69-B173-4EE59BB416FF}</x14:id>
        </ext>
      </extLst>
    </cfRule>
  </conditionalFormatting>
  <conditionalFormatting sqref="U77">
    <cfRule type="dataBar" priority="215">
      <dataBar>
        <cfvo type="num" val="0"/>
        <cfvo type="num" val="$U$156"/>
        <color rgb="FF638EC6"/>
      </dataBar>
      <extLst>
        <ext xmlns:x14="http://schemas.microsoft.com/office/spreadsheetml/2009/9/main" uri="{B025F937-C7B1-47D3-B67F-A62EFF666E3E}">
          <x14:id>{CF1A6F89-2531-428D-81C1-B690ADEF3ACA}</x14:id>
        </ext>
      </extLst>
    </cfRule>
  </conditionalFormatting>
  <conditionalFormatting sqref="V77">
    <cfRule type="dataBar" priority="214">
      <dataBar>
        <cfvo type="num" val="0"/>
        <cfvo type="num" val="$V$156"/>
        <color rgb="FF638EC6"/>
      </dataBar>
      <extLst>
        <ext xmlns:x14="http://schemas.microsoft.com/office/spreadsheetml/2009/9/main" uri="{B025F937-C7B1-47D3-B67F-A62EFF666E3E}">
          <x14:id>{EE36A22E-0A23-4DC9-ACF4-B1FD64100C8A}</x14:id>
        </ext>
      </extLst>
    </cfRule>
  </conditionalFormatting>
  <conditionalFormatting sqref="W77">
    <cfRule type="dataBar" priority="213">
      <dataBar>
        <cfvo type="num" val="0"/>
        <cfvo type="num" val="$W$156"/>
        <color rgb="FF638EC6"/>
      </dataBar>
      <extLst>
        <ext xmlns:x14="http://schemas.microsoft.com/office/spreadsheetml/2009/9/main" uri="{B025F937-C7B1-47D3-B67F-A62EFF666E3E}">
          <x14:id>{7B255EE5-097C-4238-826B-A239CC3131EB}</x14:id>
        </ext>
      </extLst>
    </cfRule>
  </conditionalFormatting>
  <conditionalFormatting sqref="B58:B59">
    <cfRule type="expression" dxfId="774" priority="211" stopIfTrue="1">
      <formula>#REF!="Ⅲ[再生可能エネルギー供給量]"</formula>
    </cfRule>
    <cfRule type="expression" dxfId="773" priority="212" stopIfTrue="1">
      <formula>#REF!="Ⅱ[エネルギー使用量差]"</formula>
    </cfRule>
  </conditionalFormatting>
  <conditionalFormatting sqref="B31:B32">
    <cfRule type="expression" dxfId="772" priority="205" stopIfTrue="1">
      <formula>#REF!="Ⅲ[再生可能エネルギー供給量]"</formula>
    </cfRule>
    <cfRule type="expression" dxfId="771" priority="206" stopIfTrue="1">
      <formula>#REF!="Ⅱ[エネルギー使用量差]"</formula>
    </cfRule>
  </conditionalFormatting>
  <conditionalFormatting sqref="G5">
    <cfRule type="expression" dxfId="770" priority="203" stopIfTrue="1">
      <formula>#REF!="Ⅲ[再生可能エネルギー供給量]"</formula>
    </cfRule>
    <cfRule type="expression" dxfId="769" priority="204" stopIfTrue="1">
      <formula>#REF!="Ⅱ[エネルギー使用量差]"</formula>
    </cfRule>
  </conditionalFormatting>
  <conditionalFormatting sqref="G7">
    <cfRule type="expression" dxfId="768" priority="201" stopIfTrue="1">
      <formula>#REF!="Ⅲ[再生可能エネルギー供給量]"</formula>
    </cfRule>
    <cfRule type="expression" dxfId="767" priority="202" stopIfTrue="1">
      <formula>#REF!="Ⅱ[エネルギー使用量差]"</formula>
    </cfRule>
  </conditionalFormatting>
  <conditionalFormatting sqref="G8">
    <cfRule type="expression" dxfId="766" priority="199" stopIfTrue="1">
      <formula>#REF!="Ⅲ[再生可能エネルギー供給量]"</formula>
    </cfRule>
    <cfRule type="expression" dxfId="765" priority="200" stopIfTrue="1">
      <formula>#REF!="Ⅱ[エネルギー使用量差]"</formula>
    </cfRule>
  </conditionalFormatting>
  <conditionalFormatting sqref="G9">
    <cfRule type="expression" dxfId="764" priority="197" stopIfTrue="1">
      <formula>#REF!="Ⅲ[再生可能エネルギー供給量]"</formula>
    </cfRule>
    <cfRule type="expression" dxfId="763" priority="198" stopIfTrue="1">
      <formula>#REF!="Ⅱ[エネルギー使用量差]"</formula>
    </cfRule>
  </conditionalFormatting>
  <conditionalFormatting sqref="G10">
    <cfRule type="expression" dxfId="762" priority="195" stopIfTrue="1">
      <formula>#REF!="Ⅲ[再生可能エネルギー供給量]"</formula>
    </cfRule>
    <cfRule type="expression" dxfId="761" priority="196" stopIfTrue="1">
      <formula>#REF!="Ⅱ[エネルギー使用量差]"</formula>
    </cfRule>
  </conditionalFormatting>
  <conditionalFormatting sqref="G11">
    <cfRule type="expression" dxfId="760" priority="193" stopIfTrue="1">
      <formula>#REF!="Ⅲ[再生可能エネルギー供給量]"</formula>
    </cfRule>
    <cfRule type="expression" dxfId="759" priority="194" stopIfTrue="1">
      <formula>#REF!="Ⅱ[エネルギー使用量差]"</formula>
    </cfRule>
  </conditionalFormatting>
  <conditionalFormatting sqref="B21:AE33">
    <cfRule type="expression" dxfId="758" priority="192">
      <formula>$J$5="No"</formula>
    </cfRule>
  </conditionalFormatting>
  <conditionalFormatting sqref="B37:AE60">
    <cfRule type="expression" dxfId="757" priority="191">
      <formula>$J$6="No"</formula>
    </cfRule>
  </conditionalFormatting>
  <conditionalFormatting sqref="B134:AE136 B138:AE176 B137:E137 L137:AE137">
    <cfRule type="expression" dxfId="756" priority="186">
      <formula>$J$11="No"</formula>
    </cfRule>
  </conditionalFormatting>
  <conditionalFormatting sqref="F21:K21">
    <cfRule type="expression" dxfId="755" priority="185">
      <formula>$J$5="No"</formula>
    </cfRule>
  </conditionalFormatting>
  <conditionalFormatting sqref="F37:K37">
    <cfRule type="expression" dxfId="754" priority="184">
      <formula>$J$5="No"</formula>
    </cfRule>
  </conditionalFormatting>
  <conditionalFormatting sqref="F55:K55">
    <cfRule type="expression" dxfId="753" priority="183">
      <formula>$J$5="No"</formula>
    </cfRule>
  </conditionalFormatting>
  <conditionalFormatting sqref="F64:K64">
    <cfRule type="expression" dxfId="752" priority="182">
      <formula>$J$5="No"</formula>
    </cfRule>
  </conditionalFormatting>
  <conditionalFormatting sqref="F75:K75">
    <cfRule type="expression" dxfId="751" priority="181">
      <formula>$J$5="No"</formula>
    </cfRule>
  </conditionalFormatting>
  <conditionalFormatting sqref="F92:K92">
    <cfRule type="expression" dxfId="750" priority="180">
      <formula>$J$5="No"</formula>
    </cfRule>
  </conditionalFormatting>
  <conditionalFormatting sqref="F102:K102">
    <cfRule type="expression" dxfId="749" priority="179">
      <formula>$J$5="No"</formula>
    </cfRule>
  </conditionalFormatting>
  <conditionalFormatting sqref="AD24">
    <cfRule type="expression" dxfId="748" priority="168">
      <formula>IF(AD24=0,FALSE, IF(AD24&gt;0.01,FALSE,TRUE))</formula>
    </cfRule>
  </conditionalFormatting>
  <conditionalFormatting sqref="AD23">
    <cfRule type="expression" dxfId="747" priority="165">
      <formula>IF(AD23=0,FALSE, IF(AD23&gt;0.01,FALSE,TRUE))</formula>
    </cfRule>
  </conditionalFormatting>
  <conditionalFormatting sqref="AD25">
    <cfRule type="expression" dxfId="746" priority="161">
      <formula>IF(AD25=0,FALSE, IF(AD25&gt;0.01,FALSE,TRUE))</formula>
    </cfRule>
  </conditionalFormatting>
  <conditionalFormatting sqref="AD26">
    <cfRule type="expression" dxfId="745" priority="160">
      <formula>IF(AD26=0,FALSE, IF(AD26&gt;0.01,FALSE,TRUE))</formula>
    </cfRule>
  </conditionalFormatting>
  <conditionalFormatting sqref="AD27">
    <cfRule type="expression" dxfId="744" priority="159">
      <formula>IF(AD27=0,FALSE, IF(AD27&gt;0.01,FALSE,TRUE))</formula>
    </cfRule>
  </conditionalFormatting>
  <conditionalFormatting sqref="AD28">
    <cfRule type="expression" dxfId="743" priority="158">
      <formula>IF(AD28=0,FALSE, IF(AD28&gt;0.01,FALSE,TRUE))</formula>
    </cfRule>
  </conditionalFormatting>
  <conditionalFormatting sqref="AD29">
    <cfRule type="expression" dxfId="742" priority="157">
      <formula>IF(AD29=0,FALSE, IF(AD29&gt;0.01,FALSE,TRUE))</formula>
    </cfRule>
  </conditionalFormatting>
  <conditionalFormatting sqref="AD30">
    <cfRule type="expression" dxfId="741" priority="156">
      <formula>IF(AD30=0,FALSE, IF(AD30&gt;0.01,FALSE,TRUE))</formula>
    </cfRule>
  </conditionalFormatting>
  <conditionalFormatting sqref="AD31">
    <cfRule type="expression" dxfId="740" priority="155">
      <formula>IF(AD31=0,FALSE, IF(AD31&gt;0.01,FALSE,TRUE))</formula>
    </cfRule>
  </conditionalFormatting>
  <conditionalFormatting sqref="AD32">
    <cfRule type="expression" dxfId="739" priority="154">
      <formula>IF(AD32=0,FALSE, IF(AD32&gt;0.01,FALSE,TRUE))</formula>
    </cfRule>
  </conditionalFormatting>
  <conditionalFormatting sqref="AD39">
    <cfRule type="expression" dxfId="738" priority="151">
      <formula>$J$6="No"</formula>
    </cfRule>
  </conditionalFormatting>
  <conditionalFormatting sqref="AD39">
    <cfRule type="expression" dxfId="737" priority="150">
      <formula>IF(AD39=0,FALSE, IF(AD39&gt;0.01,FALSE,TRUE))</formula>
    </cfRule>
  </conditionalFormatting>
  <conditionalFormatting sqref="Y60:AE60">
    <cfRule type="expression" dxfId="736" priority="117">
      <formula>$J$5="No"</formula>
    </cfRule>
  </conditionalFormatting>
  <conditionalFormatting sqref="Y66:AC70">
    <cfRule type="expression" dxfId="735" priority="116">
      <formula>$J$6="No"</formula>
    </cfRule>
  </conditionalFormatting>
  <conditionalFormatting sqref="B64:AE71">
    <cfRule type="expression" dxfId="734" priority="115">
      <formula>$J$7="No"</formula>
    </cfRule>
  </conditionalFormatting>
  <conditionalFormatting sqref="AD66">
    <cfRule type="expression" dxfId="733" priority="114">
      <formula>IF(AD66=0,FALSE, IF(AD66&gt;0.01,FALSE,TRUE))</formula>
    </cfRule>
  </conditionalFormatting>
  <conditionalFormatting sqref="AD67">
    <cfRule type="expression" dxfId="732" priority="112">
      <formula>IF(AD67=0,FALSE, IF(AD67&gt;0.01,FALSE,TRUE))</formula>
    </cfRule>
  </conditionalFormatting>
  <conditionalFormatting sqref="AD69">
    <cfRule type="expression" dxfId="731" priority="108">
      <formula>IF(AD69=0,FALSE, IF(AD69&gt;0.01,FALSE,TRUE))</formula>
    </cfRule>
  </conditionalFormatting>
  <conditionalFormatting sqref="Y77:AC77">
    <cfRule type="expression" dxfId="730" priority="105">
      <formula>$J$6="No"</formula>
    </cfRule>
  </conditionalFormatting>
  <conditionalFormatting sqref="B75:AE88">
    <cfRule type="expression" dxfId="729" priority="104">
      <formula>$J$8="No"</formula>
    </cfRule>
  </conditionalFormatting>
  <conditionalFormatting sqref="AD77">
    <cfRule type="expression" dxfId="728" priority="103">
      <formula>IF(AD77=0,FALSE, IF(AD77&gt;0.01,FALSE,TRUE))</formula>
    </cfRule>
  </conditionalFormatting>
  <conditionalFormatting sqref="AD40">
    <cfRule type="expression" dxfId="727" priority="87">
      <formula>$J$6="No"</formula>
    </cfRule>
  </conditionalFormatting>
  <conditionalFormatting sqref="AD40">
    <cfRule type="expression" dxfId="726" priority="86">
      <formula>IF(AD40=0,FALSE, IF(AD40&gt;0.01,FALSE,TRUE))</formula>
    </cfRule>
  </conditionalFormatting>
  <conditionalFormatting sqref="AD41">
    <cfRule type="expression" dxfId="725" priority="85">
      <formula>$J$6="No"</formula>
    </cfRule>
  </conditionalFormatting>
  <conditionalFormatting sqref="AD41">
    <cfRule type="expression" dxfId="724" priority="84">
      <formula>IF(AD41=0,FALSE, IF(AD41&gt;0.01,FALSE,TRUE))</formula>
    </cfRule>
  </conditionalFormatting>
  <conditionalFormatting sqref="AD42">
    <cfRule type="expression" dxfId="723" priority="83">
      <formula>$J$6="No"</formula>
    </cfRule>
  </conditionalFormatting>
  <conditionalFormatting sqref="AD42">
    <cfRule type="expression" dxfId="722" priority="82">
      <formula>IF(AD42=0,FALSE, IF(AD42&gt;0.01,FALSE,TRUE))</formula>
    </cfRule>
  </conditionalFormatting>
  <conditionalFormatting sqref="AD43">
    <cfRule type="expression" dxfId="721" priority="81">
      <formula>$J$6="No"</formula>
    </cfRule>
  </conditionalFormatting>
  <conditionalFormatting sqref="AD43">
    <cfRule type="expression" dxfId="720" priority="80">
      <formula>IF(AD43=0,FALSE, IF(AD43&gt;0.01,FALSE,TRUE))</formula>
    </cfRule>
  </conditionalFormatting>
  <conditionalFormatting sqref="AD44">
    <cfRule type="expression" dxfId="719" priority="79">
      <formula>$J$6="No"</formula>
    </cfRule>
  </conditionalFormatting>
  <conditionalFormatting sqref="AD44">
    <cfRule type="expression" dxfId="718" priority="78">
      <formula>IF(AD44=0,FALSE, IF(AD44&gt;0.01,FALSE,TRUE))</formula>
    </cfRule>
  </conditionalFormatting>
  <conditionalFormatting sqref="AD45">
    <cfRule type="expression" dxfId="717" priority="77">
      <formula>$J$6="No"</formula>
    </cfRule>
  </conditionalFormatting>
  <conditionalFormatting sqref="AD45">
    <cfRule type="expression" dxfId="716" priority="76">
      <formula>IF(AD45=0,FALSE, IF(AD45&gt;0.01,FALSE,TRUE))</formula>
    </cfRule>
  </conditionalFormatting>
  <conditionalFormatting sqref="AD46">
    <cfRule type="expression" dxfId="715" priority="75">
      <formula>$J$6="No"</formula>
    </cfRule>
  </conditionalFormatting>
  <conditionalFormatting sqref="AD46">
    <cfRule type="expression" dxfId="714" priority="74">
      <formula>IF(AD46=0,FALSE, IF(AD46&gt;0.01,FALSE,TRUE))</formula>
    </cfRule>
  </conditionalFormatting>
  <conditionalFormatting sqref="AD47">
    <cfRule type="expression" dxfId="713" priority="73">
      <formula>$J$6="No"</formula>
    </cfRule>
  </conditionalFormatting>
  <conditionalFormatting sqref="AD47">
    <cfRule type="expression" dxfId="712" priority="72">
      <formula>IF(AD47=0,FALSE, IF(AD47&gt;0.01,FALSE,TRUE))</formula>
    </cfRule>
  </conditionalFormatting>
  <conditionalFormatting sqref="AD48">
    <cfRule type="expression" dxfId="711" priority="71">
      <formula>$J$6="No"</formula>
    </cfRule>
  </conditionalFormatting>
  <conditionalFormatting sqref="AD48">
    <cfRule type="expression" dxfId="710" priority="70">
      <formula>IF(AD48=0,FALSE, IF(AD48&gt;0.01,FALSE,TRUE))</formula>
    </cfRule>
  </conditionalFormatting>
  <conditionalFormatting sqref="AD49">
    <cfRule type="expression" dxfId="709" priority="69">
      <formula>$J$6="No"</formula>
    </cfRule>
  </conditionalFormatting>
  <conditionalFormatting sqref="AD49">
    <cfRule type="expression" dxfId="708" priority="68">
      <formula>IF(AD49=0,FALSE, IF(AD49&gt;0.01,FALSE,TRUE))</formula>
    </cfRule>
  </conditionalFormatting>
  <conditionalFormatting sqref="AD50">
    <cfRule type="expression" dxfId="707" priority="67">
      <formula>$J$6="No"</formula>
    </cfRule>
  </conditionalFormatting>
  <conditionalFormatting sqref="AD50">
    <cfRule type="expression" dxfId="706" priority="66">
      <formula>IF(AD50=0,FALSE, IF(AD50&gt;0.01,FALSE,TRUE))</formula>
    </cfRule>
  </conditionalFormatting>
  <conditionalFormatting sqref="AD51">
    <cfRule type="expression" dxfId="705" priority="65">
      <formula>$J$6="No"</formula>
    </cfRule>
  </conditionalFormatting>
  <conditionalFormatting sqref="AD51">
    <cfRule type="expression" dxfId="704" priority="64">
      <formula>IF(AD51=0,FALSE, IF(AD51&gt;0.01,FALSE,TRUE))</formula>
    </cfRule>
  </conditionalFormatting>
  <conditionalFormatting sqref="AD52">
    <cfRule type="expression" dxfId="703" priority="63">
      <formula>$J$6="No"</formula>
    </cfRule>
  </conditionalFormatting>
  <conditionalFormatting sqref="AD52">
    <cfRule type="expression" dxfId="702" priority="62">
      <formula>IF(AD52=0,FALSE, IF(AD52&gt;0.01,FALSE,TRUE))</formula>
    </cfRule>
  </conditionalFormatting>
  <conditionalFormatting sqref="AD57">
    <cfRule type="expression" dxfId="701" priority="60">
      <formula>IF(AD57=0,FALSE, IF(AD57&gt;0.01,FALSE,TRUE))</formula>
    </cfRule>
  </conditionalFormatting>
  <conditionalFormatting sqref="AD58">
    <cfRule type="expression" dxfId="700" priority="59">
      <formula>$J$6="No"</formula>
    </cfRule>
  </conditionalFormatting>
  <conditionalFormatting sqref="AD58">
    <cfRule type="expression" dxfId="699" priority="58">
      <formula>IF(AD58=0,FALSE, IF(AD58&gt;0.01,FALSE,TRUE))</formula>
    </cfRule>
  </conditionalFormatting>
  <conditionalFormatting sqref="AD59">
    <cfRule type="expression" dxfId="698" priority="57">
      <formula>$J$6="No"</formula>
    </cfRule>
  </conditionalFormatting>
  <conditionalFormatting sqref="AD59">
    <cfRule type="expression" dxfId="697" priority="56">
      <formula>IF(AD59=0,FALSE, IF(AD59&gt;0.01,FALSE,TRUE))</formula>
    </cfRule>
  </conditionalFormatting>
  <conditionalFormatting sqref="AD68">
    <cfRule type="expression" dxfId="696" priority="54">
      <formula>IF(AD68=0,FALSE, IF(AD68&gt;0.01,FALSE,TRUE))</formula>
    </cfRule>
  </conditionalFormatting>
  <conditionalFormatting sqref="AD70">
    <cfRule type="expression" dxfId="695" priority="52">
      <formula>IF(AD70=0,FALSE, IF(AD70&gt;0.01,FALSE,TRUE))</formula>
    </cfRule>
  </conditionalFormatting>
  <conditionalFormatting sqref="D79:J87 Q79:AE83">
    <cfRule type="expression" dxfId="694" priority="51">
      <formula>$B$78="燃料法"</formula>
    </cfRule>
  </conditionalFormatting>
  <conditionalFormatting sqref="AD79:AE79">
    <cfRule type="expression" dxfId="693" priority="49">
      <formula>IF(AD79=0,FALSE, IF(AD79&gt;0.01,FALSE,TRUE))</formula>
    </cfRule>
  </conditionalFormatting>
  <conditionalFormatting sqref="AD83:AE83">
    <cfRule type="expression" dxfId="692" priority="46">
      <formula>IF(AD83=0,FALSE, IF(AD83&gt;0.01,FALSE,TRUE))</formula>
    </cfRule>
  </conditionalFormatting>
  <conditionalFormatting sqref="B92:AE98">
    <cfRule type="expression" dxfId="691" priority="43">
      <formula>$J$9="No"</formula>
    </cfRule>
  </conditionalFormatting>
  <conditionalFormatting sqref="AD94">
    <cfRule type="expression" dxfId="690" priority="42">
      <formula>IF(AD94=0,FALSE, IF(AD94&gt;0.01,FALSE,TRUE))</formula>
    </cfRule>
  </conditionalFormatting>
  <conditionalFormatting sqref="AD95">
    <cfRule type="expression" dxfId="689" priority="41">
      <formula>IF(AD95=0,FALSE, IF(AD95&gt;0.01,FALSE,TRUE))</formula>
    </cfRule>
  </conditionalFormatting>
  <conditionalFormatting sqref="AD96">
    <cfRule type="expression" dxfId="688" priority="40">
      <formula>IF(AD96=0,FALSE, IF(AD96&gt;0.01,FALSE,TRUE))</formula>
    </cfRule>
  </conditionalFormatting>
  <conditionalFormatting sqref="AD97">
    <cfRule type="expression" dxfId="687" priority="39">
      <formula>IF(AD97=0,FALSE, IF(AD97&gt;0.01,FALSE,TRUE))</formula>
    </cfRule>
  </conditionalFormatting>
  <conditionalFormatting sqref="B102:AE107">
    <cfRule type="expression" dxfId="686" priority="38">
      <formula>$J$10="No"</formula>
    </cfRule>
  </conditionalFormatting>
  <conditionalFormatting sqref="AD104:AE104">
    <cfRule type="expression" dxfId="685" priority="37">
      <formula>$J$9="No"</formula>
    </cfRule>
  </conditionalFormatting>
  <conditionalFormatting sqref="AD104:AE104">
    <cfRule type="expression" dxfId="684" priority="36">
      <formula>IF(AD104=0,FALSE, IF(AD104&gt;0.01,FALSE,TRUE))</formula>
    </cfRule>
  </conditionalFormatting>
  <conditionalFormatting sqref="AD105:AE105">
    <cfRule type="expression" dxfId="683" priority="35">
      <formula>$J$9="No"</formula>
    </cfRule>
  </conditionalFormatting>
  <conditionalFormatting sqref="AD105:AE105">
    <cfRule type="expression" dxfId="682" priority="34">
      <formula>IF(AD105=0,FALSE, IF(AD105&gt;0.01,FALSE,TRUE))</formula>
    </cfRule>
  </conditionalFormatting>
  <conditionalFormatting sqref="AD106:AE106">
    <cfRule type="expression" dxfId="681" priority="33">
      <formula>$J$9="No"</formula>
    </cfRule>
  </conditionalFormatting>
  <conditionalFormatting sqref="AD106:AE106">
    <cfRule type="expression" dxfId="680" priority="32">
      <formula>IF(AD106=0,FALSE, IF(AD106&gt;0.01,FALSE,TRUE))</formula>
    </cfRule>
  </conditionalFormatting>
  <conditionalFormatting sqref="AD113">
    <cfRule type="expression" dxfId="679" priority="30">
      <formula>IF(AD113=0,FALSE, IF(AD113&gt;0.01,FALSE,TRUE))</formula>
    </cfRule>
  </conditionalFormatting>
  <conditionalFormatting sqref="AD114">
    <cfRule type="expression" dxfId="678" priority="29">
      <formula>IF(AD114=0,FALSE, IF(AD114&gt;0.01,FALSE,TRUE))</formula>
    </cfRule>
  </conditionalFormatting>
  <conditionalFormatting sqref="AD115">
    <cfRule type="expression" dxfId="677" priority="28">
      <formula>IF(AD115=0,FALSE, IF(AD115&gt;0.01,FALSE,TRUE))</formula>
    </cfRule>
  </conditionalFormatting>
  <conditionalFormatting sqref="AD116">
    <cfRule type="expression" dxfId="676" priority="27">
      <formula>IF(AD116=0,FALSE, IF(AD116&gt;0.01,FALSE,TRUE))</formula>
    </cfRule>
  </conditionalFormatting>
  <conditionalFormatting sqref="AD117">
    <cfRule type="expression" dxfId="675" priority="26">
      <formula>IF(AD117=0,FALSE, IF(AD117&gt;0.01,FALSE,TRUE))</formula>
    </cfRule>
  </conditionalFormatting>
  <conditionalFormatting sqref="AD118">
    <cfRule type="expression" dxfId="674" priority="25">
      <formula>IF(AD118=0,FALSE, IF(AD118&gt;0.01,FALSE,TRUE))</formula>
    </cfRule>
  </conditionalFormatting>
  <conditionalFormatting sqref="AD119">
    <cfRule type="expression" dxfId="673" priority="24">
      <formula>IF(AD119=0,FALSE, IF(AD119&gt;0.01,FALSE,TRUE))</formula>
    </cfRule>
  </conditionalFormatting>
  <conditionalFormatting sqref="AD120">
    <cfRule type="expression" dxfId="672" priority="23">
      <formula>IF(AD120=0,FALSE, IF(AD120&gt;0.01,FALSE,TRUE))</formula>
    </cfRule>
  </conditionalFormatting>
  <conditionalFormatting sqref="AD121">
    <cfRule type="expression" dxfId="671" priority="22">
      <formula>IF(AD121=0,FALSE, IF(AD121&gt;0.01,FALSE,TRUE))</formula>
    </cfRule>
  </conditionalFormatting>
  <conditionalFormatting sqref="AD122">
    <cfRule type="expression" dxfId="670" priority="21">
      <formula>IF(AD122=0,FALSE, IF(AD122&gt;0.01,FALSE,TRUE))</formula>
    </cfRule>
  </conditionalFormatting>
  <conditionalFormatting sqref="Y127:AC129">
    <cfRule type="expression" dxfId="669" priority="20">
      <formula>$J$10="No"</formula>
    </cfRule>
  </conditionalFormatting>
  <conditionalFormatting sqref="AD127:AE127">
    <cfRule type="expression" dxfId="668" priority="17">
      <formula>IF(AD127=0,FALSE, IF(AD127&gt;0.01,FALSE,TRUE))</formula>
    </cfRule>
  </conditionalFormatting>
  <conditionalFormatting sqref="AD128:AE128">
    <cfRule type="expression" dxfId="667" priority="16">
      <formula>IF(AD128=0,FALSE, IF(AD128&gt;0.01,FALSE,TRUE))</formula>
    </cfRule>
  </conditionalFormatting>
  <conditionalFormatting sqref="AD129:AE129">
    <cfRule type="expression" dxfId="666" priority="15">
      <formula>IF(AD129=0,FALSE, IF(AD129&gt;0.01,FALSE,TRUE))</formula>
    </cfRule>
  </conditionalFormatting>
  <conditionalFormatting sqref="AE37">
    <cfRule type="expression" dxfId="665" priority="14">
      <formula>$J$5="No"</formula>
    </cfRule>
  </conditionalFormatting>
  <conditionalFormatting sqref="AE55">
    <cfRule type="expression" dxfId="664" priority="13">
      <formula>$J$5="No"</formula>
    </cfRule>
  </conditionalFormatting>
  <conditionalFormatting sqref="AE64">
    <cfRule type="expression" dxfId="663" priority="12">
      <formula>$J$5="No"</formula>
    </cfRule>
  </conditionalFormatting>
  <conditionalFormatting sqref="AE77">
    <cfRule type="expression" dxfId="662" priority="7">
      <formula>$B$78="燃費法"</formula>
    </cfRule>
  </conditionalFormatting>
  <conditionalFormatting sqref="AE77">
    <cfRule type="expression" dxfId="661" priority="10">
      <formula>$B$78="改良トンキロ法"</formula>
    </cfRule>
  </conditionalFormatting>
  <conditionalFormatting sqref="AE77">
    <cfRule type="expression" dxfId="660" priority="9">
      <formula>$J$6="No"</formula>
    </cfRule>
  </conditionalFormatting>
  <conditionalFormatting sqref="AE77">
    <cfRule type="expression" dxfId="659" priority="8">
      <formula>$J$8="No"</formula>
    </cfRule>
  </conditionalFormatting>
  <conditionalFormatting sqref="AE75">
    <cfRule type="expression" dxfId="658" priority="6">
      <formula>$J$8="No"</formula>
    </cfRule>
  </conditionalFormatting>
  <conditionalFormatting sqref="AE92">
    <cfRule type="expression" dxfId="657" priority="5">
      <formula>$J$8="No"</formula>
    </cfRule>
  </conditionalFormatting>
  <conditionalFormatting sqref="F125:K125">
    <cfRule type="expression" dxfId="656" priority="3">
      <formula>$J$6="No"</formula>
    </cfRule>
  </conditionalFormatting>
  <conditionalFormatting sqref="F125:K125">
    <cfRule type="expression" dxfId="655" priority="2">
      <formula>$J$5="No"</formula>
    </cfRule>
  </conditionalFormatting>
  <conditionalFormatting sqref="F137:K137">
    <cfRule type="expression" dxfId="654" priority="1">
      <formula>$J$11="No"</formula>
    </cfRule>
  </conditionalFormatting>
  <dataValidations xWindow="1034" yWindow="800" count="16">
    <dataValidation type="whole" allowBlank="1" showInputMessage="1" showErrorMessage="1" sqref="F86:J86">
      <formula1>0</formula1>
      <formula2>100</formula2>
    </dataValidation>
    <dataValidation type="decimal" allowBlank="1" showInputMessage="1" showErrorMessage="1" error="0から1までの数値を入力してください。" sqref="O139:O141">
      <formula1>0</formula1>
      <formula2>1</formula2>
    </dataValidation>
    <dataValidation allowBlank="1" showInputMessage="1" showErrorMessage="1" prompt="計測値と同じ単位に合わせて入力してください" sqref="N139:N141"/>
    <dataValidation type="list" allowBlank="1" showInputMessage="1" showErrorMessage="1" sqref="J5:J11">
      <formula1>"Yes, No"</formula1>
    </dataValidation>
    <dataValidation allowBlank="1" showInputMessage="1" showErrorMessage="1" promptTitle="廃棄物とは" prompt="産業廃棄物として処理委託している場合、当該項目にデータを入力します。_x000a_また、廃水処理を外部委託している場合など、廃水処理に伴うエネルギー等がユーティリティの項目に含まれていない場合も当該項目にてデータを入力します。" sqref="G9:I9 B96:C96"/>
    <dataValidation allowBlank="1" showInputMessage="1" showErrorMessage="1" promptTitle="プロセスの区分" prompt="プロセス区分は、データ収集・管理をしやすい大きさで適宜設定しください。" sqref="B13:J13"/>
    <dataValidation allowBlank="1" showInputMessage="1" showErrorMessage="1" promptTitle="活動量とは" prompt="製造量あたりの原材料使用量" sqref="F21:K21"/>
    <dataValidation allowBlank="1" showInputMessage="1" showErrorMessage="1" promptTitle="活動量とは" prompt="製造量あたりの直接的な温室効果ガス排出量" sqref="F102:K102"/>
    <dataValidation allowBlank="1" showInputMessage="1" showErrorMessage="1" promptTitle="活動量とは" prompt="製造量あたりの廃棄物処理量" sqref="F92:K92"/>
    <dataValidation allowBlank="1" showInputMessage="1" showErrorMessage="1" promptTitle="活動量とは" prompt="製造量あたりの輸送量" sqref="F75:K75"/>
    <dataValidation allowBlank="1" showInputMessage="1" showErrorMessage="1" promptTitle="活動量とは" prompt="製造量あたりの副資材使用量" sqref="F64:K64"/>
    <dataValidation allowBlank="1" showInputMessage="1" showErrorMessage="1" promptTitle="活動量とは" prompt="製造量あたりの再生可能エネルギー使用量" sqref="F55:K55 F125:K125"/>
    <dataValidation allowBlank="1" showInputMessage="1" showErrorMessage="1" promptTitle="活動量とは" prompt="製造量あたりのユーティリティ使用量" sqref="F37:K37"/>
    <dataValidation allowBlank="1" showInputMessage="1" showErrorMessage="1" promptTitle="原材料とは" prompt="最終製品の原料となるものを指します。（記載区分の判断に迷うものは、適切と思われる区分に記載してください。ユーティリティ、副資材の項目に記載しても合計値に変化はありません）" sqref="G5:I5"/>
    <dataValidation allowBlank="1" showInputMessage="1" showErrorMessage="1" promptTitle="副資材とは" prompt="最終製品に残らない投入物を指します。（記載区分の判断に迷うものは、適切と思われる区分に記載してください。原材料、ユーティリティの項目に記載しても合計値に変化はありません）" sqref="G7:I7"/>
    <dataValidation type="list" allowBlank="1" showInputMessage="1" showErrorMessage="1" sqref="B23:D32">
      <formula1>$B$11:$B$59</formula1>
    </dataValidation>
  </dataValidations>
  <printOptions horizontalCentered="1" verticalCentered="1"/>
  <pageMargins left="0.70866141732283472" right="0.70866141732283472" top="0.74803149606299213" bottom="0.74803149606299213" header="0.31496062992125984" footer="0.31496062992125984"/>
  <pageSetup paperSize="9" scale="16" orientation="landscape" r:id="rId1"/>
  <headerFooter scaleWithDoc="0">
    <oddHeader xml:space="preserve">&amp;R&amp;A </oddHeader>
    <oddFooter>&amp;C&amp;P/&amp;N</oddFooter>
  </headerFooter>
  <rowBreaks count="1" manualBreakCount="1">
    <brk id="20" min="1" max="30" man="1"/>
  </rowBreaks>
  <colBreaks count="1" manualBreakCount="1">
    <brk id="5" max="220" man="1"/>
  </colBreaks>
  <ignoredErrors>
    <ignoredError sqref="K49" formula="1"/>
  </ignoredErrors>
  <drawing r:id="rId2"/>
  <extLst>
    <ext xmlns:x14="http://schemas.microsoft.com/office/spreadsheetml/2009/9/main" uri="{78C0D931-6437-407d-A8EE-F0AAD7539E65}">
      <x14:conditionalFormattings>
        <x14:conditionalFormatting xmlns:xm="http://schemas.microsoft.com/office/excel/2006/main">
          <x14:cfRule type="dataBar" id="{28B1D8E4-43A6-4EA6-ABDE-CB102AF77D24}">
            <x14:dataBar minLength="0" maxLength="100" gradient="0">
              <x14:cfvo type="percent">
                <xm:f>"S13/S$109"</xm:f>
              </x14:cfvo>
              <x14:cfvo type="percent">
                <xm:f>"S13/S$109"</xm:f>
              </x14:cfvo>
              <x14:negativeFillColor rgb="FFFF0000"/>
              <x14:axisColor rgb="FF000000"/>
            </x14:dataBar>
          </x14:cfRule>
          <xm:sqref>S33:X33 X23:X32</xm:sqref>
        </x14:conditionalFormatting>
        <x14:conditionalFormatting xmlns:xm="http://schemas.microsoft.com/office/excel/2006/main">
          <x14:cfRule type="dataBar" id="{3A103EF7-95A4-4C42-9D3A-D9446DC5C15E}">
            <x14:dataBar minLength="0" maxLength="100" gradient="0">
              <x14:cfvo type="percent">
                <xm:f>"S13/S$109"</xm:f>
              </x14:cfvo>
              <x14:cfvo type="percent">
                <xm:f>"S13/S$109"</xm:f>
              </x14:cfvo>
              <x14:negativeFillColor rgb="FFFF0000"/>
              <x14:axisColor rgb="FF000000"/>
            </x14:dataBar>
          </x14:cfRule>
          <xm:sqref>S130:X130 X127:X129</xm:sqref>
        </x14:conditionalFormatting>
        <x14:conditionalFormatting xmlns:xm="http://schemas.microsoft.com/office/excel/2006/main">
          <x14:cfRule type="dataBar" id="{A34E01DB-A371-47A3-A7F3-C94A67E88763}">
            <x14:dataBar minLength="0" maxLength="100" gradient="0">
              <x14:cfvo type="percent">
                <xm:f>"S13/S$109"</xm:f>
              </x14:cfvo>
              <x14:cfvo type="percent">
                <xm:f>"S13/S$109"</xm:f>
              </x14:cfvo>
              <x14:negativeFillColor rgb="FFFF0000"/>
              <x14:axisColor rgb="FF000000"/>
            </x14:dataBar>
          </x14:cfRule>
          <xm:sqref>S60:X60 X57:X59</xm:sqref>
        </x14:conditionalFormatting>
        <x14:conditionalFormatting xmlns:xm="http://schemas.microsoft.com/office/excel/2006/main">
          <x14:cfRule type="dataBar" id="{FAFC5D66-EC3E-4D22-B2AE-C5BD80DF91CF}">
            <x14:dataBar minLength="0" maxLength="100" gradient="0">
              <x14:cfvo type="num">
                <xm:f>0</xm:f>
              </x14:cfvo>
              <x14:cfvo type="num">
                <xm:f>$S$156</xm:f>
              </x14:cfvo>
              <x14:negativeFillColor rgb="FFFF0000"/>
              <x14:axisColor theme="0"/>
            </x14:dataBar>
          </x14:cfRule>
          <xm:sqref>S39:S52 S57:S59 S66:S70 S94:S97 S104:S106 S127:S129 S113:W122 S77 S23:S32</xm:sqref>
        </x14:conditionalFormatting>
        <x14:conditionalFormatting xmlns:xm="http://schemas.microsoft.com/office/excel/2006/main">
          <x14:cfRule type="dataBar" id="{E04D67B0-F4DE-4522-90C9-F8611FBA1F22}">
            <x14:dataBar minLength="0" maxLength="100" gradient="0">
              <x14:cfvo type="num">
                <xm:f>0</xm:f>
              </x14:cfvo>
              <x14:cfvo type="num">
                <xm:f>$T$156</xm:f>
              </x14:cfvo>
              <x14:negativeFillColor rgb="FFFF0000"/>
              <x14:axisColor theme="0"/>
            </x14:dataBar>
          </x14:cfRule>
          <xm:sqref>T39:T52 T57:T59 T66:T70 T94:T97 T104:T106 T127:T129 T77 T23:T32</xm:sqref>
        </x14:conditionalFormatting>
        <x14:conditionalFormatting xmlns:xm="http://schemas.microsoft.com/office/excel/2006/main">
          <x14:cfRule type="dataBar" id="{C94A8C5A-2B92-4CE1-B5F2-84E18E2EE6E7}">
            <x14:dataBar minLength="0" maxLength="100" gradient="0" negativeBarColorSameAsPositive="1">
              <x14:cfvo type="num">
                <xm:f>0</xm:f>
              </x14:cfvo>
              <x14:cfvo type="num">
                <xm:f>$U$156</xm:f>
              </x14:cfvo>
              <x14:axisColor theme="0"/>
            </x14:dataBar>
          </x14:cfRule>
          <xm:sqref>U39:U52 U57:U59 U66:U70 U94:U97 U104:U106 U127:U129 U83 U23:U32</xm:sqref>
        </x14:conditionalFormatting>
        <x14:conditionalFormatting xmlns:xm="http://schemas.microsoft.com/office/excel/2006/main">
          <x14:cfRule type="dataBar" id="{CFB0EF75-6EC1-497B-9743-5F83C9B73F37}">
            <x14:dataBar minLength="0" maxLength="100" gradient="0">
              <x14:cfvo type="num">
                <xm:f>0</xm:f>
              </x14:cfvo>
              <x14:cfvo type="num">
                <xm:f>$V$156</xm:f>
              </x14:cfvo>
              <x14:negativeFillColor rgb="FFFF0000"/>
              <x14:axisColor theme="0"/>
            </x14:dataBar>
          </x14:cfRule>
          <xm:sqref>V39:V52 V57:V59 V66:V70 V94:V97 V104:V106 V127:V129 V83 V23:V32</xm:sqref>
        </x14:conditionalFormatting>
        <x14:conditionalFormatting xmlns:xm="http://schemas.microsoft.com/office/excel/2006/main">
          <x14:cfRule type="dataBar" id="{79329080-FCEB-4AB7-93A7-C007C2C764E9}">
            <x14:dataBar minLength="0" maxLength="100" gradient="0">
              <x14:cfvo type="num">
                <xm:f>0</xm:f>
              </x14:cfvo>
              <x14:cfvo type="num">
                <xm:f>$W$156</xm:f>
              </x14:cfvo>
              <x14:negativeFillColor rgb="FFFF0000"/>
              <x14:axisColor theme="0"/>
            </x14:dataBar>
          </x14:cfRule>
          <xm:sqref>W39:W52 W57:W59 W66:W70 W94:W97 W104:W106 W127:W129 W83 W23:W32</xm:sqref>
        </x14:conditionalFormatting>
        <x14:conditionalFormatting xmlns:xm="http://schemas.microsoft.com/office/excel/2006/main">
          <x14:cfRule type="dataBar" id="{DEDF7951-F4BA-428E-AC34-BF3BA95EC6A8}">
            <x14:dataBar minLength="0" maxLength="100" gradient="0">
              <x14:cfvo type="num">
                <xm:f>0</xm:f>
              </x14:cfvo>
              <x14:cfvo type="num">
                <xm:f>$S$156</xm:f>
              </x14:cfvo>
              <x14:negativeFillColor rgb="FFFF0000"/>
              <x14:axisColor theme="0"/>
            </x14:dataBar>
          </x14:cfRule>
          <xm:sqref>S83</xm:sqref>
        </x14:conditionalFormatting>
        <x14:conditionalFormatting xmlns:xm="http://schemas.microsoft.com/office/excel/2006/main">
          <x14:cfRule type="dataBar" id="{FDB05CED-8670-487B-A9B7-54F060B1DA83}">
            <x14:dataBar minLength="0" maxLength="100" gradient="0">
              <x14:cfvo type="num">
                <xm:f>0</xm:f>
              </x14:cfvo>
              <x14:cfvo type="num">
                <xm:f>$T$156</xm:f>
              </x14:cfvo>
              <x14:negativeFillColor rgb="FFFF0000"/>
              <x14:axisColor theme="0"/>
            </x14:dataBar>
          </x14:cfRule>
          <xm:sqref>T83</xm:sqref>
        </x14:conditionalFormatting>
        <x14:conditionalFormatting xmlns:xm="http://schemas.microsoft.com/office/excel/2006/main">
          <x14:cfRule type="dataBar" id="{4DDFEF76-5326-4655-A9F1-61BD30E45FB0}">
            <x14:dataBar minLength="0" maxLength="100" gradient="0" negativeBarColorSameAsPositive="1">
              <x14:cfvo type="num">
                <xm:f>0</xm:f>
              </x14:cfvo>
              <x14:cfvo type="num">
                <xm:f>$U$156</xm:f>
              </x14:cfvo>
              <x14:axisColor theme="0"/>
            </x14:dataBar>
          </x14:cfRule>
          <xm:sqref>U79</xm:sqref>
        </x14:conditionalFormatting>
        <x14:conditionalFormatting xmlns:xm="http://schemas.microsoft.com/office/excel/2006/main">
          <x14:cfRule type="dataBar" id="{EDEA02D2-E717-4214-AD5C-CE788E21356F}">
            <x14:dataBar minLength="0" maxLength="100" gradient="0">
              <x14:cfvo type="num">
                <xm:f>0</xm:f>
              </x14:cfvo>
              <x14:cfvo type="num">
                <xm:f>$V$156</xm:f>
              </x14:cfvo>
              <x14:negativeFillColor rgb="FFFF0000"/>
              <x14:axisColor theme="0"/>
            </x14:dataBar>
          </x14:cfRule>
          <xm:sqref>V79</xm:sqref>
        </x14:conditionalFormatting>
        <x14:conditionalFormatting xmlns:xm="http://schemas.microsoft.com/office/excel/2006/main">
          <x14:cfRule type="dataBar" id="{8936C173-860F-4A1A-BF7F-4E66B0BD8721}">
            <x14:dataBar minLength="0" maxLength="100" gradient="0">
              <x14:cfvo type="num">
                <xm:f>0</xm:f>
              </x14:cfvo>
              <x14:cfvo type="num">
                <xm:f>$W$156</xm:f>
              </x14:cfvo>
              <x14:negativeFillColor rgb="FFFF0000"/>
              <x14:axisColor theme="0"/>
            </x14:dataBar>
          </x14:cfRule>
          <xm:sqref>W79</xm:sqref>
        </x14:conditionalFormatting>
        <x14:conditionalFormatting xmlns:xm="http://schemas.microsoft.com/office/excel/2006/main">
          <x14:cfRule type="dataBar" id="{2CCAD16F-47E7-4EF4-AD22-D6DF39FEF2B2}">
            <x14:dataBar minLength="0" maxLength="100" gradient="0">
              <x14:cfvo type="num">
                <xm:f>0</xm:f>
              </x14:cfvo>
              <x14:cfvo type="num">
                <xm:f>$S$156</xm:f>
              </x14:cfvo>
              <x14:negativeFillColor rgb="FFFF0000"/>
              <x14:axisColor theme="0"/>
            </x14:dataBar>
          </x14:cfRule>
          <xm:sqref>S79</xm:sqref>
        </x14:conditionalFormatting>
        <x14:conditionalFormatting xmlns:xm="http://schemas.microsoft.com/office/excel/2006/main">
          <x14:cfRule type="dataBar" id="{2A4EAFB2-B991-4E69-B173-4EE59BB416FF}">
            <x14:dataBar minLength="0" maxLength="100" gradient="0">
              <x14:cfvo type="num">
                <xm:f>0</xm:f>
              </x14:cfvo>
              <x14:cfvo type="num">
                <xm:f>$T$156</xm:f>
              </x14:cfvo>
              <x14:negativeFillColor rgb="FFFF0000"/>
              <x14:axisColor theme="0"/>
            </x14:dataBar>
          </x14:cfRule>
          <xm:sqref>T79</xm:sqref>
        </x14:conditionalFormatting>
        <x14:conditionalFormatting xmlns:xm="http://schemas.microsoft.com/office/excel/2006/main">
          <x14:cfRule type="dataBar" id="{CF1A6F89-2531-428D-81C1-B690ADEF3ACA}">
            <x14:dataBar minLength="0" maxLength="100" gradient="0" negativeBarColorSameAsPositive="1">
              <x14:cfvo type="num">
                <xm:f>0</xm:f>
              </x14:cfvo>
              <x14:cfvo type="num">
                <xm:f>$U$156</xm:f>
              </x14:cfvo>
              <x14:axisColor theme="0"/>
            </x14:dataBar>
          </x14:cfRule>
          <xm:sqref>U77</xm:sqref>
        </x14:conditionalFormatting>
        <x14:conditionalFormatting xmlns:xm="http://schemas.microsoft.com/office/excel/2006/main">
          <x14:cfRule type="dataBar" id="{EE36A22E-0A23-4DC9-ACF4-B1FD64100C8A}">
            <x14:dataBar minLength="0" maxLength="100" gradient="0">
              <x14:cfvo type="num">
                <xm:f>0</xm:f>
              </x14:cfvo>
              <x14:cfvo type="num">
                <xm:f>$V$156</xm:f>
              </x14:cfvo>
              <x14:negativeFillColor rgb="FFFF0000"/>
              <x14:axisColor theme="0"/>
            </x14:dataBar>
          </x14:cfRule>
          <xm:sqref>V77</xm:sqref>
        </x14:conditionalFormatting>
        <x14:conditionalFormatting xmlns:xm="http://schemas.microsoft.com/office/excel/2006/main">
          <x14:cfRule type="dataBar" id="{7B255EE5-097C-4238-826B-A239CC3131EB}">
            <x14:dataBar minLength="0" maxLength="100" gradient="0">
              <x14:cfvo type="num">
                <xm:f>0</xm:f>
              </x14:cfvo>
              <x14:cfvo type="num">
                <xm:f>$W$156</xm:f>
              </x14:cfvo>
              <x14:negativeFillColor rgb="FFFF0000"/>
              <x14:axisColor theme="0"/>
            </x14:dataBar>
          </x14:cfRule>
          <xm:sqref>W77</xm:sqref>
        </x14:conditionalFormatting>
      </x14:conditionalFormattings>
    </ext>
    <ext xmlns:x14="http://schemas.microsoft.com/office/spreadsheetml/2009/9/main" uri="{CCE6A557-97BC-4b89-ADB6-D9C93CAAB3DF}">
      <x14:dataValidations xmlns:xm="http://schemas.microsoft.com/office/excel/2006/main" xWindow="1034" yWindow="800" count="20">
        <x14:dataValidation type="list" allowBlank="1" showInputMessage="1" showErrorMessage="1">
          <x14:formula1>
            <xm:f>輸送算定用!$B$17:$B$22</xm:f>
          </x14:formula1>
          <xm:sqref>F82:J82</xm:sqref>
        </x14:dataValidation>
        <x14:dataValidation type="list" allowBlank="1">
          <x14:formula1>
            <xm:f>輸送算定用!$E$17:$E$22</xm:f>
          </x14:formula1>
          <xm:sqref>F87:J87</xm:sqref>
        </x14:dataValidation>
        <x14:dataValidation type="list" allowBlank="1" showInputMessage="1" showErrorMessage="1">
          <x14:formula1>
            <xm:f>輸送算定用!$A$25:$A$27</xm:f>
          </x14:formula1>
          <xm:sqref>B78</xm:sqref>
        </x14:dataValidation>
        <x14:dataValidation type="list" allowBlank="1" showInputMessage="1" showErrorMessage="1">
          <x14:formula1>
            <xm:f>輸送算定用!$A$2:$A$3</xm:f>
          </x14:formula1>
          <xm:sqref>F78:J78 F81:J81 F85:J85</xm:sqref>
        </x14:dataValidation>
        <x14:dataValidation type="list" allowBlank="1" showInputMessage="1" showErrorMessage="1">
          <x14:formula1>
            <xm:f>Color!$U$4:$U$21</xm:f>
          </x14:formula1>
          <xm:sqref>D96</xm:sqref>
        </x14:dataValidation>
        <x14:dataValidation type="list" allowBlank="1" showInputMessage="1" showErrorMessage="1">
          <x14:formula1>
            <xm:f>Color!$Z$4:$Z$6</xm:f>
          </x14:formula1>
          <xm:sqref>E40</xm:sqref>
        </x14:dataValidation>
        <x14:dataValidation type="list" allowBlank="1" showInputMessage="1" showErrorMessage="1">
          <x14:formula1>
            <xm:f>Color!$X$4:$X$6</xm:f>
          </x14:formula1>
          <xm:sqref>E41:E42</xm:sqref>
        </x14:dataValidation>
        <x14:dataValidation type="list" allowBlank="1" showInputMessage="1" showErrorMessage="1">
          <x14:formula1>
            <xm:f>Color!$Y$4:$Y$8</xm:f>
          </x14:formula1>
          <xm:sqref>E44:E48</xm:sqref>
        </x14:dataValidation>
        <x14:dataValidation type="list" allowBlank="1" showInputMessage="1" showErrorMessage="1">
          <x14:formula1>
            <xm:f>Color!$Y$6:$Y$8</xm:f>
          </x14:formula1>
          <xm:sqref>E43</xm:sqref>
        </x14:dataValidation>
        <x14:dataValidation type="list" allowBlank="1" showInputMessage="1" showErrorMessage="1">
          <x14:formula1>
            <xm:f>Color!$AG$4:$AG$6</xm:f>
          </x14:formula1>
          <xm:sqref>L194</xm:sqref>
        </x14:dataValidation>
        <x14:dataValidation type="list" allowBlank="1" showInputMessage="1" showErrorMessage="1">
          <x14:formula1>
            <xm:f>Color!$M$4:$M$8</xm:f>
          </x14:formula1>
          <xm:sqref>Q184 Q219 Q214 Q209 Q204 Q199 Q189 Q194</xm:sqref>
        </x14:dataValidation>
        <x14:dataValidation type="list" allowBlank="1" showInputMessage="1" showErrorMessage="1">
          <x14:formula1>
            <xm:f>Color!$U$4:$U$22</xm:f>
          </x14:formula1>
          <xm:sqref>D95 D97</xm:sqref>
        </x14:dataValidation>
        <x14:dataValidation type="list" allowBlank="1" showInputMessage="1" showErrorMessage="1">
          <x14:formula1>
            <xm:f>Color!$G$4:$G$5</xm:f>
          </x14:formula1>
          <xm:sqref>F144</xm:sqref>
        </x14:dataValidation>
        <x14:dataValidation type="list" allowBlank="1" showInputMessage="1" showErrorMessage="1">
          <x14:formula1>
            <xm:f>IDEAGLIO補助ﾘｽﾄ!$B$2:$B$50</xm:f>
          </x14:formula1>
          <xm:sqref>D50:D52</xm:sqref>
        </x14:dataValidation>
        <x14:dataValidation type="list" allowBlank="1" showInputMessage="1" showErrorMessage="1">
          <x14:formula1>
            <xm:f>GWP!$A$4:$A$36</xm:f>
          </x14:formula1>
          <xm:sqref>B104:D106</xm:sqref>
        </x14:dataValidation>
        <x14:dataValidation type="list" allowBlank="1" showInputMessage="1" showErrorMessage="1">
          <x14:formula1>
            <xm:f>Color!$I$4:$I$7</xm:f>
          </x14:formula1>
          <xm:sqref>C6</xm:sqref>
        </x14:dataValidation>
        <x14:dataValidation type="list" allowBlank="1" showInputMessage="1" showErrorMessage="1">
          <x14:formula1>
            <xm:f>共通データ!$B$32:$B$37</xm:f>
          </x14:formula1>
          <xm:sqref>B57:D59</xm:sqref>
        </x14:dataValidation>
        <x14:dataValidation type="list" showInputMessage="1" showErrorMessage="1" promptTitle="配分基準の選択" prompt="原則として熱量基準を選択してください。難しい場合は体積基準を選択してください。">
          <x14:formula1>
            <xm:f>Color!$M$4:$M$8</xm:f>
          </x14:formula1>
          <xm:sqref>B135</xm:sqref>
        </x14:dataValidation>
        <x14:dataValidation type="list" allowBlank="1" showInputMessage="1" showErrorMessage="1">
          <x14:formula1>
            <xm:f>Color!$AO$9</xm:f>
          </x14:formula1>
          <xm:sqref>AE23:AE32 AE66:AE70 AE39:AE52 AE57:AE59 AE77 AE79 AE83 AE94:AE97 AE113:AE122</xm:sqref>
        </x14:dataValidation>
        <x14:dataValidation type="list" allowBlank="1" showInputMessage="1" showErrorMessage="1">
          <x14:formula1>
            <xm:f>補助ﾘｽﾄ!$B$11:$B$52</xm:f>
          </x14:formula1>
          <xm:sqref>B66:D70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81BC00"/>
    <pageSetUpPr fitToPage="1"/>
  </sheetPr>
  <dimension ref="A1:AY225"/>
  <sheetViews>
    <sheetView view="pageBreakPreview" zoomScale="70" zoomScaleNormal="60" zoomScaleSheetLayoutView="70" workbookViewId="0">
      <selection activeCell="B1" sqref="B1:D1"/>
    </sheetView>
  </sheetViews>
  <sheetFormatPr defaultColWidth="8.8984375" defaultRowHeight="13.2"/>
  <cols>
    <col min="1" max="1" width="4.09765625" style="59" customWidth="1"/>
    <col min="2" max="2" width="11.09765625" style="59" customWidth="1"/>
    <col min="3" max="3" width="8.8984375" style="59" customWidth="1"/>
    <col min="4" max="4" width="14.8984375" style="59" customWidth="1"/>
    <col min="5" max="5" width="14.09765625" style="59" customWidth="1"/>
    <col min="6" max="10" width="10.5" style="221" customWidth="1"/>
    <col min="11" max="11" width="11.3984375" style="59" bestFit="1" customWidth="1"/>
    <col min="12" max="12" width="9" style="59" customWidth="1"/>
    <col min="13" max="13" width="18.8984375" style="59" customWidth="1"/>
    <col min="14" max="14" width="11.09765625" style="59" customWidth="1"/>
    <col min="15" max="15" width="13.3984375" style="59" bestFit="1" customWidth="1"/>
    <col min="16" max="18" width="8.8984375" style="59"/>
    <col min="19" max="19" width="13" style="221" bestFit="1" customWidth="1"/>
    <col min="20" max="24" width="11.3984375" style="221" bestFit="1" customWidth="1"/>
    <col min="25" max="29" width="5.69921875" style="224" customWidth="1"/>
    <col min="30" max="30" width="7.09765625" style="224" customWidth="1"/>
    <col min="31" max="31" width="17.09765625" style="224" customWidth="1"/>
    <col min="32" max="32" width="17.09765625" style="224" hidden="1" customWidth="1"/>
    <col min="33" max="33" width="8.8984375" style="235" hidden="1" customWidth="1"/>
    <col min="34" max="34" width="14.09765625" style="235" hidden="1" customWidth="1"/>
    <col min="35" max="35" width="8.8984375" style="235" hidden="1" customWidth="1"/>
    <col min="36" max="36" width="8.8984375" style="206" hidden="1" customWidth="1"/>
    <col min="37" max="37" width="13.3984375" style="235" hidden="1" customWidth="1"/>
    <col min="38" max="39" width="8.8984375" style="235" hidden="1" customWidth="1"/>
    <col min="40" max="43" width="8.8984375" style="59" hidden="1" customWidth="1"/>
    <col min="44" max="16384" width="8.8984375" style="59"/>
  </cols>
  <sheetData>
    <row r="1" spans="1:39" ht="15.6" thickTop="1" thickBot="1">
      <c r="B1" s="843" t="s">
        <v>7437</v>
      </c>
      <c r="C1" s="844"/>
      <c r="D1" s="845"/>
      <c r="E1" s="149"/>
      <c r="F1" s="220"/>
      <c r="G1" s="220"/>
      <c r="H1" s="220"/>
      <c r="I1" s="220"/>
      <c r="J1" s="385"/>
      <c r="K1" s="149"/>
      <c r="L1" s="149"/>
      <c r="M1" s="149"/>
      <c r="N1" s="149"/>
      <c r="O1" s="149"/>
      <c r="P1" s="149"/>
      <c r="Q1" s="149"/>
      <c r="R1" s="149"/>
      <c r="S1" s="220"/>
      <c r="T1" s="220"/>
      <c r="U1" s="220"/>
      <c r="V1" s="220"/>
      <c r="W1" s="220"/>
      <c r="X1" s="220"/>
      <c r="Y1" s="222"/>
      <c r="Z1" s="222"/>
      <c r="AA1" s="222"/>
      <c r="AB1" s="222"/>
      <c r="AC1" s="222"/>
      <c r="AD1" s="222"/>
      <c r="AE1" s="222"/>
      <c r="AF1" s="222"/>
      <c r="AG1" s="59"/>
      <c r="AH1" s="59"/>
      <c r="AI1" s="59"/>
      <c r="AJ1" s="534"/>
      <c r="AK1" s="212"/>
      <c r="AL1" s="59"/>
      <c r="AM1" s="59"/>
    </row>
    <row r="2" spans="1:39" customFormat="1" ht="15" thickTop="1">
      <c r="A2" s="89"/>
      <c r="B2" s="386"/>
      <c r="C2" s="386"/>
      <c r="D2" s="386"/>
      <c r="E2" s="143"/>
      <c r="F2" s="385"/>
      <c r="G2" s="385"/>
      <c r="H2" s="385"/>
      <c r="I2" s="385"/>
      <c r="J2" s="385"/>
      <c r="K2" s="143"/>
      <c r="L2" s="143"/>
      <c r="M2" s="143"/>
      <c r="N2" s="89"/>
      <c r="O2" s="89"/>
      <c r="P2" s="89"/>
      <c r="Q2" s="89"/>
      <c r="R2" s="89"/>
      <c r="S2" s="89"/>
      <c r="T2" s="89"/>
      <c r="U2" s="89"/>
      <c r="V2" s="89"/>
      <c r="W2" s="89"/>
      <c r="X2" s="89"/>
      <c r="Y2" s="89"/>
      <c r="Z2" s="89"/>
      <c r="AA2" s="89"/>
      <c r="AB2" s="89"/>
      <c r="AC2" s="89"/>
      <c r="AD2" s="89"/>
      <c r="AE2" s="388"/>
      <c r="AF2" s="388"/>
      <c r="AJ2" s="536"/>
    </row>
    <row r="3" spans="1:39" customFormat="1" ht="13.8">
      <c r="A3" s="89"/>
      <c r="B3" s="915" t="s">
        <v>7915</v>
      </c>
      <c r="C3" s="915"/>
      <c r="D3" s="915"/>
      <c r="E3" s="915"/>
      <c r="F3" s="390"/>
      <c r="G3" s="915" t="s">
        <v>7836</v>
      </c>
      <c r="H3" s="915"/>
      <c r="I3" s="915"/>
      <c r="J3" s="915"/>
      <c r="K3" s="915"/>
      <c r="L3" s="915"/>
      <c r="M3" s="149"/>
      <c r="N3" s="89"/>
      <c r="O3" s="89"/>
      <c r="P3" s="89"/>
      <c r="Q3" s="89"/>
      <c r="R3" s="89"/>
      <c r="S3" s="89"/>
      <c r="T3" s="89"/>
      <c r="U3" s="89"/>
      <c r="V3" s="89"/>
      <c r="W3" s="89"/>
      <c r="X3" s="89"/>
      <c r="Y3" s="89"/>
      <c r="Z3" s="89"/>
      <c r="AA3" s="89"/>
      <c r="AB3" s="89"/>
      <c r="AC3" s="89"/>
      <c r="AD3" s="89"/>
      <c r="AE3" s="222"/>
      <c r="AF3" s="222"/>
      <c r="AJ3" s="536"/>
    </row>
    <row r="4" spans="1:39" customFormat="1" ht="13.8">
      <c r="A4" s="89"/>
      <c r="B4" s="149"/>
      <c r="C4" s="149"/>
      <c r="D4" s="149"/>
      <c r="E4" s="149"/>
      <c r="F4" s="149"/>
      <c r="G4" s="149"/>
      <c r="H4" s="149"/>
      <c r="I4" s="149"/>
      <c r="J4" s="149"/>
      <c r="K4" s="916" t="s">
        <v>7841</v>
      </c>
      <c r="L4" s="916"/>
      <c r="M4" s="149"/>
      <c r="N4" s="89"/>
      <c r="O4" s="89"/>
      <c r="P4" s="89"/>
      <c r="Q4" s="89"/>
      <c r="R4" s="89"/>
      <c r="S4" s="89"/>
      <c r="T4" s="89"/>
      <c r="U4" s="89"/>
      <c r="V4" s="89"/>
      <c r="W4" s="89"/>
      <c r="X4" s="89"/>
      <c r="Y4" s="89"/>
      <c r="Z4" s="89"/>
      <c r="AA4" s="89"/>
      <c r="AB4" s="89"/>
      <c r="AC4" s="89"/>
      <c r="AD4" s="89"/>
      <c r="AE4" s="222"/>
      <c r="AF4" s="222"/>
      <c r="AJ4" s="536"/>
    </row>
    <row r="5" spans="1:39" customFormat="1" ht="13.95" customHeight="1">
      <c r="A5" s="89"/>
      <c r="B5" s="1049" t="s">
        <v>7815</v>
      </c>
      <c r="C5" s="1050"/>
      <c r="D5" s="633" t="s">
        <v>7817</v>
      </c>
      <c r="E5" s="391" t="s">
        <v>136</v>
      </c>
      <c r="F5" s="149"/>
      <c r="G5" s="914" t="s">
        <v>6965</v>
      </c>
      <c r="H5" s="914"/>
      <c r="I5" s="914"/>
      <c r="J5" s="685" t="s">
        <v>7809</v>
      </c>
      <c r="K5" s="917" t="s">
        <v>7848</v>
      </c>
      <c r="L5" s="918"/>
      <c r="M5" s="149"/>
      <c r="N5" s="89"/>
      <c r="O5" s="89"/>
      <c r="P5" s="89"/>
      <c r="Q5" s="89"/>
      <c r="R5" s="89"/>
      <c r="S5" s="89"/>
      <c r="T5" s="89"/>
      <c r="U5" s="89"/>
      <c r="V5" s="89"/>
      <c r="W5" s="89"/>
      <c r="X5" s="89"/>
      <c r="Y5" s="89"/>
      <c r="Z5" s="89"/>
      <c r="AA5" s="89"/>
      <c r="AB5" s="89"/>
      <c r="AC5" s="89"/>
      <c r="AD5" s="89"/>
      <c r="AE5" s="222"/>
      <c r="AF5" s="222"/>
      <c r="AJ5" s="536"/>
    </row>
    <row r="6" spans="1:39" customFormat="1" ht="13.8">
      <c r="A6" s="89"/>
      <c r="B6" s="62" t="s">
        <v>7811</v>
      </c>
      <c r="C6" s="488" t="str">
        <f>'製造(P)'!C6</f>
        <v>[Nm3]</v>
      </c>
      <c r="D6" s="691">
        <v>600</v>
      </c>
      <c r="E6" s="654" t="s">
        <v>192</v>
      </c>
      <c r="F6" s="149"/>
      <c r="G6" s="922" t="s">
        <v>7837</v>
      </c>
      <c r="H6" s="922"/>
      <c r="I6" s="922"/>
      <c r="J6" s="685" t="s">
        <v>7834</v>
      </c>
      <c r="K6" s="919" t="s">
        <v>7847</v>
      </c>
      <c r="L6" s="920"/>
      <c r="M6" s="149"/>
      <c r="N6" s="89"/>
      <c r="O6" s="89"/>
      <c r="P6" s="89"/>
      <c r="Q6" s="89"/>
      <c r="R6" s="89"/>
      <c r="S6" s="89"/>
      <c r="T6" s="89"/>
      <c r="U6" s="89"/>
      <c r="V6" s="89"/>
      <c r="W6" s="89"/>
      <c r="X6" s="89"/>
      <c r="Y6" s="89"/>
      <c r="Z6" s="89"/>
      <c r="AA6" s="89"/>
      <c r="AB6" s="89"/>
      <c r="AC6" s="89"/>
      <c r="AD6" s="802"/>
      <c r="AE6" s="222"/>
      <c r="AF6" s="222"/>
      <c r="AJ6" s="536"/>
    </row>
    <row r="7" spans="1:39" customFormat="1" ht="13.8">
      <c r="A7" s="89"/>
      <c r="B7" s="149"/>
      <c r="C7" s="149"/>
      <c r="D7" s="149"/>
      <c r="E7" s="149"/>
      <c r="F7" s="149"/>
      <c r="G7" s="914" t="s">
        <v>6967</v>
      </c>
      <c r="H7" s="914"/>
      <c r="I7" s="914"/>
      <c r="J7" s="685" t="s">
        <v>7809</v>
      </c>
      <c r="K7" s="917" t="s">
        <v>7846</v>
      </c>
      <c r="L7" s="921"/>
      <c r="M7" s="149"/>
      <c r="N7" s="91"/>
      <c r="O7" s="91"/>
      <c r="P7" s="91"/>
      <c r="Q7" s="91"/>
      <c r="R7" s="91"/>
      <c r="S7" s="91"/>
      <c r="T7" s="91"/>
      <c r="U7" s="89"/>
      <c r="V7" s="89"/>
      <c r="W7" s="89"/>
      <c r="X7" s="89"/>
      <c r="Y7" s="89"/>
      <c r="Z7" s="89"/>
      <c r="AA7" s="89"/>
      <c r="AB7" s="89"/>
      <c r="AC7" s="89"/>
      <c r="AD7" s="802"/>
      <c r="AE7" s="222"/>
      <c r="AF7" s="222"/>
      <c r="AJ7" s="536"/>
    </row>
    <row r="8" spans="1:39" customFormat="1" ht="13.8">
      <c r="A8" s="89"/>
      <c r="B8" s="960" t="str">
        <f>B6</f>
        <v>貯蔵・輸送量</v>
      </c>
      <c r="C8" s="961"/>
      <c r="D8" s="632" t="s">
        <v>7819</v>
      </c>
      <c r="E8" s="149"/>
      <c r="F8" s="149"/>
      <c r="G8" s="914" t="s">
        <v>6973</v>
      </c>
      <c r="H8" s="914"/>
      <c r="I8" s="914"/>
      <c r="J8" s="685" t="s">
        <v>7809</v>
      </c>
      <c r="K8" s="917" t="s">
        <v>7845</v>
      </c>
      <c r="L8" s="921"/>
      <c r="M8" s="91"/>
      <c r="N8" s="91"/>
      <c r="O8" s="91"/>
      <c r="P8" s="91"/>
      <c r="Q8" s="91"/>
      <c r="R8" s="91"/>
      <c r="S8" s="91"/>
      <c r="T8" s="89"/>
      <c r="U8" s="89"/>
      <c r="V8" s="89"/>
      <c r="W8" s="89"/>
      <c r="X8" s="89"/>
      <c r="Y8" s="89"/>
      <c r="Z8" s="89"/>
      <c r="AA8" s="89"/>
      <c r="AB8" s="89"/>
      <c r="AC8" s="89"/>
      <c r="AD8" s="802"/>
      <c r="AE8" s="149"/>
      <c r="AF8" s="149"/>
      <c r="AI8" s="536"/>
    </row>
    <row r="9" spans="1:39" customFormat="1" ht="13.8">
      <c r="A9" s="89"/>
      <c r="B9" s="960" t="s">
        <v>7547</v>
      </c>
      <c r="C9" s="961"/>
      <c r="D9" s="689">
        <f>IFERROR(IF($C6="[kg]",D6,IF($C6="[t]",D6*1000,IF($C6="[1000Nm3]",D6*共通データ!$C$29*1000,D6*共通データ!$C$29))),"")</f>
        <v>53.94</v>
      </c>
      <c r="E9" s="149"/>
      <c r="F9" s="149"/>
      <c r="G9" s="914" t="s">
        <v>7839</v>
      </c>
      <c r="H9" s="914"/>
      <c r="I9" s="914"/>
      <c r="J9" s="685" t="s">
        <v>7809</v>
      </c>
      <c r="K9" s="917" t="s">
        <v>7842</v>
      </c>
      <c r="L9" s="921"/>
      <c r="M9" s="91"/>
      <c r="N9" s="91"/>
      <c r="O9" s="91"/>
      <c r="P9" s="91"/>
      <c r="Q9" s="91"/>
      <c r="R9" s="91"/>
      <c r="S9" s="91"/>
      <c r="T9" s="89"/>
      <c r="U9" s="89"/>
      <c r="V9" s="89"/>
      <c r="W9" s="89"/>
      <c r="X9" s="89"/>
      <c r="Y9" s="89"/>
      <c r="Z9" s="89"/>
      <c r="AA9" s="89"/>
      <c r="AB9" s="89"/>
      <c r="AC9" s="89"/>
      <c r="AD9" s="802"/>
      <c r="AE9" s="149"/>
      <c r="AF9" s="149"/>
      <c r="AI9" s="536"/>
    </row>
    <row r="10" spans="1:39" customFormat="1" ht="13.8">
      <c r="A10" s="89"/>
      <c r="B10" s="960" t="s">
        <v>7548</v>
      </c>
      <c r="C10" s="961"/>
      <c r="D10" s="690">
        <f>IFERROR(D9*共通データ!$H$29,"")</f>
        <v>6472.7999999999993</v>
      </c>
      <c r="E10" s="149"/>
      <c r="F10" s="149"/>
      <c r="G10" s="914" t="s">
        <v>7838</v>
      </c>
      <c r="H10" s="914"/>
      <c r="I10" s="914"/>
      <c r="J10" s="685" t="s">
        <v>7809</v>
      </c>
      <c r="K10" s="917" t="s">
        <v>7843</v>
      </c>
      <c r="L10" s="921"/>
      <c r="M10" s="91"/>
      <c r="N10" s="143"/>
      <c r="O10" s="143"/>
      <c r="P10" s="143"/>
      <c r="Q10" s="143"/>
      <c r="R10" s="91"/>
      <c r="S10" s="91"/>
      <c r="T10" s="89"/>
      <c r="U10" s="89"/>
      <c r="V10" s="89"/>
      <c r="W10" s="89"/>
      <c r="X10" s="89"/>
      <c r="Y10" s="89"/>
      <c r="Z10" s="89"/>
      <c r="AA10" s="89"/>
      <c r="AB10" s="89"/>
      <c r="AC10" s="89"/>
      <c r="AD10" s="802"/>
      <c r="AE10" s="149"/>
      <c r="AF10" s="149"/>
      <c r="AI10" s="536"/>
    </row>
    <row r="11" spans="1:39" customFormat="1" ht="13.8">
      <c r="A11" s="89"/>
      <c r="B11" s="958" t="s">
        <v>7549</v>
      </c>
      <c r="C11" s="959"/>
      <c r="D11" s="690">
        <f>IFERROR(D9/共通データ!$C$29,"")</f>
        <v>600</v>
      </c>
      <c r="E11" s="149"/>
      <c r="F11" s="149"/>
      <c r="G11" s="914" t="s">
        <v>7840</v>
      </c>
      <c r="H11" s="914"/>
      <c r="I11" s="914"/>
      <c r="J11" s="685" t="s">
        <v>7809</v>
      </c>
      <c r="K11" s="917" t="s">
        <v>7844</v>
      </c>
      <c r="L11" s="918"/>
      <c r="M11" s="91"/>
      <c r="N11" s="143"/>
      <c r="O11" s="143"/>
      <c r="P11" s="143"/>
      <c r="Q11" s="143"/>
      <c r="R11" s="91"/>
      <c r="S11" s="91"/>
      <c r="T11" s="89"/>
      <c r="U11" s="89"/>
      <c r="V11" s="89"/>
      <c r="W11" s="89"/>
      <c r="X11" s="89"/>
      <c r="Y11" s="89"/>
      <c r="Z11" s="89"/>
      <c r="AA11" s="89"/>
      <c r="AB11" s="89"/>
      <c r="AC11" s="89"/>
      <c r="AD11" s="802"/>
      <c r="AE11" s="149"/>
      <c r="AF11" s="149"/>
      <c r="AI11" s="536"/>
    </row>
    <row r="12" spans="1:39" customFormat="1" ht="13.8">
      <c r="A12" s="89"/>
      <c r="B12" s="311"/>
      <c r="C12" s="150"/>
      <c r="D12" s="245"/>
      <c r="E12" s="246"/>
      <c r="F12" s="153"/>
      <c r="G12" s="153"/>
      <c r="H12" s="153"/>
      <c r="I12" s="220"/>
      <c r="J12" s="220"/>
      <c r="K12" s="149"/>
      <c r="L12" s="149"/>
      <c r="M12" s="143"/>
      <c r="N12" s="91"/>
      <c r="O12" s="143"/>
      <c r="P12" s="143"/>
      <c r="Q12" s="143"/>
      <c r="R12" s="143"/>
      <c r="S12" s="91"/>
      <c r="T12" s="91"/>
      <c r="U12" s="89"/>
      <c r="V12" s="89"/>
      <c r="W12" s="89"/>
      <c r="X12" s="89"/>
      <c r="Y12" s="89"/>
      <c r="Z12" s="89"/>
      <c r="AA12" s="89"/>
      <c r="AB12" s="89"/>
      <c r="AC12" s="89"/>
      <c r="AD12" s="802"/>
      <c r="AE12" s="222"/>
      <c r="AF12" s="222"/>
      <c r="AJ12" s="536"/>
    </row>
    <row r="13" spans="1:39" customFormat="1" ht="13.8">
      <c r="A13" s="89"/>
      <c r="B13" s="989" t="s">
        <v>7656</v>
      </c>
      <c r="C13" s="989"/>
      <c r="D13" s="1051"/>
      <c r="E13" s="1051"/>
      <c r="F13" s="1051"/>
      <c r="G13" s="1051"/>
      <c r="H13" s="1051"/>
      <c r="I13" s="1051"/>
      <c r="J13" s="1051"/>
      <c r="K13" s="1051"/>
      <c r="L13" s="89"/>
      <c r="M13" s="89"/>
      <c r="N13" s="89"/>
      <c r="O13" s="89"/>
      <c r="P13" s="89"/>
      <c r="Q13" s="89"/>
      <c r="R13" s="89"/>
      <c r="S13" s="89"/>
      <c r="T13" s="89"/>
      <c r="U13" s="89"/>
      <c r="V13" s="89"/>
      <c r="W13" s="89"/>
      <c r="X13" s="89"/>
      <c r="Y13" s="89"/>
      <c r="Z13" s="89"/>
      <c r="AA13" s="89"/>
      <c r="AB13" s="89"/>
      <c r="AC13" s="89"/>
      <c r="AD13" s="89"/>
      <c r="AE13" s="802"/>
      <c r="AF13" s="802"/>
      <c r="AJ13" s="536"/>
    </row>
    <row r="14" spans="1:39" customFormat="1" ht="13.8">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02"/>
      <c r="AF14" s="802"/>
      <c r="AJ14" s="536"/>
    </row>
    <row r="15" spans="1:39" customFormat="1" ht="13.8">
      <c r="A15" s="89"/>
      <c r="B15" s="85" t="s">
        <v>181</v>
      </c>
      <c r="C15" s="147"/>
      <c r="D15" s="86"/>
      <c r="E15" s="86"/>
      <c r="F15" s="653" t="s">
        <v>195</v>
      </c>
      <c r="G15" s="653" t="s">
        <v>196</v>
      </c>
      <c r="H15" s="653" t="s">
        <v>197</v>
      </c>
      <c r="I15" s="653" t="s">
        <v>198</v>
      </c>
      <c r="J15" s="653" t="s">
        <v>199</v>
      </c>
      <c r="K15" s="149"/>
      <c r="L15" s="89"/>
      <c r="M15" s="89"/>
      <c r="N15" s="89"/>
      <c r="O15" s="89"/>
      <c r="P15" s="89"/>
      <c r="Q15" s="89"/>
      <c r="R15" s="89"/>
      <c r="S15" s="89"/>
      <c r="T15" s="89"/>
      <c r="U15" s="89"/>
      <c r="V15" s="89"/>
      <c r="W15" s="89"/>
      <c r="X15" s="89"/>
      <c r="Y15" s="89"/>
      <c r="Z15" s="89"/>
      <c r="AA15" s="89"/>
      <c r="AB15" s="89"/>
      <c r="AC15" s="89"/>
      <c r="AD15" s="89"/>
      <c r="AE15" s="802"/>
      <c r="AF15" s="802"/>
      <c r="AJ15" s="536"/>
    </row>
    <row r="16" spans="1:39" customFormat="1" ht="13.8">
      <c r="A16" s="89"/>
      <c r="B16" s="83" t="s">
        <v>182</v>
      </c>
      <c r="C16" s="125"/>
      <c r="D16" s="84"/>
      <c r="E16" s="84"/>
      <c r="F16" s="654" t="s">
        <v>7947</v>
      </c>
      <c r="G16" s="654" t="s">
        <v>192</v>
      </c>
      <c r="H16" s="654" t="s">
        <v>192</v>
      </c>
      <c r="I16" s="654" t="s">
        <v>192</v>
      </c>
      <c r="J16" s="654" t="s">
        <v>192</v>
      </c>
      <c r="K16" s="149"/>
      <c r="L16" s="89"/>
      <c r="M16" s="89"/>
      <c r="N16" s="89"/>
      <c r="O16" s="89"/>
      <c r="P16" s="89"/>
      <c r="Q16" s="89"/>
      <c r="R16" s="89"/>
      <c r="S16" s="89"/>
      <c r="T16" s="89"/>
      <c r="U16" s="89"/>
      <c r="V16" s="89"/>
      <c r="W16" s="89"/>
      <c r="X16" s="89"/>
      <c r="Y16" s="89"/>
      <c r="Z16" s="89"/>
      <c r="AA16" s="89"/>
      <c r="AB16" s="89"/>
      <c r="AC16" s="89"/>
      <c r="AD16" s="89"/>
      <c r="AE16" s="802"/>
      <c r="AF16" s="802"/>
      <c r="AJ16" s="536"/>
    </row>
    <row r="17" spans="1:39" customFormat="1" ht="13.8">
      <c r="A17" s="89"/>
      <c r="B17" s="83" t="s">
        <v>183</v>
      </c>
      <c r="C17" s="125"/>
      <c r="D17" s="84"/>
      <c r="E17" s="84"/>
      <c r="F17" s="654" t="s">
        <v>192</v>
      </c>
      <c r="G17" s="654" t="s">
        <v>192</v>
      </c>
      <c r="H17" s="654" t="s">
        <v>192</v>
      </c>
      <c r="I17" s="654" t="s">
        <v>192</v>
      </c>
      <c r="J17" s="654" t="s">
        <v>192</v>
      </c>
      <c r="K17" s="149"/>
      <c r="L17" s="89"/>
      <c r="M17" s="89"/>
      <c r="N17" s="89"/>
      <c r="O17" s="89"/>
      <c r="P17" s="89"/>
      <c r="Q17" s="89"/>
      <c r="R17" s="89"/>
      <c r="S17" s="89"/>
      <c r="T17" s="89"/>
      <c r="U17" s="89"/>
      <c r="V17" s="89"/>
      <c r="W17" s="89"/>
      <c r="X17" s="89"/>
      <c r="Y17" s="89"/>
      <c r="Z17" s="89"/>
      <c r="AA17" s="89"/>
      <c r="AB17" s="89"/>
      <c r="AC17" s="89"/>
      <c r="AD17" s="89"/>
      <c r="AE17" s="802"/>
      <c r="AF17" s="802"/>
      <c r="AJ17" s="536"/>
    </row>
    <row r="18" spans="1:39">
      <c r="B18" s="149"/>
      <c r="C18" s="149"/>
      <c r="D18" s="149"/>
      <c r="E18" s="149"/>
      <c r="F18" s="220"/>
      <c r="G18" s="220"/>
      <c r="H18" s="220"/>
      <c r="I18" s="220"/>
      <c r="J18" s="220"/>
      <c r="K18" s="149"/>
      <c r="L18" s="149"/>
      <c r="M18" s="149"/>
      <c r="N18" s="149"/>
      <c r="O18" s="149"/>
      <c r="P18" s="149"/>
      <c r="Q18" s="149"/>
      <c r="R18" s="149"/>
      <c r="S18" s="220"/>
      <c r="T18" s="220"/>
      <c r="U18" s="220"/>
      <c r="V18" s="220"/>
      <c r="W18" s="220"/>
      <c r="X18" s="220"/>
      <c r="Y18" s="222"/>
      <c r="Z18" s="222"/>
      <c r="AA18" s="222"/>
      <c r="AB18" s="222"/>
      <c r="AC18" s="222"/>
      <c r="AD18" s="222"/>
      <c r="AE18" s="222"/>
      <c r="AF18" s="222"/>
      <c r="AG18" s="59"/>
      <c r="AH18" s="59"/>
      <c r="AI18" s="59"/>
      <c r="AJ18" s="534"/>
      <c r="AK18" s="212"/>
      <c r="AL18" s="59"/>
      <c r="AM18" s="59"/>
    </row>
    <row r="19" spans="1:39">
      <c r="B19" s="915" t="s">
        <v>7779</v>
      </c>
      <c r="C19" s="915"/>
      <c r="D19" s="915"/>
      <c r="E19" s="915"/>
      <c r="F19" s="915"/>
      <c r="G19" s="915"/>
      <c r="H19" s="915"/>
      <c r="I19" s="915"/>
      <c r="J19" s="915"/>
      <c r="K19" s="915"/>
      <c r="L19" s="915"/>
      <c r="M19" s="915"/>
      <c r="N19" s="915"/>
      <c r="O19" s="915"/>
      <c r="P19" s="149"/>
      <c r="Q19" s="935" t="s">
        <v>7766</v>
      </c>
      <c r="R19" s="935"/>
      <c r="S19" s="935"/>
      <c r="T19" s="935"/>
      <c r="U19" s="935"/>
      <c r="V19" s="935"/>
      <c r="W19" s="935"/>
      <c r="X19" s="935"/>
      <c r="Y19" s="935"/>
      <c r="Z19" s="935"/>
      <c r="AA19" s="935"/>
      <c r="AB19" s="935"/>
      <c r="AC19" s="935"/>
      <c r="AD19" s="935"/>
      <c r="AE19" s="811"/>
      <c r="AF19" s="811"/>
      <c r="AG19" s="59"/>
      <c r="AH19" s="59"/>
      <c r="AI19" s="59"/>
      <c r="AJ19" s="492"/>
      <c r="AK19" s="213"/>
      <c r="AL19" s="59"/>
      <c r="AM19" s="59"/>
    </row>
    <row r="20" spans="1:39" s="149" customFormat="1">
      <c r="F20" s="220"/>
      <c r="G20" s="220"/>
      <c r="H20" s="220"/>
      <c r="I20" s="220"/>
      <c r="J20" s="220"/>
      <c r="S20" s="220"/>
      <c r="T20" s="220"/>
      <c r="U20" s="220"/>
      <c r="V20" s="220"/>
      <c r="W20" s="220"/>
      <c r="X20" s="220"/>
      <c r="Y20" s="222"/>
      <c r="Z20" s="222"/>
      <c r="AA20" s="222"/>
      <c r="AB20" s="222"/>
      <c r="AC20" s="222"/>
      <c r="AD20" s="222"/>
      <c r="AE20" s="222"/>
      <c r="AF20" s="222"/>
      <c r="AG20" s="207"/>
      <c r="AH20" s="207"/>
      <c r="AJ20" s="534"/>
      <c r="AK20" s="212"/>
    </row>
    <row r="21" spans="1:39" ht="14.1" customHeight="1">
      <c r="B21" s="890" t="s">
        <v>7659</v>
      </c>
      <c r="C21" s="937"/>
      <c r="D21" s="891"/>
      <c r="E21" s="892"/>
      <c r="F21" s="938" t="s">
        <v>7669</v>
      </c>
      <c r="G21" s="939"/>
      <c r="H21" s="939"/>
      <c r="I21" s="939"/>
      <c r="J21" s="939"/>
      <c r="K21" s="940"/>
      <c r="L21" s="941" t="s">
        <v>136</v>
      </c>
      <c r="M21" s="943" t="s">
        <v>210</v>
      </c>
      <c r="N21" s="944"/>
      <c r="O21" s="945"/>
      <c r="P21" s="149"/>
      <c r="Q21" s="890" t="s">
        <v>6976</v>
      </c>
      <c r="R21" s="892"/>
      <c r="S21" s="933" t="s">
        <v>7666</v>
      </c>
      <c r="T21" s="934"/>
      <c r="U21" s="934"/>
      <c r="V21" s="934"/>
      <c r="W21" s="934"/>
      <c r="X21" s="934"/>
      <c r="Y21" s="955" t="s">
        <v>7543</v>
      </c>
      <c r="Z21" s="956"/>
      <c r="AA21" s="956"/>
      <c r="AB21" s="956"/>
      <c r="AC21" s="956"/>
      <c r="AD21" s="956"/>
      <c r="AE21" s="904" t="s">
        <v>7919</v>
      </c>
      <c r="AF21" s="810"/>
      <c r="AG21" s="207"/>
      <c r="AH21" s="207"/>
      <c r="AI21" s="59"/>
      <c r="AJ21" s="1019" t="s">
        <v>210</v>
      </c>
      <c r="AK21" s="1019"/>
      <c r="AL21" s="59"/>
      <c r="AM21" s="59"/>
    </row>
    <row r="22" spans="1:39" ht="13.8" thickBot="1">
      <c r="B22" s="893"/>
      <c r="C22" s="894"/>
      <c r="D22" s="894"/>
      <c r="E22" s="898"/>
      <c r="F22" s="312" t="s">
        <v>6999</v>
      </c>
      <c r="G22" s="312" t="s">
        <v>7851</v>
      </c>
      <c r="H22" s="312" t="s">
        <v>7056</v>
      </c>
      <c r="I22" s="312" t="s">
        <v>7057</v>
      </c>
      <c r="J22" s="312" t="s">
        <v>7058</v>
      </c>
      <c r="K22" s="313" t="s">
        <v>7520</v>
      </c>
      <c r="L22" s="942"/>
      <c r="M22" s="946"/>
      <c r="N22" s="947"/>
      <c r="O22" s="948"/>
      <c r="P22" s="149"/>
      <c r="Q22" s="896"/>
      <c r="R22" s="898"/>
      <c r="S22" s="312" t="s">
        <v>6999</v>
      </c>
      <c r="T22" s="312" t="s">
        <v>7851</v>
      </c>
      <c r="U22" s="312" t="s">
        <v>7056</v>
      </c>
      <c r="V22" s="312" t="s">
        <v>7057</v>
      </c>
      <c r="W22" s="312" t="s">
        <v>7058</v>
      </c>
      <c r="X22" s="313" t="s">
        <v>7520</v>
      </c>
      <c r="Y22" s="312" t="s">
        <v>6999</v>
      </c>
      <c r="Z22" s="312" t="s">
        <v>7000</v>
      </c>
      <c r="AA22" s="312" t="s">
        <v>7056</v>
      </c>
      <c r="AB22" s="312" t="s">
        <v>7057</v>
      </c>
      <c r="AC22" s="312" t="s">
        <v>7058</v>
      </c>
      <c r="AD22" s="313" t="s">
        <v>7004</v>
      </c>
      <c r="AE22" s="905"/>
      <c r="AF22" s="810"/>
      <c r="AG22" s="207"/>
      <c r="AH22" s="207"/>
      <c r="AI22" s="59"/>
      <c r="AJ22" s="1019"/>
      <c r="AK22" s="1019"/>
      <c r="AL22" s="59"/>
      <c r="AM22" s="59"/>
    </row>
    <row r="23" spans="1:39" ht="15" customHeight="1" thickBot="1">
      <c r="B23" s="907"/>
      <c r="C23" s="908"/>
      <c r="D23" s="909"/>
      <c r="E23" s="478" t="str">
        <f>IFERROR(IF(B23="","",VLOOKUP($B23,IDEAGLIO補助ﾘｽﾄ!$B$2:$F$50,4, FALSE)),"")</f>
        <v/>
      </c>
      <c r="F23" s="691">
        <v>0</v>
      </c>
      <c r="G23" s="691">
        <v>0</v>
      </c>
      <c r="H23" s="691">
        <v>0</v>
      </c>
      <c r="I23" s="691">
        <v>0</v>
      </c>
      <c r="J23" s="691">
        <v>0</v>
      </c>
      <c r="K23" s="692">
        <f t="shared" ref="K23:K32" si="0">SUM(F23:J23)</f>
        <v>0</v>
      </c>
      <c r="L23" s="639" t="s">
        <v>7850</v>
      </c>
      <c r="M23" s="479" t="str">
        <f>IFERROR(VLOOKUP($B23,IDEAGLIO補助ﾘｽﾄ!$B$2:$F$50,3,FALSE),"")</f>
        <v/>
      </c>
      <c r="N23" s="480" t="str">
        <f>IFERROR(VLOOKUP($B23,IDEAGLIO補助ﾘｽﾄ!$B$2:$F$50,5,FALSE),"")</f>
        <v/>
      </c>
      <c r="O23" s="213" t="str">
        <f>IF(E23="","","[kgCO2/"&amp;E23&amp;"] ")</f>
        <v/>
      </c>
      <c r="P23" s="149"/>
      <c r="Q23" s="910" t="str">
        <f>IF(B23="","",B23)</f>
        <v/>
      </c>
      <c r="R23" s="911"/>
      <c r="S23" s="715">
        <f>IFERROR(F23*$N23,0)</f>
        <v>0</v>
      </c>
      <c r="T23" s="715">
        <f t="shared" ref="T23:W32" si="1">IFERROR(G23*$N23,0)</f>
        <v>0</v>
      </c>
      <c r="U23" s="715">
        <f t="shared" si="1"/>
        <v>0</v>
      </c>
      <c r="V23" s="715">
        <f t="shared" si="1"/>
        <v>0</v>
      </c>
      <c r="W23" s="715">
        <f t="shared" si="1"/>
        <v>0</v>
      </c>
      <c r="X23" s="715">
        <f t="shared" ref="X23:X32" si="2">SUM(S23:W23)</f>
        <v>0</v>
      </c>
      <c r="Y23" s="776" t="str">
        <f>IFERROR(IF(S23=0,"",S23*$AJ$170/('製造(P)'!$K$190+'貯蔵・輸送(ST)'!$K$190+'供給(D)'!$K$190)),"")</f>
        <v/>
      </c>
      <c r="Z23" s="776" t="str">
        <f>IFERROR(IF(T23=0,"",T23*$AJ$170/('製造(P)'!$K$190+'貯蔵・輸送(ST)'!$K$190+'供給(D)'!$K$190)),"")</f>
        <v/>
      </c>
      <c r="AA23" s="776" t="str">
        <f>IFERROR(IF(U23=0,"",U23*$AJ$170/('製造(P)'!$K$190+'貯蔵・輸送(ST)'!$K$190+'供給(D)'!$K$190)),"")</f>
        <v/>
      </c>
      <c r="AB23" s="776" t="str">
        <f>IFERROR(IF(V23=0,"",V23*$AJ$170/('製造(P)'!$K$190+'貯蔵・輸送(ST)'!$K$190+'供給(D)'!$K$190)),"")</f>
        <v/>
      </c>
      <c r="AC23" s="776" t="str">
        <f>IFERROR(IF(W23=0,"",W23*$AJ$170/('製造(P)'!$K$190+'貯蔵・輸送(ST)'!$K$190+'供給(D)'!$K$190)),"")</f>
        <v/>
      </c>
      <c r="AD23" s="778" t="str">
        <f>IFERROR(IF(X23=0,"",X23*$AJ$170/('製造(P)'!$K$190+'貯蔵・輸送(ST)'!$K$190+'供給(D)'!$K$190)),"")</f>
        <v/>
      </c>
      <c r="AE23" s="685"/>
      <c r="AF23" s="787"/>
      <c r="AG23" s="207" t="s">
        <v>6940</v>
      </c>
      <c r="AH23" s="207">
        <v>172411000</v>
      </c>
      <c r="AI23" s="59"/>
      <c r="AJ23" s="538">
        <f>VLOOKUP($AH23,IDEAv2原単位!$A$3:$F$4021,6,FALSE)</f>
        <v>1.2378879008784885E-2</v>
      </c>
      <c r="AK23" s="213" t="s">
        <v>54</v>
      </c>
      <c r="AL23" s="59"/>
      <c r="AM23" s="59"/>
    </row>
    <row r="24" spans="1:39" ht="15" customHeight="1" thickBot="1">
      <c r="B24" s="907"/>
      <c r="C24" s="908"/>
      <c r="D24" s="909"/>
      <c r="E24" s="478" t="str">
        <f>IFERROR(IF(B24="","",VLOOKUP($B24,IDEAGLIO補助ﾘｽﾄ!$B$2:$F$50,4, FALSE)),"")</f>
        <v/>
      </c>
      <c r="F24" s="691">
        <v>0</v>
      </c>
      <c r="G24" s="691">
        <v>0</v>
      </c>
      <c r="H24" s="691">
        <v>0</v>
      </c>
      <c r="I24" s="691">
        <v>0</v>
      </c>
      <c r="J24" s="691">
        <v>0</v>
      </c>
      <c r="K24" s="692">
        <f t="shared" ref="K24:K30" si="3">SUM(F24:J24)</f>
        <v>0</v>
      </c>
      <c r="L24" s="639" t="s">
        <v>7835</v>
      </c>
      <c r="M24" s="479" t="str">
        <f>IFERROR(VLOOKUP($B24,IDEAGLIO補助ﾘｽﾄ!$B$2:$F$50,3,FALSE),"")</f>
        <v/>
      </c>
      <c r="N24" s="480" t="str">
        <f>IFERROR(VLOOKUP($B24,IDEAGLIO補助ﾘｽﾄ!$B$2:$F$50,5,FALSE),"")</f>
        <v/>
      </c>
      <c r="O24" s="213" t="str">
        <f t="shared" ref="O24:O30" si="4">IF(E24="","","[kgCO2/"&amp;E24&amp;"] ")</f>
        <v/>
      </c>
      <c r="P24" s="149"/>
      <c r="Q24" s="910" t="str">
        <f t="shared" ref="Q24:Q30" si="5">IF(B24="","",B24)</f>
        <v/>
      </c>
      <c r="R24" s="911"/>
      <c r="S24" s="715">
        <f t="shared" ref="S24:S30" si="6">IFERROR(F24*$N24,0)</f>
        <v>0</v>
      </c>
      <c r="T24" s="715">
        <f t="shared" ref="T24:T30" si="7">IFERROR(G24*$N24,0)</f>
        <v>0</v>
      </c>
      <c r="U24" s="715">
        <f t="shared" ref="U24:U30" si="8">IFERROR(H24*$N24,0)</f>
        <v>0</v>
      </c>
      <c r="V24" s="715">
        <f t="shared" ref="V24:V30" si="9">IFERROR(I24*$N24,0)</f>
        <v>0</v>
      </c>
      <c r="W24" s="715">
        <f t="shared" ref="W24:W30" si="10">IFERROR(J24*$N24,0)</f>
        <v>0</v>
      </c>
      <c r="X24" s="715">
        <f t="shared" ref="X24:X30" si="11">SUM(S24:W24)</f>
        <v>0</v>
      </c>
      <c r="Y24" s="776" t="str">
        <f>IFERROR(IF(S24=0,"",S24*$AJ$170/('製造(P)'!$K$190+'貯蔵・輸送(ST)'!$K$190+'供給(D)'!$K$190)),"")</f>
        <v/>
      </c>
      <c r="Z24" s="776" t="str">
        <f>IFERROR(IF(T24=0,"",T24*$AJ$170/('製造(P)'!$K$190+'貯蔵・輸送(ST)'!$K$190+'供給(D)'!$K$190)),"")</f>
        <v/>
      </c>
      <c r="AA24" s="776" t="str">
        <f>IFERROR(IF(U24=0,"",U24*$AJ$170/('製造(P)'!$K$190+'貯蔵・輸送(ST)'!$K$190+'供給(D)'!$K$190)),"")</f>
        <v/>
      </c>
      <c r="AB24" s="776" t="str">
        <f>IFERROR(IF(V24=0,"",V24*$AJ$170/('製造(P)'!$K$190+'貯蔵・輸送(ST)'!$K$190+'供給(D)'!$K$190)),"")</f>
        <v/>
      </c>
      <c r="AC24" s="776" t="str">
        <f>IFERROR(IF(W24=0,"",W24*$AJ$170/('製造(P)'!$K$190+'貯蔵・輸送(ST)'!$K$190+'供給(D)'!$K$190)),"")</f>
        <v/>
      </c>
      <c r="AD24" s="778" t="str">
        <f>IFERROR(IF(X24=0,"",X24*$AJ$170/('製造(P)'!$K$190+'貯蔵・輸送(ST)'!$K$190+'供給(D)'!$K$190)),"")</f>
        <v/>
      </c>
      <c r="AE24" s="685"/>
      <c r="AF24" s="787"/>
      <c r="AG24" s="207"/>
      <c r="AH24" s="207"/>
      <c r="AI24" s="59"/>
      <c r="AJ24" s="766"/>
      <c r="AK24" s="765"/>
      <c r="AL24" s="59"/>
      <c r="AM24" s="59"/>
    </row>
    <row r="25" spans="1:39" ht="15" customHeight="1" thickBot="1">
      <c r="B25" s="907"/>
      <c r="C25" s="908"/>
      <c r="D25" s="909"/>
      <c r="E25" s="478" t="str">
        <f>IFERROR(IF(B25="","",VLOOKUP($B25,IDEAGLIO補助ﾘｽﾄ!$B$2:$F$50,4, FALSE)),"")</f>
        <v/>
      </c>
      <c r="F25" s="691">
        <v>0</v>
      </c>
      <c r="G25" s="691">
        <v>0</v>
      </c>
      <c r="H25" s="691">
        <v>0</v>
      </c>
      <c r="I25" s="691">
        <v>0</v>
      </c>
      <c r="J25" s="691">
        <v>0</v>
      </c>
      <c r="K25" s="692">
        <f t="shared" si="3"/>
        <v>0</v>
      </c>
      <c r="L25" s="639" t="s">
        <v>7835</v>
      </c>
      <c r="M25" s="479" t="str">
        <f>IFERROR(VLOOKUP($B25,IDEAGLIO補助ﾘｽﾄ!$B$2:$F$50,3,FALSE),"")</f>
        <v/>
      </c>
      <c r="N25" s="480" t="str">
        <f>IFERROR(VLOOKUP($B25,IDEAGLIO補助ﾘｽﾄ!$B$2:$F$50,5,FALSE),"")</f>
        <v/>
      </c>
      <c r="O25" s="213" t="str">
        <f t="shared" si="4"/>
        <v/>
      </c>
      <c r="P25" s="149"/>
      <c r="Q25" s="910" t="str">
        <f t="shared" si="5"/>
        <v/>
      </c>
      <c r="R25" s="911"/>
      <c r="S25" s="715">
        <f t="shared" si="6"/>
        <v>0</v>
      </c>
      <c r="T25" s="715">
        <f t="shared" si="7"/>
        <v>0</v>
      </c>
      <c r="U25" s="715">
        <f t="shared" si="8"/>
        <v>0</v>
      </c>
      <c r="V25" s="715">
        <f t="shared" si="9"/>
        <v>0</v>
      </c>
      <c r="W25" s="715">
        <f t="shared" si="10"/>
        <v>0</v>
      </c>
      <c r="X25" s="715">
        <f t="shared" si="11"/>
        <v>0</v>
      </c>
      <c r="Y25" s="776" t="str">
        <f>IFERROR(IF(S25=0,"",S25*$AJ$170/('製造(P)'!$K$190+'貯蔵・輸送(ST)'!$K$190+'供給(D)'!$K$190)),"")</f>
        <v/>
      </c>
      <c r="Z25" s="776" t="str">
        <f>IFERROR(IF(T25=0,"",T25*$AJ$170/('製造(P)'!$K$190+'貯蔵・輸送(ST)'!$K$190+'供給(D)'!$K$190)),"")</f>
        <v/>
      </c>
      <c r="AA25" s="776" t="str">
        <f>IFERROR(IF(U25=0,"",U25*$AJ$170/('製造(P)'!$K$190+'貯蔵・輸送(ST)'!$K$190+'供給(D)'!$K$190)),"")</f>
        <v/>
      </c>
      <c r="AB25" s="776" t="str">
        <f>IFERROR(IF(V25=0,"",V25*$AJ$170/('製造(P)'!$K$190+'貯蔵・輸送(ST)'!$K$190+'供給(D)'!$K$190)),"")</f>
        <v/>
      </c>
      <c r="AC25" s="776" t="str">
        <f>IFERROR(IF(W25=0,"",W25*$AJ$170/('製造(P)'!$K$190+'貯蔵・輸送(ST)'!$K$190+'供給(D)'!$K$190)),"")</f>
        <v/>
      </c>
      <c r="AD25" s="778" t="str">
        <f>IFERROR(IF(X25=0,"",X25*$AJ$170/('製造(P)'!$K$190+'貯蔵・輸送(ST)'!$K$190+'供給(D)'!$K$190)),"")</f>
        <v/>
      </c>
      <c r="AE25" s="685"/>
      <c r="AF25" s="787"/>
      <c r="AG25" s="207"/>
      <c r="AH25" s="207"/>
      <c r="AI25" s="59"/>
      <c r="AJ25" s="766"/>
      <c r="AK25" s="765"/>
      <c r="AL25" s="59"/>
      <c r="AM25" s="59"/>
    </row>
    <row r="26" spans="1:39" ht="15" customHeight="1" thickBot="1">
      <c r="B26" s="907"/>
      <c r="C26" s="908"/>
      <c r="D26" s="909"/>
      <c r="E26" s="478" t="str">
        <f>IFERROR(IF(B26="","",VLOOKUP($B26,IDEAGLIO補助ﾘｽﾄ!$B$2:$F$50,4, FALSE)),"")</f>
        <v/>
      </c>
      <c r="F26" s="691">
        <v>0</v>
      </c>
      <c r="G26" s="691">
        <v>0</v>
      </c>
      <c r="H26" s="691">
        <v>0</v>
      </c>
      <c r="I26" s="691">
        <v>0</v>
      </c>
      <c r="J26" s="691">
        <v>0</v>
      </c>
      <c r="K26" s="692">
        <f t="shared" si="3"/>
        <v>0</v>
      </c>
      <c r="L26" s="639" t="s">
        <v>7835</v>
      </c>
      <c r="M26" s="479" t="str">
        <f>IFERROR(VLOOKUP($B26,IDEAGLIO補助ﾘｽﾄ!$B$2:$F$50,3,FALSE),"")</f>
        <v/>
      </c>
      <c r="N26" s="480" t="str">
        <f>IFERROR(VLOOKUP($B26,IDEAGLIO補助ﾘｽﾄ!$B$2:$F$50,5,FALSE),"")</f>
        <v/>
      </c>
      <c r="O26" s="213" t="str">
        <f t="shared" si="4"/>
        <v/>
      </c>
      <c r="P26" s="149"/>
      <c r="Q26" s="910" t="str">
        <f t="shared" si="5"/>
        <v/>
      </c>
      <c r="R26" s="911"/>
      <c r="S26" s="715">
        <f t="shared" si="6"/>
        <v>0</v>
      </c>
      <c r="T26" s="715">
        <f t="shared" si="7"/>
        <v>0</v>
      </c>
      <c r="U26" s="715">
        <f t="shared" si="8"/>
        <v>0</v>
      </c>
      <c r="V26" s="715">
        <f t="shared" si="9"/>
        <v>0</v>
      </c>
      <c r="W26" s="715">
        <f t="shared" si="10"/>
        <v>0</v>
      </c>
      <c r="X26" s="715">
        <f t="shared" si="11"/>
        <v>0</v>
      </c>
      <c r="Y26" s="775" t="str">
        <f>IFERROR(IF(S26=0,"",S26*$AJ$170/('製造(P)'!$K$190+'貯蔵・輸送(ST)'!$K$190+'供給(D)'!$K$190)),"")</f>
        <v/>
      </c>
      <c r="Z26" s="775" t="str">
        <f>IFERROR(IF(T26=0,"",T26*$AJ$170/('製造(P)'!$K$190+'貯蔵・輸送(ST)'!$K$190+'供給(D)'!$K$190)),"")</f>
        <v/>
      </c>
      <c r="AA26" s="775" t="str">
        <f>IFERROR(IF(U26=0,"",U26*$AJ$170/('製造(P)'!$K$190+'貯蔵・輸送(ST)'!$K$190+'供給(D)'!$K$190)),"")</f>
        <v/>
      </c>
      <c r="AB26" s="775" t="str">
        <f>IFERROR(IF(V26=0,"",V26*$AJ$170/('製造(P)'!$K$190+'貯蔵・輸送(ST)'!$K$190+'供給(D)'!$K$190)),"")</f>
        <v/>
      </c>
      <c r="AC26" s="775" t="str">
        <f>IFERROR(IF(W26=0,"",W26*$AJ$170/('製造(P)'!$K$190+'貯蔵・輸送(ST)'!$K$190+'供給(D)'!$K$190)),"")</f>
        <v/>
      </c>
      <c r="AD26" s="778" t="str">
        <f>IFERROR(IF(X26=0,"",X26*$AJ$170/('製造(P)'!$K$190+'貯蔵・輸送(ST)'!$K$190+'供給(D)'!$K$190)),"")</f>
        <v/>
      </c>
      <c r="AE26" s="685"/>
      <c r="AF26" s="787"/>
      <c r="AG26" s="207"/>
      <c r="AH26" s="207"/>
      <c r="AI26" s="59"/>
      <c r="AJ26" s="766"/>
      <c r="AK26" s="765"/>
      <c r="AL26" s="59"/>
      <c r="AM26" s="59"/>
    </row>
    <row r="27" spans="1:39" ht="15" customHeight="1" thickBot="1">
      <c r="B27" s="907"/>
      <c r="C27" s="908"/>
      <c r="D27" s="909"/>
      <c r="E27" s="478" t="str">
        <f>IFERROR(IF(B27="","",VLOOKUP($B27,IDEAGLIO補助ﾘｽﾄ!$B$2:$F$50,4, FALSE)),"")</f>
        <v/>
      </c>
      <c r="F27" s="691">
        <v>0</v>
      </c>
      <c r="G27" s="691">
        <v>0</v>
      </c>
      <c r="H27" s="691">
        <v>0</v>
      </c>
      <c r="I27" s="691">
        <v>0</v>
      </c>
      <c r="J27" s="691">
        <v>0</v>
      </c>
      <c r="K27" s="692">
        <f t="shared" si="3"/>
        <v>0</v>
      </c>
      <c r="L27" s="639" t="s">
        <v>7835</v>
      </c>
      <c r="M27" s="479" t="str">
        <f>IFERROR(VLOOKUP($B27,IDEAGLIO補助ﾘｽﾄ!$B$2:$F$50,3,FALSE),"")</f>
        <v/>
      </c>
      <c r="N27" s="480" t="str">
        <f>IFERROR(VLOOKUP($B27,IDEAGLIO補助ﾘｽﾄ!$B$2:$F$50,5,FALSE),"")</f>
        <v/>
      </c>
      <c r="O27" s="213" t="str">
        <f t="shared" si="4"/>
        <v/>
      </c>
      <c r="P27" s="149"/>
      <c r="Q27" s="910" t="str">
        <f t="shared" si="5"/>
        <v/>
      </c>
      <c r="R27" s="911"/>
      <c r="S27" s="715">
        <f t="shared" si="6"/>
        <v>0</v>
      </c>
      <c r="T27" s="715">
        <f t="shared" si="7"/>
        <v>0</v>
      </c>
      <c r="U27" s="715">
        <f t="shared" si="8"/>
        <v>0</v>
      </c>
      <c r="V27" s="715">
        <f t="shared" si="9"/>
        <v>0</v>
      </c>
      <c r="W27" s="715">
        <f t="shared" si="10"/>
        <v>0</v>
      </c>
      <c r="X27" s="715">
        <f t="shared" si="11"/>
        <v>0</v>
      </c>
      <c r="Y27" s="775" t="str">
        <f>IFERROR(IF(S27=0,"",S27*$AJ$170/('製造(P)'!$K$190+'貯蔵・輸送(ST)'!$K$190+'供給(D)'!$K$190)),"")</f>
        <v/>
      </c>
      <c r="Z27" s="775" t="str">
        <f>IFERROR(IF(T27=0,"",T27*$AJ$170/('製造(P)'!$K$190+'貯蔵・輸送(ST)'!$K$190+'供給(D)'!$K$190)),"")</f>
        <v/>
      </c>
      <c r="AA27" s="775" t="str">
        <f>IFERROR(IF(U27=0,"",U27*$AJ$170/('製造(P)'!$K$190+'貯蔵・輸送(ST)'!$K$190+'供給(D)'!$K$190)),"")</f>
        <v/>
      </c>
      <c r="AB27" s="775" t="str">
        <f>IFERROR(IF(V27=0,"",V27*$AJ$170/('製造(P)'!$K$190+'貯蔵・輸送(ST)'!$K$190+'供給(D)'!$K$190)),"")</f>
        <v/>
      </c>
      <c r="AC27" s="775" t="str">
        <f>IFERROR(IF(W27=0,"",W27*$AJ$170/('製造(P)'!$K$190+'貯蔵・輸送(ST)'!$K$190+'供給(D)'!$K$190)),"")</f>
        <v/>
      </c>
      <c r="AD27" s="778" t="str">
        <f>IFERROR(IF(X27=0,"",X27*$AJ$170/('製造(P)'!$K$190+'貯蔵・輸送(ST)'!$K$190+'供給(D)'!$K$190)),"")</f>
        <v/>
      </c>
      <c r="AE27" s="685"/>
      <c r="AF27" s="787"/>
      <c r="AG27" s="207"/>
      <c r="AH27" s="207"/>
      <c r="AI27" s="59"/>
      <c r="AJ27" s="766"/>
      <c r="AK27" s="765"/>
      <c r="AL27" s="59"/>
      <c r="AM27" s="59"/>
    </row>
    <row r="28" spans="1:39" ht="15" customHeight="1" thickBot="1">
      <c r="B28" s="907"/>
      <c r="C28" s="908"/>
      <c r="D28" s="909"/>
      <c r="E28" s="478" t="str">
        <f>IFERROR(IF(B28="","",VLOOKUP($B28,IDEAGLIO補助ﾘｽﾄ!$B$2:$F$50,4, FALSE)),"")</f>
        <v/>
      </c>
      <c r="F28" s="691">
        <v>0</v>
      </c>
      <c r="G28" s="691">
        <v>0</v>
      </c>
      <c r="H28" s="691">
        <v>0</v>
      </c>
      <c r="I28" s="691">
        <v>0</v>
      </c>
      <c r="J28" s="691">
        <v>0</v>
      </c>
      <c r="K28" s="692">
        <f t="shared" si="3"/>
        <v>0</v>
      </c>
      <c r="L28" s="639" t="s">
        <v>7835</v>
      </c>
      <c r="M28" s="479" t="str">
        <f>IFERROR(VLOOKUP($B28,IDEAGLIO補助ﾘｽﾄ!$B$2:$F$50,3,FALSE),"")</f>
        <v/>
      </c>
      <c r="N28" s="480" t="str">
        <f>IFERROR(VLOOKUP($B28,IDEAGLIO補助ﾘｽﾄ!$B$2:$F$50,5,FALSE),"")</f>
        <v/>
      </c>
      <c r="O28" s="213" t="str">
        <f t="shared" si="4"/>
        <v/>
      </c>
      <c r="P28" s="149"/>
      <c r="Q28" s="910" t="str">
        <f t="shared" si="5"/>
        <v/>
      </c>
      <c r="R28" s="911"/>
      <c r="S28" s="715">
        <f t="shared" si="6"/>
        <v>0</v>
      </c>
      <c r="T28" s="715">
        <f t="shared" si="7"/>
        <v>0</v>
      </c>
      <c r="U28" s="715">
        <f t="shared" si="8"/>
        <v>0</v>
      </c>
      <c r="V28" s="715">
        <f t="shared" si="9"/>
        <v>0</v>
      </c>
      <c r="W28" s="715">
        <f t="shared" si="10"/>
        <v>0</v>
      </c>
      <c r="X28" s="715">
        <f t="shared" si="11"/>
        <v>0</v>
      </c>
      <c r="Y28" s="775" t="str">
        <f>IFERROR(IF(S28=0,"",S28*$AJ$170/('製造(P)'!$K$190+'貯蔵・輸送(ST)'!$K$190+'供給(D)'!$K$190)),"")</f>
        <v/>
      </c>
      <c r="Z28" s="775" t="str">
        <f>IFERROR(IF(T28=0,"",T28*$AJ$170/('製造(P)'!$K$190+'貯蔵・輸送(ST)'!$K$190+'供給(D)'!$K$190)),"")</f>
        <v/>
      </c>
      <c r="AA28" s="775" t="str">
        <f>IFERROR(IF(U28=0,"",U28*$AJ$170/('製造(P)'!$K$190+'貯蔵・輸送(ST)'!$K$190+'供給(D)'!$K$190)),"")</f>
        <v/>
      </c>
      <c r="AB28" s="775" t="str">
        <f>IFERROR(IF(V28=0,"",V28*$AJ$170/('製造(P)'!$K$190+'貯蔵・輸送(ST)'!$K$190+'供給(D)'!$K$190)),"")</f>
        <v/>
      </c>
      <c r="AC28" s="775" t="str">
        <f>IFERROR(IF(W28=0,"",W28*$AJ$170/('製造(P)'!$K$190+'貯蔵・輸送(ST)'!$K$190+'供給(D)'!$K$190)),"")</f>
        <v/>
      </c>
      <c r="AD28" s="778" t="str">
        <f>IFERROR(IF(X28=0,"",X28*$AJ$170/('製造(P)'!$K$190+'貯蔵・輸送(ST)'!$K$190+'供給(D)'!$K$190)),"")</f>
        <v/>
      </c>
      <c r="AE28" s="685"/>
      <c r="AF28" s="787"/>
      <c r="AG28" s="207"/>
      <c r="AH28" s="207"/>
      <c r="AI28" s="59"/>
      <c r="AJ28" s="766"/>
      <c r="AK28" s="765"/>
      <c r="AL28" s="59"/>
      <c r="AM28" s="59"/>
    </row>
    <row r="29" spans="1:39" ht="15" customHeight="1" thickBot="1">
      <c r="B29" s="907"/>
      <c r="C29" s="908"/>
      <c r="D29" s="909"/>
      <c r="E29" s="478" t="str">
        <f>IFERROR(IF(B29="","",VLOOKUP($B29,IDEAGLIO補助ﾘｽﾄ!$B$2:$F$50,4, FALSE)),"")</f>
        <v/>
      </c>
      <c r="F29" s="691">
        <v>0</v>
      </c>
      <c r="G29" s="691">
        <v>0</v>
      </c>
      <c r="H29" s="691">
        <v>0</v>
      </c>
      <c r="I29" s="691">
        <v>0</v>
      </c>
      <c r="J29" s="691">
        <v>0</v>
      </c>
      <c r="K29" s="692">
        <f t="shared" si="3"/>
        <v>0</v>
      </c>
      <c r="L29" s="639" t="s">
        <v>7835</v>
      </c>
      <c r="M29" s="479" t="str">
        <f>IFERROR(VLOOKUP($B29,IDEAGLIO補助ﾘｽﾄ!$B$2:$F$50,3,FALSE),"")</f>
        <v/>
      </c>
      <c r="N29" s="480" t="str">
        <f>IFERROR(VLOOKUP($B29,IDEAGLIO補助ﾘｽﾄ!$B$2:$F$50,5,FALSE),"")</f>
        <v/>
      </c>
      <c r="O29" s="213" t="str">
        <f t="shared" si="4"/>
        <v/>
      </c>
      <c r="P29" s="149"/>
      <c r="Q29" s="910" t="str">
        <f t="shared" si="5"/>
        <v/>
      </c>
      <c r="R29" s="911"/>
      <c r="S29" s="715">
        <f t="shared" si="6"/>
        <v>0</v>
      </c>
      <c r="T29" s="715">
        <f t="shared" si="7"/>
        <v>0</v>
      </c>
      <c r="U29" s="715">
        <f t="shared" si="8"/>
        <v>0</v>
      </c>
      <c r="V29" s="715">
        <f t="shared" si="9"/>
        <v>0</v>
      </c>
      <c r="W29" s="715">
        <f t="shared" si="10"/>
        <v>0</v>
      </c>
      <c r="X29" s="715">
        <f t="shared" si="11"/>
        <v>0</v>
      </c>
      <c r="Y29" s="775" t="str">
        <f>IFERROR(IF(S29=0,"",S29*$AJ$170/('製造(P)'!$K$190+'貯蔵・輸送(ST)'!$K$190+'供給(D)'!$K$190)),"")</f>
        <v/>
      </c>
      <c r="Z29" s="775" t="str">
        <f>IFERROR(IF(T29=0,"",T29*$AJ$170/('製造(P)'!$K$190+'貯蔵・輸送(ST)'!$K$190+'供給(D)'!$K$190)),"")</f>
        <v/>
      </c>
      <c r="AA29" s="775" t="str">
        <f>IFERROR(IF(U29=0,"",U29*$AJ$170/('製造(P)'!$K$190+'貯蔵・輸送(ST)'!$K$190+'供給(D)'!$K$190)),"")</f>
        <v/>
      </c>
      <c r="AB29" s="775" t="str">
        <f>IFERROR(IF(V29=0,"",V29*$AJ$170/('製造(P)'!$K$190+'貯蔵・輸送(ST)'!$K$190+'供給(D)'!$K$190)),"")</f>
        <v/>
      </c>
      <c r="AC29" s="775" t="str">
        <f>IFERROR(IF(W29=0,"",W29*$AJ$170/('製造(P)'!$K$190+'貯蔵・輸送(ST)'!$K$190+'供給(D)'!$K$190)),"")</f>
        <v/>
      </c>
      <c r="AD29" s="778" t="str">
        <f>IFERROR(IF(X29=0,"",X29*$AJ$170/('製造(P)'!$K$190+'貯蔵・輸送(ST)'!$K$190+'供給(D)'!$K$190)),"")</f>
        <v/>
      </c>
      <c r="AE29" s="685"/>
      <c r="AF29" s="787"/>
      <c r="AG29" s="207"/>
      <c r="AH29" s="207"/>
      <c r="AI29" s="59"/>
      <c r="AJ29" s="766"/>
      <c r="AK29" s="765"/>
      <c r="AL29" s="59"/>
      <c r="AM29" s="59"/>
    </row>
    <row r="30" spans="1:39" ht="15" customHeight="1" thickBot="1">
      <c r="B30" s="907"/>
      <c r="C30" s="908"/>
      <c r="D30" s="909"/>
      <c r="E30" s="478" t="str">
        <f>IFERROR(IF(B30="","",VLOOKUP($B30,IDEAGLIO補助ﾘｽﾄ!$B$2:$F$50,4, FALSE)),"")</f>
        <v/>
      </c>
      <c r="F30" s="691">
        <v>0</v>
      </c>
      <c r="G30" s="691">
        <v>0</v>
      </c>
      <c r="H30" s="691">
        <v>0</v>
      </c>
      <c r="I30" s="691">
        <v>0</v>
      </c>
      <c r="J30" s="691">
        <v>0</v>
      </c>
      <c r="K30" s="692">
        <f t="shared" si="3"/>
        <v>0</v>
      </c>
      <c r="L30" s="639" t="s">
        <v>7835</v>
      </c>
      <c r="M30" s="479" t="str">
        <f>IFERROR(VLOOKUP($B30,IDEAGLIO補助ﾘｽﾄ!$B$2:$F$50,3,FALSE),"")</f>
        <v/>
      </c>
      <c r="N30" s="480" t="str">
        <f>IFERROR(VLOOKUP($B30,IDEAGLIO補助ﾘｽﾄ!$B$2:$F$50,5,FALSE),"")</f>
        <v/>
      </c>
      <c r="O30" s="213" t="str">
        <f t="shared" si="4"/>
        <v/>
      </c>
      <c r="P30" s="149"/>
      <c r="Q30" s="910" t="str">
        <f t="shared" si="5"/>
        <v/>
      </c>
      <c r="R30" s="911"/>
      <c r="S30" s="715">
        <f t="shared" si="6"/>
        <v>0</v>
      </c>
      <c r="T30" s="715">
        <f t="shared" si="7"/>
        <v>0</v>
      </c>
      <c r="U30" s="715">
        <f t="shared" si="8"/>
        <v>0</v>
      </c>
      <c r="V30" s="715">
        <f t="shared" si="9"/>
        <v>0</v>
      </c>
      <c r="W30" s="715">
        <f t="shared" si="10"/>
        <v>0</v>
      </c>
      <c r="X30" s="715">
        <f t="shared" si="11"/>
        <v>0</v>
      </c>
      <c r="Y30" s="775" t="str">
        <f>IFERROR(IF(S30=0,"",S30*$AJ$170/('製造(P)'!$K$190+'貯蔵・輸送(ST)'!$K$190+'供給(D)'!$K$190)),"")</f>
        <v/>
      </c>
      <c r="Z30" s="775" t="str">
        <f>IFERROR(IF(T30=0,"",T30*$AJ$170/('製造(P)'!$K$190+'貯蔵・輸送(ST)'!$K$190+'供給(D)'!$K$190)),"")</f>
        <v/>
      </c>
      <c r="AA30" s="775" t="str">
        <f>IFERROR(IF(U30=0,"",U30*$AJ$170/('製造(P)'!$K$190+'貯蔵・輸送(ST)'!$K$190+'供給(D)'!$K$190)),"")</f>
        <v/>
      </c>
      <c r="AB30" s="775" t="str">
        <f>IFERROR(IF(V30=0,"",V30*$AJ$170/('製造(P)'!$K$190+'貯蔵・輸送(ST)'!$K$190+'供給(D)'!$K$190)),"")</f>
        <v/>
      </c>
      <c r="AC30" s="775" t="str">
        <f>IFERROR(IF(W30=0,"",W30*$AJ$170/('製造(P)'!$K$190+'貯蔵・輸送(ST)'!$K$190+'供給(D)'!$K$190)),"")</f>
        <v/>
      </c>
      <c r="AD30" s="778" t="str">
        <f>IFERROR(IF(X30=0,"",X30*$AJ$170/('製造(P)'!$K$190+'貯蔵・輸送(ST)'!$K$190+'供給(D)'!$K$190)),"")</f>
        <v/>
      </c>
      <c r="AE30" s="685"/>
      <c r="AF30" s="787"/>
      <c r="AG30" s="207"/>
      <c r="AH30" s="207"/>
      <c r="AI30" s="59"/>
      <c r="AJ30" s="766"/>
      <c r="AK30" s="765"/>
      <c r="AL30" s="59"/>
      <c r="AM30" s="59"/>
    </row>
    <row r="31" spans="1:39" ht="15" customHeight="1" thickBot="1">
      <c r="B31" s="907"/>
      <c r="C31" s="908"/>
      <c r="D31" s="909"/>
      <c r="E31" s="478" t="str">
        <f>IFERROR(IF(B31="","",VLOOKUP($B31,IDEAGLIO補助ﾘｽﾄ!$B$2:$F$50,4, FALSE)),"")</f>
        <v/>
      </c>
      <c r="F31" s="691">
        <v>0</v>
      </c>
      <c r="G31" s="691">
        <v>0</v>
      </c>
      <c r="H31" s="691">
        <v>0</v>
      </c>
      <c r="I31" s="691">
        <v>0</v>
      </c>
      <c r="J31" s="691">
        <v>0</v>
      </c>
      <c r="K31" s="692">
        <f t="shared" si="0"/>
        <v>0</v>
      </c>
      <c r="L31" s="639" t="s">
        <v>192</v>
      </c>
      <c r="M31" s="479" t="str">
        <f>IFERROR(VLOOKUP($B31,IDEAGLIO補助ﾘｽﾄ!$B$2:$F$50,3,FALSE),"")</f>
        <v/>
      </c>
      <c r="N31" s="480" t="str">
        <f>IFERROR(VLOOKUP($B31,IDEAGLIO補助ﾘｽﾄ!$B$2:$F$50,5,FALSE),"")</f>
        <v/>
      </c>
      <c r="O31" s="213" t="str">
        <f t="shared" ref="O31:O32" si="12">IF(E31="","","[kgCO2/"&amp;E31&amp;"] ")</f>
        <v/>
      </c>
      <c r="P31" s="149"/>
      <c r="Q31" s="910" t="str">
        <f>IF(B31="","",B31)</f>
        <v/>
      </c>
      <c r="R31" s="911"/>
      <c r="S31" s="715">
        <f t="shared" ref="S31:S32" si="13">IFERROR(F31*$N31,0)</f>
        <v>0</v>
      </c>
      <c r="T31" s="715">
        <f t="shared" si="1"/>
        <v>0</v>
      </c>
      <c r="U31" s="715">
        <f t="shared" si="1"/>
        <v>0</v>
      </c>
      <c r="V31" s="715">
        <f t="shared" si="1"/>
        <v>0</v>
      </c>
      <c r="W31" s="715">
        <f t="shared" si="1"/>
        <v>0</v>
      </c>
      <c r="X31" s="715">
        <f t="shared" si="2"/>
        <v>0</v>
      </c>
      <c r="Y31" s="775" t="str">
        <f>IFERROR(IF(S31=0,"",S31*$AJ$170/('製造(P)'!$K$190+'貯蔵・輸送(ST)'!$K$190+'供給(D)'!$K$190)),"")</f>
        <v/>
      </c>
      <c r="Z31" s="775" t="str">
        <f>IFERROR(IF(T31=0,"",T31*$AJ$170/('製造(P)'!$K$190+'貯蔵・輸送(ST)'!$K$190+'供給(D)'!$K$190)),"")</f>
        <v/>
      </c>
      <c r="AA31" s="775" t="str">
        <f>IFERROR(IF(U31=0,"",U31*$AJ$170/('製造(P)'!$K$190+'貯蔵・輸送(ST)'!$K$190+'供給(D)'!$K$190)),"")</f>
        <v/>
      </c>
      <c r="AB31" s="775" t="str">
        <f>IFERROR(IF(V31=0,"",V31*$AJ$170/('製造(P)'!$K$190+'貯蔵・輸送(ST)'!$K$190+'供給(D)'!$K$190)),"")</f>
        <v/>
      </c>
      <c r="AC31" s="775" t="str">
        <f>IFERROR(IF(W31=0,"",W31*$AJ$170/('製造(P)'!$K$190+'貯蔵・輸送(ST)'!$K$190+'供給(D)'!$K$190)),"")</f>
        <v/>
      </c>
      <c r="AD31" s="778" t="str">
        <f>IFERROR(IF(X31=0,"",X31*$AJ$170/('製造(P)'!$K$190+'貯蔵・輸送(ST)'!$K$190+'供給(D)'!$K$190)),"")</f>
        <v/>
      </c>
      <c r="AE31" s="685"/>
      <c r="AF31" s="787"/>
      <c r="AG31" s="207" t="s">
        <v>6937</v>
      </c>
      <c r="AH31" s="207">
        <v>362111000</v>
      </c>
      <c r="AI31" s="59"/>
      <c r="AJ31" s="538">
        <f>VLOOKUP($AH31,IDEAv2原単位!$A$3:$F$4021,6,FALSE)</f>
        <v>0.14873753178233792</v>
      </c>
      <c r="AK31" s="213" t="s">
        <v>140</v>
      </c>
      <c r="AL31" s="59"/>
      <c r="AM31" s="59"/>
    </row>
    <row r="32" spans="1:39" ht="13.8" thickBot="1">
      <c r="B32" s="907"/>
      <c r="C32" s="908"/>
      <c r="D32" s="909"/>
      <c r="E32" s="478" t="str">
        <f>IFERROR(IF(B32="","",VLOOKUP($B32,IDEAGLIO補助ﾘｽﾄ!$B$2:$F$50,4, FALSE)),"")</f>
        <v/>
      </c>
      <c r="F32" s="691">
        <v>0</v>
      </c>
      <c r="G32" s="691">
        <v>0</v>
      </c>
      <c r="H32" s="691">
        <v>0</v>
      </c>
      <c r="I32" s="691">
        <v>0</v>
      </c>
      <c r="J32" s="691">
        <v>0</v>
      </c>
      <c r="K32" s="692">
        <f t="shared" si="0"/>
        <v>0</v>
      </c>
      <c r="L32" s="639" t="s">
        <v>192</v>
      </c>
      <c r="M32" s="479" t="str">
        <f>IFERROR(VLOOKUP($B32,IDEAGLIO補助ﾘｽﾄ!$B$2:$F$50,3,FALSE),"")</f>
        <v/>
      </c>
      <c r="N32" s="480" t="str">
        <f>IFERROR(VLOOKUP($B32,IDEAGLIO補助ﾘｽﾄ!$B$2:$F$50,5,FALSE),"")</f>
        <v/>
      </c>
      <c r="O32" s="213" t="str">
        <f t="shared" si="12"/>
        <v/>
      </c>
      <c r="P32" s="149"/>
      <c r="Q32" s="910" t="str">
        <f>IF(B32="","",B32)</f>
        <v/>
      </c>
      <c r="R32" s="911"/>
      <c r="S32" s="715">
        <f t="shared" si="13"/>
        <v>0</v>
      </c>
      <c r="T32" s="715">
        <f t="shared" si="1"/>
        <v>0</v>
      </c>
      <c r="U32" s="715">
        <f t="shared" si="1"/>
        <v>0</v>
      </c>
      <c r="V32" s="715">
        <f t="shared" si="1"/>
        <v>0</v>
      </c>
      <c r="W32" s="715">
        <f t="shared" si="1"/>
        <v>0</v>
      </c>
      <c r="X32" s="715">
        <f t="shared" si="2"/>
        <v>0</v>
      </c>
      <c r="Y32" s="775" t="str">
        <f>IFERROR(IF(S32=0,"",S32*$AJ$170/('製造(P)'!$K$190+'貯蔵・輸送(ST)'!$K$190+'供給(D)'!$K$190)),"")</f>
        <v/>
      </c>
      <c r="Z32" s="775" t="str">
        <f>IFERROR(IF(T32=0,"",T32*$AJ$170/('製造(P)'!$K$190+'貯蔵・輸送(ST)'!$K$190+'供給(D)'!$K$190)),"")</f>
        <v/>
      </c>
      <c r="AA32" s="775" t="str">
        <f>IFERROR(IF(U32=0,"",U32*$AJ$170/('製造(P)'!$K$190+'貯蔵・輸送(ST)'!$K$190+'供給(D)'!$K$190)),"")</f>
        <v/>
      </c>
      <c r="AB32" s="775" t="str">
        <f>IFERROR(IF(V32=0,"",V32*$AJ$170/('製造(P)'!$K$190+'貯蔵・輸送(ST)'!$K$190+'供給(D)'!$K$190)),"")</f>
        <v/>
      </c>
      <c r="AC32" s="775" t="str">
        <f>IFERROR(IF(W32=0,"",W32*$AJ$170/('製造(P)'!$K$190+'貯蔵・輸送(ST)'!$K$190+'供給(D)'!$K$190)),"")</f>
        <v/>
      </c>
      <c r="AD32" s="778" t="str">
        <f>IFERROR(IF(X32=0,"",X32*$AJ$170/('製造(P)'!$K$190+'貯蔵・輸送(ST)'!$K$190+'供給(D)'!$K$190)),"")</f>
        <v/>
      </c>
      <c r="AE32" s="685"/>
      <c r="AF32" s="787"/>
      <c r="AG32" s="206"/>
      <c r="AH32" s="206"/>
      <c r="AI32" s="206"/>
      <c r="AJ32" s="492">
        <f>0.019</f>
        <v>1.9E-2</v>
      </c>
      <c r="AK32" s="213" t="s">
        <v>158</v>
      </c>
      <c r="AL32" s="59"/>
      <c r="AM32" s="59"/>
    </row>
    <row r="33" spans="2:39">
      <c r="B33" s="150"/>
      <c r="C33" s="150"/>
      <c r="D33" s="151"/>
      <c r="E33" s="151"/>
      <c r="F33" s="225"/>
      <c r="G33" s="225"/>
      <c r="H33" s="225"/>
      <c r="I33" s="225"/>
      <c r="J33" s="225"/>
      <c r="K33" s="152"/>
      <c r="L33" s="152"/>
      <c r="M33" s="152"/>
      <c r="N33" s="322"/>
      <c r="O33" s="153"/>
      <c r="P33" s="149"/>
      <c r="Q33" s="147" t="s">
        <v>144</v>
      </c>
      <c r="R33" s="148"/>
      <c r="S33" s="715">
        <f>SUM(S23:S32)</f>
        <v>0</v>
      </c>
      <c r="T33" s="715">
        <f t="shared" ref="T33:X33" si="14">SUM(T23:T32)</f>
        <v>0</v>
      </c>
      <c r="U33" s="715">
        <f t="shared" si="14"/>
        <v>0</v>
      </c>
      <c r="V33" s="715">
        <f t="shared" si="14"/>
        <v>0</v>
      </c>
      <c r="W33" s="715">
        <f t="shared" si="14"/>
        <v>0</v>
      </c>
      <c r="X33" s="715">
        <f t="shared" si="14"/>
        <v>0</v>
      </c>
      <c r="Y33" s="775">
        <f>IFERROR(S33*$AJ$170/('製造(P)'!$K$190+'貯蔵・輸送(ST)'!$K$190+'供給(D)'!$K$190),"")</f>
        <v>0</v>
      </c>
      <c r="Z33" s="775">
        <f>IFERROR(T33*$AJ$170/('製造(P)'!$K$190+'貯蔵・輸送(ST)'!$K$190+'供給(D)'!$K$190),"")</f>
        <v>0</v>
      </c>
      <c r="AA33" s="775">
        <f>IFERROR(U33*$AJ$170/('製造(P)'!$K$190+'貯蔵・輸送(ST)'!$K$190+'供給(D)'!$K$190),"")</f>
        <v>0</v>
      </c>
      <c r="AB33" s="775">
        <f>IFERROR(V33*$AJ$170/('製造(P)'!$K$190+'貯蔵・輸送(ST)'!$K$190+'供給(D)'!$K$190),"")</f>
        <v>0</v>
      </c>
      <c r="AC33" s="775">
        <f>IFERROR(W33*$AJ$170/('製造(P)'!$K$190+'貯蔵・輸送(ST)'!$K$190+'供給(D)'!$K$190),"")</f>
        <v>0</v>
      </c>
      <c r="AD33" s="775">
        <f>IFERROR(X33*$AJ$170/('製造(P)'!$K$190+'貯蔵・輸送(ST)'!$K$190+'供給(D)'!$K$190),"")</f>
        <v>0</v>
      </c>
      <c r="AE33" s="793"/>
      <c r="AF33" s="812"/>
      <c r="AG33" s="59"/>
      <c r="AH33" s="59"/>
      <c r="AI33" s="59"/>
      <c r="AJ33" s="534"/>
      <c r="AK33" s="212"/>
      <c r="AL33" s="59"/>
      <c r="AM33" s="59"/>
    </row>
    <row r="34" spans="2:39">
      <c r="B34" s="149"/>
      <c r="C34" s="149"/>
      <c r="D34" s="149"/>
      <c r="E34" s="149"/>
      <c r="F34" s="220"/>
      <c r="G34" s="220"/>
      <c r="H34" s="220"/>
      <c r="I34" s="220"/>
      <c r="J34" s="220"/>
      <c r="K34" s="149"/>
      <c r="L34" s="149"/>
      <c r="M34" s="149"/>
      <c r="N34" s="320"/>
      <c r="O34" s="149"/>
      <c r="P34" s="149"/>
      <c r="Q34" s="149"/>
      <c r="R34" s="149"/>
      <c r="S34" s="220"/>
      <c r="T34" s="220"/>
      <c r="U34" s="220"/>
      <c r="V34" s="220"/>
      <c r="W34" s="220"/>
      <c r="X34" s="220"/>
      <c r="Y34" s="355"/>
      <c r="Z34" s="355"/>
      <c r="AA34" s="355"/>
      <c r="AB34" s="355"/>
      <c r="AC34" s="355"/>
      <c r="AD34" s="355"/>
      <c r="AE34" s="805"/>
      <c r="AF34" s="805"/>
      <c r="AG34" s="59"/>
      <c r="AH34" s="59"/>
      <c r="AI34" s="59"/>
      <c r="AJ34" s="534"/>
      <c r="AK34" s="212"/>
      <c r="AL34" s="59"/>
      <c r="AM34" s="59"/>
    </row>
    <row r="35" spans="2:39">
      <c r="B35" s="915" t="s">
        <v>7780</v>
      </c>
      <c r="C35" s="915"/>
      <c r="D35" s="915"/>
      <c r="E35" s="915"/>
      <c r="F35" s="915"/>
      <c r="G35" s="915"/>
      <c r="H35" s="915"/>
      <c r="I35" s="915"/>
      <c r="J35" s="915"/>
      <c r="K35" s="915"/>
      <c r="L35" s="915"/>
      <c r="M35" s="915"/>
      <c r="N35" s="915"/>
      <c r="O35" s="915"/>
      <c r="P35" s="149"/>
      <c r="Q35" s="966" t="s">
        <v>7767</v>
      </c>
      <c r="R35" s="966"/>
      <c r="S35" s="966"/>
      <c r="T35" s="966"/>
      <c r="U35" s="966"/>
      <c r="V35" s="966"/>
      <c r="W35" s="966"/>
      <c r="X35" s="966"/>
      <c r="Y35" s="966"/>
      <c r="Z35" s="966"/>
      <c r="AA35" s="966"/>
      <c r="AB35" s="966"/>
      <c r="AC35" s="966"/>
      <c r="AD35" s="966"/>
      <c r="AE35" s="809"/>
      <c r="AF35" s="809"/>
      <c r="AG35" s="59"/>
      <c r="AH35" s="59"/>
      <c r="AI35" s="59"/>
      <c r="AJ35" s="492"/>
      <c r="AK35" s="213"/>
      <c r="AL35" s="59"/>
      <c r="AM35" s="59"/>
    </row>
    <row r="36" spans="2:39" s="149" customFormat="1">
      <c r="F36" s="220"/>
      <c r="G36" s="220"/>
      <c r="H36" s="220"/>
      <c r="I36" s="220"/>
      <c r="J36" s="220"/>
      <c r="N36" s="320"/>
      <c r="S36" s="220"/>
      <c r="T36" s="220"/>
      <c r="U36" s="220"/>
      <c r="V36" s="220"/>
      <c r="W36" s="220"/>
      <c r="X36" s="220"/>
      <c r="Y36" s="355"/>
      <c r="Z36" s="355"/>
      <c r="AA36" s="355"/>
      <c r="AB36" s="355"/>
      <c r="AC36" s="355"/>
      <c r="AD36" s="355"/>
      <c r="AE36" s="805"/>
      <c r="AF36" s="805"/>
      <c r="AJ36" s="534"/>
      <c r="AK36" s="212"/>
    </row>
    <row r="37" spans="2:39" ht="14.25" customHeight="1">
      <c r="B37" s="1027" t="s">
        <v>7660</v>
      </c>
      <c r="C37" s="1028"/>
      <c r="D37" s="1027"/>
      <c r="E37" s="1027"/>
      <c r="F37" s="938" t="s">
        <v>7669</v>
      </c>
      <c r="G37" s="939"/>
      <c r="H37" s="939"/>
      <c r="I37" s="939"/>
      <c r="J37" s="939"/>
      <c r="K37" s="940"/>
      <c r="L37" s="1029" t="s">
        <v>136</v>
      </c>
      <c r="M37" s="943" t="s">
        <v>210</v>
      </c>
      <c r="N37" s="944"/>
      <c r="O37" s="945"/>
      <c r="P37" s="149"/>
      <c r="Q37" s="1027" t="s">
        <v>6977</v>
      </c>
      <c r="R37" s="1027"/>
      <c r="S37" s="933" t="s">
        <v>7666</v>
      </c>
      <c r="T37" s="934"/>
      <c r="U37" s="934"/>
      <c r="V37" s="934"/>
      <c r="W37" s="934"/>
      <c r="X37" s="934"/>
      <c r="Y37" s="955" t="s">
        <v>7543</v>
      </c>
      <c r="Z37" s="956"/>
      <c r="AA37" s="956"/>
      <c r="AB37" s="956"/>
      <c r="AC37" s="956"/>
      <c r="AD37" s="956"/>
      <c r="AE37" s="904" t="s">
        <v>7919</v>
      </c>
      <c r="AF37" s="810"/>
      <c r="AG37" s="59"/>
      <c r="AH37" s="59"/>
      <c r="AI37" s="59"/>
      <c r="AJ37" s="492"/>
      <c r="AK37" s="213"/>
      <c r="AL37" s="59"/>
      <c r="AM37" s="59"/>
    </row>
    <row r="38" spans="2:39">
      <c r="B38" s="1027"/>
      <c r="C38" s="1028"/>
      <c r="D38" s="1027"/>
      <c r="E38" s="1027"/>
      <c r="F38" s="312" t="s">
        <v>6999</v>
      </c>
      <c r="G38" s="312" t="s">
        <v>7000</v>
      </c>
      <c r="H38" s="312" t="s">
        <v>7056</v>
      </c>
      <c r="I38" s="312" t="s">
        <v>7057</v>
      </c>
      <c r="J38" s="312" t="s">
        <v>7058</v>
      </c>
      <c r="K38" s="313" t="s">
        <v>7520</v>
      </c>
      <c r="L38" s="974"/>
      <c r="M38" s="946"/>
      <c r="N38" s="947"/>
      <c r="O38" s="948"/>
      <c r="P38" s="149"/>
      <c r="Q38" s="1027"/>
      <c r="R38" s="1027"/>
      <c r="S38" s="312" t="s">
        <v>6999</v>
      </c>
      <c r="T38" s="312" t="s">
        <v>7000</v>
      </c>
      <c r="U38" s="312" t="s">
        <v>7056</v>
      </c>
      <c r="V38" s="312" t="s">
        <v>7057</v>
      </c>
      <c r="W38" s="312" t="s">
        <v>7058</v>
      </c>
      <c r="X38" s="313" t="s">
        <v>7520</v>
      </c>
      <c r="Y38" s="312" t="s">
        <v>6999</v>
      </c>
      <c r="Z38" s="312" t="s">
        <v>7000</v>
      </c>
      <c r="AA38" s="312" t="s">
        <v>7056</v>
      </c>
      <c r="AB38" s="312" t="s">
        <v>7057</v>
      </c>
      <c r="AC38" s="312" t="s">
        <v>7058</v>
      </c>
      <c r="AD38" s="313" t="s">
        <v>7004</v>
      </c>
      <c r="AE38" s="905"/>
      <c r="AF38" s="810"/>
      <c r="AG38" s="59"/>
      <c r="AH38" s="59"/>
      <c r="AI38" s="59"/>
      <c r="AJ38" s="492"/>
      <c r="AK38" s="213"/>
      <c r="AL38" s="59"/>
      <c r="AM38" s="59"/>
    </row>
    <row r="39" spans="2:39">
      <c r="B39" s="967" t="s">
        <v>162</v>
      </c>
      <c r="C39" s="968"/>
      <c r="D39" s="968"/>
      <c r="E39" s="399" t="s">
        <v>7860</v>
      </c>
      <c r="F39" s="691">
        <v>0</v>
      </c>
      <c r="G39" s="691">
        <v>0</v>
      </c>
      <c r="H39" s="691">
        <v>0</v>
      </c>
      <c r="I39" s="691">
        <v>0</v>
      </c>
      <c r="J39" s="691">
        <v>0</v>
      </c>
      <c r="K39" s="693">
        <f t="shared" ref="K39:K52" si="15">SUM(F39:J39)</f>
        <v>0</v>
      </c>
      <c r="L39" s="639" t="s">
        <v>192</v>
      </c>
      <c r="M39" s="481" t="s">
        <v>7582</v>
      </c>
      <c r="N39" s="482">
        <f>共通データ!O40</f>
        <v>0.57899999999999996</v>
      </c>
      <c r="O39" s="402" t="s">
        <v>7861</v>
      </c>
      <c r="P39" s="149"/>
      <c r="Q39" s="60" t="s">
        <v>162</v>
      </c>
      <c r="R39" s="398"/>
      <c r="S39" s="715">
        <f>IFERROR(F39*$N39,0)</f>
        <v>0</v>
      </c>
      <c r="T39" s="715">
        <f t="shared" ref="T39:W52" si="16">IFERROR(G39*$N39,0)</f>
        <v>0</v>
      </c>
      <c r="U39" s="715">
        <f t="shared" si="16"/>
        <v>0</v>
      </c>
      <c r="V39" s="715">
        <f t="shared" si="16"/>
        <v>0</v>
      </c>
      <c r="W39" s="715">
        <f t="shared" si="16"/>
        <v>0</v>
      </c>
      <c r="X39" s="716">
        <f t="shared" ref="X39:X52" si="17">SUM(S39:W39)</f>
        <v>0</v>
      </c>
      <c r="Y39" s="354" t="str">
        <f>IFERROR(IF(S39=0,"",S39*$AJ$170/('製造(P)'!$K$190+'貯蔵・輸送(ST)'!$K$190+'供給(D)'!$K$190)),"")</f>
        <v/>
      </c>
      <c r="Z39" s="354" t="str">
        <f>IFERROR(IF(T39=0,"",T39*$AJ$170/('製造(P)'!$K$190+'貯蔵・輸送(ST)'!$K$190+'供給(D)'!$K$190)),"")</f>
        <v/>
      </c>
      <c r="AA39" s="354" t="str">
        <f>IFERROR(IF(U39=0,"",U39*$AJ$170/('製造(P)'!$K$190+'貯蔵・輸送(ST)'!$K$190+'供給(D)'!$K$190)),"")</f>
        <v/>
      </c>
      <c r="AB39" s="354" t="str">
        <f>IFERROR(IF(V39=0,"",V39*$AJ$170/('製造(P)'!$K$190+'貯蔵・輸送(ST)'!$K$190+'供給(D)'!$K$190)),"")</f>
        <v/>
      </c>
      <c r="AC39" s="354" t="str">
        <f>IFERROR(IF(W39=0,"",W39*$AJ$170/('製造(P)'!$K$190+'貯蔵・輸送(ST)'!$K$190+'供給(D)'!$K$190)),"")</f>
        <v/>
      </c>
      <c r="AD39" s="778" t="str">
        <f>IFERROR(IF(X39=0,"",X39*$AJ$170/('製造(P)'!$K$190+'貯蔵・輸送(ST)'!$K$190+'供給(D)'!$K$190)),"")</f>
        <v/>
      </c>
      <c r="AE39" s="685"/>
      <c r="AF39" s="787"/>
      <c r="AG39" s="59"/>
      <c r="AH39" s="59"/>
      <c r="AI39" s="59"/>
      <c r="AJ39" s="539">
        <f>共通データ!AI40</f>
        <v>0</v>
      </c>
      <c r="AK39" s="213" t="s">
        <v>51</v>
      </c>
      <c r="AL39" s="59"/>
      <c r="AM39" s="59"/>
    </row>
    <row r="40" spans="2:39">
      <c r="B40" s="967" t="s">
        <v>151</v>
      </c>
      <c r="C40" s="968"/>
      <c r="D40" s="968"/>
      <c r="E40" s="641" t="s">
        <v>2134</v>
      </c>
      <c r="F40" s="691">
        <v>0</v>
      </c>
      <c r="G40" s="691">
        <v>0</v>
      </c>
      <c r="H40" s="691">
        <v>0</v>
      </c>
      <c r="I40" s="691">
        <v>0</v>
      </c>
      <c r="J40" s="691">
        <v>0</v>
      </c>
      <c r="K40" s="692">
        <f t="shared" si="15"/>
        <v>0</v>
      </c>
      <c r="L40" s="639" t="s">
        <v>192</v>
      </c>
      <c r="M40" s="481" t="str">
        <f>VLOOKUP(AH40,IDEAv2原単位!$A$3:$F$4021,2,FALSE)</f>
        <v>都市ガス13Aの燃焼エネルギー</v>
      </c>
      <c r="N40" s="483">
        <f>IF(E40="[Nm3]",VLOOKUP($AH40,IDEAv2原単位!$A$3:$F$4021,6,FALSE)*共通データ!F20,IF(E40="[1000Nm3]",VLOOKUP($AH40,IDEAv2原単位!$A$3:$F$4021,6,FALSE)*共通データ!F20*1000,VLOOKUP($AH40,IDEAv2原単位!$A$3:$F$4021,6,FALSE)*共通データ!F17/共通データ!E17))</f>
        <v>2.8201946284701114</v>
      </c>
      <c r="O40" s="371" t="str">
        <f t="shared" ref="O40:O48" si="18">"[kgCO2/"&amp;MID(E40,2,(LENB(E40)-1))</f>
        <v>[kgCO2/Nm3]</v>
      </c>
      <c r="P40" s="149"/>
      <c r="Q40" s="62" t="s">
        <v>151</v>
      </c>
      <c r="R40" s="398"/>
      <c r="S40" s="715">
        <f t="shared" ref="S40:S52" si="19">IFERROR(F40*$N40,0)</f>
        <v>0</v>
      </c>
      <c r="T40" s="715">
        <f t="shared" si="16"/>
        <v>0</v>
      </c>
      <c r="U40" s="715">
        <f t="shared" si="16"/>
        <v>0</v>
      </c>
      <c r="V40" s="715">
        <f t="shared" si="16"/>
        <v>0</v>
      </c>
      <c r="W40" s="715">
        <f t="shared" si="16"/>
        <v>0</v>
      </c>
      <c r="X40" s="705">
        <f t="shared" si="17"/>
        <v>0</v>
      </c>
      <c r="Y40" s="354" t="str">
        <f>IFERROR(IF(S40=0,"",S40*$AJ$170/('製造(P)'!$K$190+'貯蔵・輸送(ST)'!$K$190+'供給(D)'!$K$190)),"")</f>
        <v/>
      </c>
      <c r="Z40" s="354" t="str">
        <f>IFERROR(IF(T40=0,"",T40*$AJ$170/('製造(P)'!$K$190+'貯蔵・輸送(ST)'!$K$190+'供給(D)'!$K$190)),"")</f>
        <v/>
      </c>
      <c r="AA40" s="354" t="str">
        <f>IFERROR(IF(U40=0,"",U40*$AJ$170/('製造(P)'!$K$190+'貯蔵・輸送(ST)'!$K$190+'供給(D)'!$K$190)),"")</f>
        <v/>
      </c>
      <c r="AB40" s="354" t="str">
        <f>IFERROR(IF(V40=0,"",V40*$AJ$170/('製造(P)'!$K$190+'貯蔵・輸送(ST)'!$K$190+'供給(D)'!$K$190)),"")</f>
        <v/>
      </c>
      <c r="AC40" s="354" t="str">
        <f>IFERROR(IF(W40=0,"",W40*$AJ$170/('製造(P)'!$K$190+'貯蔵・輸送(ST)'!$K$190+'供給(D)'!$K$190)),"")</f>
        <v/>
      </c>
      <c r="AD40" s="778" t="str">
        <f>IFERROR(IF(X40=0,"",X40*$AJ$170/('製造(P)'!$K$190+'貯蔵・輸送(ST)'!$K$190+'供給(D)'!$K$190)),"")</f>
        <v/>
      </c>
      <c r="AE40" s="685"/>
      <c r="AF40" s="787"/>
      <c r="AG40" s="207" t="s">
        <v>151</v>
      </c>
      <c r="AH40" s="206">
        <v>341111801</v>
      </c>
      <c r="AI40" s="206"/>
      <c r="AJ40" s="539">
        <f>ROUND(共通データ!$E$20*VLOOKUP($AH40,IDEAv2原単位!$A$3:$F$4021,6,FALSE),2)</f>
        <v>2.54</v>
      </c>
      <c r="AK40" s="213" t="s">
        <v>52</v>
      </c>
      <c r="AL40" s="59"/>
      <c r="AM40" s="59"/>
    </row>
    <row r="41" spans="2:39" ht="14.25" customHeight="1">
      <c r="B41" s="967" t="s">
        <v>7578</v>
      </c>
      <c r="C41" s="968"/>
      <c r="D41" s="968"/>
      <c r="E41" s="641" t="s">
        <v>2130</v>
      </c>
      <c r="F41" s="691">
        <v>0</v>
      </c>
      <c r="G41" s="691">
        <v>0</v>
      </c>
      <c r="H41" s="691">
        <v>0</v>
      </c>
      <c r="I41" s="691">
        <v>0</v>
      </c>
      <c r="J41" s="691">
        <v>0</v>
      </c>
      <c r="K41" s="692">
        <f t="shared" si="15"/>
        <v>0</v>
      </c>
      <c r="L41" s="639" t="s">
        <v>192</v>
      </c>
      <c r="M41" s="481" t="str">
        <f>VLOOKUP(AH41,IDEAv2原単位!$A$3:$F$4021,2,FALSE)</f>
        <v>一般炭の燃焼エネルギー</v>
      </c>
      <c r="N41" s="483">
        <f>IF(E41="[kg]", VLOOKUP($AH41,IDEAv2原単位!$A$3:$F$4021,6,FALSE)*共通データ!I4, IF(E41="[t]",VLOOKUP($AH41,IDEAv2原単位!$A$3:$F$4021,6,FALSE)*共通データ!I4*1000, VLOOKUP($AH41,IDEAv2原単位!$A$3:$F$4021,6,FALSE)*共通データ!F4/共通データ!E4))</f>
        <v>2.5701269692756372</v>
      </c>
      <c r="O41" s="371" t="str">
        <f t="shared" si="18"/>
        <v>[kgCO2/kg]</v>
      </c>
      <c r="P41" s="149"/>
      <c r="Q41" s="62" t="s">
        <v>152</v>
      </c>
      <c r="R41" s="64"/>
      <c r="S41" s="715">
        <f t="shared" si="19"/>
        <v>0</v>
      </c>
      <c r="T41" s="715">
        <f t="shared" si="16"/>
        <v>0</v>
      </c>
      <c r="U41" s="715">
        <f t="shared" si="16"/>
        <v>0</v>
      </c>
      <c r="V41" s="715">
        <f t="shared" si="16"/>
        <v>0</v>
      </c>
      <c r="W41" s="715">
        <f t="shared" si="16"/>
        <v>0</v>
      </c>
      <c r="X41" s="705">
        <f t="shared" si="17"/>
        <v>0</v>
      </c>
      <c r="Y41" s="354" t="str">
        <f>IFERROR(IF(S41=0,"",S41*$AJ$170/('製造(P)'!$K$190+'貯蔵・輸送(ST)'!$K$190+'供給(D)'!$K$190)),"")</f>
        <v/>
      </c>
      <c r="Z41" s="354" t="str">
        <f>IFERROR(IF(T41=0,"",T41*$AJ$170/('製造(P)'!$K$190+'貯蔵・輸送(ST)'!$K$190+'供給(D)'!$K$190)),"")</f>
        <v/>
      </c>
      <c r="AA41" s="354" t="str">
        <f>IFERROR(IF(U41=0,"",U41*$AJ$170/('製造(P)'!$K$190+'貯蔵・輸送(ST)'!$K$190+'供給(D)'!$K$190)),"")</f>
        <v/>
      </c>
      <c r="AB41" s="354" t="str">
        <f>IFERROR(IF(V41=0,"",V41*$AJ$170/('製造(P)'!$K$190+'貯蔵・輸送(ST)'!$K$190+'供給(D)'!$K$190)),"")</f>
        <v/>
      </c>
      <c r="AC41" s="354" t="str">
        <f>IFERROR(IF(W41=0,"",W41*$AJ$170/('製造(P)'!$K$190+'貯蔵・輸送(ST)'!$K$190+'供給(D)'!$K$190)),"")</f>
        <v/>
      </c>
      <c r="AD41" s="778" t="str">
        <f>IFERROR(IF(X41=0,"",X41*$AJ$170/('製造(P)'!$K$190+'貯蔵・輸送(ST)'!$K$190+'供給(D)'!$K$190)),"")</f>
        <v/>
      </c>
      <c r="AE41" s="685"/>
      <c r="AF41" s="787"/>
      <c r="AG41" s="207" t="s">
        <v>152</v>
      </c>
      <c r="AH41" s="206">
        <v>51112801</v>
      </c>
      <c r="AI41" s="206"/>
      <c r="AJ41" s="492">
        <f>ROUND(共通データ!$E$4*VLOOKUP($AH41,IDEAv2原単位!$A$3:$F$4021,6,FALSE),2)</f>
        <v>2.44</v>
      </c>
      <c r="AK41" s="213" t="s">
        <v>54</v>
      </c>
      <c r="AL41" s="59"/>
      <c r="AM41" s="59"/>
    </row>
    <row r="42" spans="2:39">
      <c r="B42" s="967" t="s">
        <v>7862</v>
      </c>
      <c r="C42" s="968"/>
      <c r="D42" s="968"/>
      <c r="E42" s="641" t="s">
        <v>7743</v>
      </c>
      <c r="F42" s="691">
        <v>0</v>
      </c>
      <c r="G42" s="691">
        <v>0</v>
      </c>
      <c r="H42" s="691">
        <v>0</v>
      </c>
      <c r="I42" s="691">
        <v>0</v>
      </c>
      <c r="J42" s="691">
        <v>0</v>
      </c>
      <c r="K42" s="692">
        <f t="shared" si="15"/>
        <v>0</v>
      </c>
      <c r="L42" s="639" t="s">
        <v>192</v>
      </c>
      <c r="M42" s="481" t="str">
        <f>VLOOKUP(AH42,IDEAv2原単位!$A$3:$F$4021,2,FALSE)</f>
        <v>液化石油ガス（LPG）の燃焼エネルギー</v>
      </c>
      <c r="N42" s="483">
        <f>IF(E42="[kg]", VLOOKUP($AH42,IDEAv2原単位!$A$3:$F$4021,6,FALSE)*共通データ!I16, IF(E42="[t]",VLOOKUP($AH42,IDEAv2原単位!$A$3:$F$4021,6,FALSE)*共通データ!I16*1000, VLOOKUP($AH42,IDEAv2原単位!$A$3:$F$4021,6,FALSE)*共通データ!F16/共通データ!E16))</f>
        <v>3840.7504248913651</v>
      </c>
      <c r="O42" s="371" t="str">
        <f t="shared" si="18"/>
        <v>[kgCO2/t]</v>
      </c>
      <c r="P42" s="149"/>
      <c r="Q42" s="62" t="s">
        <v>7862</v>
      </c>
      <c r="R42" s="64"/>
      <c r="S42" s="715">
        <f t="shared" si="19"/>
        <v>0</v>
      </c>
      <c r="T42" s="715">
        <f t="shared" si="16"/>
        <v>0</v>
      </c>
      <c r="U42" s="715">
        <f t="shared" si="16"/>
        <v>0</v>
      </c>
      <c r="V42" s="715">
        <f t="shared" si="16"/>
        <v>0</v>
      </c>
      <c r="W42" s="715">
        <f t="shared" si="16"/>
        <v>0</v>
      </c>
      <c r="X42" s="705">
        <f t="shared" si="17"/>
        <v>0</v>
      </c>
      <c r="Y42" s="354" t="str">
        <f>IFERROR(IF(S42=0,"",S42*$AJ$170/('製造(P)'!$K$190+'貯蔵・輸送(ST)'!$K$190+'供給(D)'!$K$190)),"")</f>
        <v/>
      </c>
      <c r="Z42" s="354" t="str">
        <f>IFERROR(IF(T42=0,"",T42*$AJ$170/('製造(P)'!$K$190+'貯蔵・輸送(ST)'!$K$190+'供給(D)'!$K$190)),"")</f>
        <v/>
      </c>
      <c r="AA42" s="354" t="str">
        <f>IFERROR(IF(U42=0,"",U42*$AJ$170/('製造(P)'!$K$190+'貯蔵・輸送(ST)'!$K$190+'供給(D)'!$K$190)),"")</f>
        <v/>
      </c>
      <c r="AB42" s="354" t="str">
        <f>IFERROR(IF(V42=0,"",V42*$AJ$170/('製造(P)'!$K$190+'貯蔵・輸送(ST)'!$K$190+'供給(D)'!$K$190)),"")</f>
        <v/>
      </c>
      <c r="AC42" s="354" t="str">
        <f>IFERROR(IF(W42=0,"",W42*$AJ$170/('製造(P)'!$K$190+'貯蔵・輸送(ST)'!$K$190+'供給(D)'!$K$190)),"")</f>
        <v/>
      </c>
      <c r="AD42" s="778" t="str">
        <f>IFERROR(IF(X42=0,"",X42*$AJ$170/('製造(P)'!$K$190+'貯蔵・輸送(ST)'!$K$190+'供給(D)'!$K$190)),"")</f>
        <v/>
      </c>
      <c r="AE42" s="685"/>
      <c r="AF42" s="787"/>
      <c r="AG42" s="207" t="s">
        <v>43</v>
      </c>
      <c r="AH42" s="206">
        <v>181124801</v>
      </c>
      <c r="AI42" s="206"/>
      <c r="AJ42" s="539">
        <f>ROUND(共通データ!$H$16*VLOOKUP($AH42,IDEAv2原単位!$A$3:$F$4021,6,FALSE),2)</f>
        <v>3.54</v>
      </c>
      <c r="AK42" s="213" t="s">
        <v>54</v>
      </c>
      <c r="AL42" s="59"/>
      <c r="AM42" s="59"/>
    </row>
    <row r="43" spans="2:39">
      <c r="B43" s="967" t="s">
        <v>7579</v>
      </c>
      <c r="C43" s="968"/>
      <c r="D43" s="968"/>
      <c r="E43" s="641" t="s">
        <v>2130</v>
      </c>
      <c r="F43" s="691">
        <v>0</v>
      </c>
      <c r="G43" s="691">
        <v>0</v>
      </c>
      <c r="H43" s="691">
        <v>0</v>
      </c>
      <c r="I43" s="691">
        <v>0</v>
      </c>
      <c r="J43" s="691">
        <v>0</v>
      </c>
      <c r="K43" s="692">
        <f t="shared" si="15"/>
        <v>0</v>
      </c>
      <c r="L43" s="639" t="s">
        <v>192</v>
      </c>
      <c r="M43" s="481" t="str">
        <f>VLOOKUP(AH43,IDEAv2原単位!$A$3:$F$4021,2,FALSE)</f>
        <v>LNGの燃焼エネルギー</v>
      </c>
      <c r="N43" s="483">
        <f>IF(E43="[kg]", VLOOKUP($AH43,IDEAv2原単位!$A$3:$F$4021,6,FALSE)*共通データ!I18, IF(E43="[t]",VLOOKUP($AH43,IDEAv2原単位!$A$3:$F$4021,6,FALSE)*共通データ!I18*1000, VLOOKUP($AH43,IDEAv2原単位!$A$3:$F$4021,6,FALSE)*共通データ!F18/共通データ!E18))</f>
        <v>3.3621341879142883</v>
      </c>
      <c r="O43" s="371" t="str">
        <f t="shared" si="18"/>
        <v>[kgCO2/kg]</v>
      </c>
      <c r="P43" s="149"/>
      <c r="Q43" s="62" t="s">
        <v>7863</v>
      </c>
      <c r="R43" s="64"/>
      <c r="S43" s="715">
        <f t="shared" si="19"/>
        <v>0</v>
      </c>
      <c r="T43" s="715">
        <f t="shared" si="16"/>
        <v>0</v>
      </c>
      <c r="U43" s="715">
        <f t="shared" si="16"/>
        <v>0</v>
      </c>
      <c r="V43" s="715">
        <f t="shared" si="16"/>
        <v>0</v>
      </c>
      <c r="W43" s="715">
        <f t="shared" si="16"/>
        <v>0</v>
      </c>
      <c r="X43" s="705">
        <f t="shared" si="17"/>
        <v>0</v>
      </c>
      <c r="Y43" s="354" t="str">
        <f>IFERROR(IF(S43=0,"",S43*$AJ$170/('製造(P)'!$K$190+'貯蔵・輸送(ST)'!$K$190+'供給(D)'!$K$190)),"")</f>
        <v/>
      </c>
      <c r="Z43" s="354" t="str">
        <f>IFERROR(IF(T43=0,"",T43*$AJ$170/('製造(P)'!$K$190+'貯蔵・輸送(ST)'!$K$190+'供給(D)'!$K$190)),"")</f>
        <v/>
      </c>
      <c r="AA43" s="354" t="str">
        <f>IFERROR(IF(U43=0,"",U43*$AJ$170/('製造(P)'!$K$190+'貯蔵・輸送(ST)'!$K$190+'供給(D)'!$K$190)),"")</f>
        <v/>
      </c>
      <c r="AB43" s="354" t="str">
        <f>IFERROR(IF(V43=0,"",V43*$AJ$170/('製造(P)'!$K$190+'貯蔵・輸送(ST)'!$K$190+'供給(D)'!$K$190)),"")</f>
        <v/>
      </c>
      <c r="AC43" s="354" t="str">
        <f>IFERROR(IF(W43=0,"",W43*$AJ$170/('製造(P)'!$K$190+'貯蔵・輸送(ST)'!$K$190+'供給(D)'!$K$190)),"")</f>
        <v/>
      </c>
      <c r="AD43" s="778" t="str">
        <f>IFERROR(IF(X43=0,"",X43*$AJ$170/('製造(P)'!$K$190+'貯蔵・輸送(ST)'!$K$190+'供給(D)'!$K$190)),"")</f>
        <v/>
      </c>
      <c r="AE43" s="685"/>
      <c r="AF43" s="787"/>
      <c r="AG43" s="207" t="s">
        <v>44</v>
      </c>
      <c r="AH43" s="206">
        <v>52112802</v>
      </c>
      <c r="AI43" s="206"/>
      <c r="AJ43" s="539">
        <f>ROUND(共通データ!$H$18*VLOOKUP($AH43,IDEAv2原単位!$A$3:$F$4021,6,FALSE),2)</f>
        <v>3.02</v>
      </c>
      <c r="AK43" s="213" t="s">
        <v>52</v>
      </c>
      <c r="AL43" s="59"/>
      <c r="AM43" s="59"/>
    </row>
    <row r="44" spans="2:39">
      <c r="B44" s="967" t="s">
        <v>153</v>
      </c>
      <c r="C44" s="968"/>
      <c r="D44" s="968"/>
      <c r="E44" s="641" t="s">
        <v>2130</v>
      </c>
      <c r="F44" s="691">
        <v>0</v>
      </c>
      <c r="G44" s="691">
        <v>0</v>
      </c>
      <c r="H44" s="691">
        <v>0</v>
      </c>
      <c r="I44" s="691">
        <v>0</v>
      </c>
      <c r="J44" s="691">
        <v>0</v>
      </c>
      <c r="K44" s="692">
        <f t="shared" si="15"/>
        <v>0</v>
      </c>
      <c r="L44" s="639" t="s">
        <v>7852</v>
      </c>
      <c r="M44" s="481" t="str">
        <f>VLOOKUP(AH44,IDEAv2原単位!$A$3:$F$4021,2,FALSE)</f>
        <v>灯油の燃焼エネルギー</v>
      </c>
      <c r="N44" s="483">
        <f>IF(E44="[kg]",VLOOKUP($AH44,IDEAv2原単位!$A$3:$F$4021,6,FALSE)*共通データ!I10, IF(E44="[t]",VLOOKUP($AH44,IDEAv2原単位!$A$3:$F$4021,6,FALSE)*共通データ!I10*1000, IF('製造(P)'!E44="[L]",VLOOKUP($AH44,IDEAv2原単位!$A$3:$F$4021,6,FALSE)* 共通データ!F10, IF(E44="[kL]",VLOOKUP($AH44,IDEAv2原単位!$A$3:$F$4021,6,FALSE)*共通データ!F10*1000, VLOOKUP($AH44,IDEAv2原単位!$A$3:$F$4021,6,FALSE)*共通データ!F10/共通データ!E10))))</f>
        <v>3.5603119836368258</v>
      </c>
      <c r="O44" s="371" t="str">
        <f t="shared" si="18"/>
        <v>[kgCO2/kg]</v>
      </c>
      <c r="P44" s="149"/>
      <c r="Q44" s="62" t="s">
        <v>153</v>
      </c>
      <c r="R44" s="64"/>
      <c r="S44" s="715">
        <f t="shared" si="19"/>
        <v>0</v>
      </c>
      <c r="T44" s="715">
        <f t="shared" si="16"/>
        <v>0</v>
      </c>
      <c r="U44" s="715">
        <f t="shared" si="16"/>
        <v>0</v>
      </c>
      <c r="V44" s="715">
        <f t="shared" si="16"/>
        <v>0</v>
      </c>
      <c r="W44" s="715">
        <f t="shared" si="16"/>
        <v>0</v>
      </c>
      <c r="X44" s="705">
        <f t="shared" si="17"/>
        <v>0</v>
      </c>
      <c r="Y44" s="354" t="str">
        <f>IFERROR(IF(S44=0,"",S44*$AJ$170/('製造(P)'!$K$190+'貯蔵・輸送(ST)'!$K$190+'供給(D)'!$K$190)),"")</f>
        <v/>
      </c>
      <c r="Z44" s="354" t="str">
        <f>IFERROR(IF(T44=0,"",T44*$AJ$170/('製造(P)'!$K$190+'貯蔵・輸送(ST)'!$K$190+'供給(D)'!$K$190)),"")</f>
        <v/>
      </c>
      <c r="AA44" s="354" t="str">
        <f>IFERROR(IF(U44=0,"",U44*$AJ$170/('製造(P)'!$K$190+'貯蔵・輸送(ST)'!$K$190+'供給(D)'!$K$190)),"")</f>
        <v/>
      </c>
      <c r="AB44" s="354" t="str">
        <f>IFERROR(IF(V44=0,"",V44*$AJ$170/('製造(P)'!$K$190+'貯蔵・輸送(ST)'!$K$190+'供給(D)'!$K$190)),"")</f>
        <v/>
      </c>
      <c r="AC44" s="354" t="str">
        <f>IFERROR(IF(W44=0,"",W44*$AJ$170/('製造(P)'!$K$190+'貯蔵・輸送(ST)'!$K$190+'供給(D)'!$K$190)),"")</f>
        <v/>
      </c>
      <c r="AD44" s="778" t="str">
        <f>IFERROR(IF(X44=0,"",X44*$AJ$170/('製造(P)'!$K$190+'貯蔵・輸送(ST)'!$K$190+'供給(D)'!$K$190)),"")</f>
        <v/>
      </c>
      <c r="AE44" s="685"/>
      <c r="AF44" s="787"/>
      <c r="AG44" s="207" t="s">
        <v>153</v>
      </c>
      <c r="AH44" s="206">
        <v>181114801</v>
      </c>
      <c r="AI44" s="206"/>
      <c r="AJ44" s="492">
        <f>ROUND(共通データ!$E$10*VLOOKUP($AH44,IDEAv2原単位!$A$3:$F$4021,6,FALSE),2)</f>
        <v>2.68</v>
      </c>
      <c r="AK44" s="213" t="s">
        <v>53</v>
      </c>
      <c r="AL44" s="59"/>
      <c r="AM44" s="59"/>
    </row>
    <row r="45" spans="2:39">
      <c r="B45" s="967" t="s">
        <v>154</v>
      </c>
      <c r="C45" s="968"/>
      <c r="D45" s="968"/>
      <c r="E45" s="641" t="s">
        <v>6942</v>
      </c>
      <c r="F45" s="691">
        <v>0</v>
      </c>
      <c r="G45" s="691">
        <v>0</v>
      </c>
      <c r="H45" s="691">
        <v>0</v>
      </c>
      <c r="I45" s="691">
        <v>0</v>
      </c>
      <c r="J45" s="691">
        <v>0</v>
      </c>
      <c r="K45" s="692">
        <f t="shared" si="15"/>
        <v>0</v>
      </c>
      <c r="L45" s="639" t="s">
        <v>192</v>
      </c>
      <c r="M45" s="481" t="str">
        <f>VLOOKUP(AH45,IDEAv2原単位!$A$3:$F$4021,2,FALSE)</f>
        <v>A重油の燃焼エネルギー</v>
      </c>
      <c r="N45" s="483">
        <f>IF(E45="[kg]",VLOOKUP($AH45,IDEAv2原単位!$A$3:$F$4021,6,FALSE)*共通データ!I13, IF(E45="[t]",VLOOKUP($AH45,IDEAv2原単位!$A$3:$F$4021,6,FALSE)*共通データ!I13*1000, IF(E45="[L]",VLOOKUP($AH45,IDEAv2原単位!$A$3:$F$4021,6,FALSE)*共通データ!F13,IF(E45="[kL]",VLOOKUP($AH45,IDEAv2原単位!$A$3:$F$4021,6,FALSE)*共通データ!F13*1000, VLOOKUP($AH45,IDEAv2原単位!$A$3:$F$4021,6,FALSE)*共通データ!F13/共通データ!E13))))</f>
        <v>8.4928386882513446E-2</v>
      </c>
      <c r="O45" s="371" t="str">
        <f t="shared" si="18"/>
        <v>[kgCO2/MJ]</v>
      </c>
      <c r="P45" s="149"/>
      <c r="Q45" s="62" t="s">
        <v>154</v>
      </c>
      <c r="R45" s="64"/>
      <c r="S45" s="715">
        <f t="shared" si="19"/>
        <v>0</v>
      </c>
      <c r="T45" s="715">
        <f t="shared" si="16"/>
        <v>0</v>
      </c>
      <c r="U45" s="715">
        <f t="shared" si="16"/>
        <v>0</v>
      </c>
      <c r="V45" s="715">
        <f t="shared" si="16"/>
        <v>0</v>
      </c>
      <c r="W45" s="715">
        <f t="shared" si="16"/>
        <v>0</v>
      </c>
      <c r="X45" s="705">
        <f t="shared" si="17"/>
        <v>0</v>
      </c>
      <c r="Y45" s="354" t="str">
        <f>IFERROR(IF(S45=0,"",S45*$AJ$170/('製造(P)'!$K$190+'貯蔵・輸送(ST)'!$K$190+'供給(D)'!$K$190)),"")</f>
        <v/>
      </c>
      <c r="Z45" s="354" t="str">
        <f>IFERROR(IF(T45=0,"",T45*$AJ$170/('製造(P)'!$K$190+'貯蔵・輸送(ST)'!$K$190+'供給(D)'!$K$190)),"")</f>
        <v/>
      </c>
      <c r="AA45" s="354" t="str">
        <f>IFERROR(IF(U45=0,"",U45*$AJ$170/('製造(P)'!$K$190+'貯蔵・輸送(ST)'!$K$190+'供給(D)'!$K$190)),"")</f>
        <v/>
      </c>
      <c r="AB45" s="354" t="str">
        <f>IFERROR(IF(V45=0,"",V45*$AJ$170/('製造(P)'!$K$190+'貯蔵・輸送(ST)'!$K$190+'供給(D)'!$K$190)),"")</f>
        <v/>
      </c>
      <c r="AC45" s="354" t="str">
        <f>IFERROR(IF(W45=0,"",W45*$AJ$170/('製造(P)'!$K$190+'貯蔵・輸送(ST)'!$K$190+'供給(D)'!$K$190)),"")</f>
        <v/>
      </c>
      <c r="AD45" s="778" t="str">
        <f>IFERROR(IF(X45=0,"",X45*$AJ$170/('製造(P)'!$K$190+'貯蔵・輸送(ST)'!$K$190+'供給(D)'!$K$190)),"")</f>
        <v/>
      </c>
      <c r="AE45" s="685"/>
      <c r="AF45" s="787"/>
      <c r="AG45" s="207" t="s">
        <v>154</v>
      </c>
      <c r="AH45" s="206">
        <v>181116801</v>
      </c>
      <c r="AI45" s="206"/>
      <c r="AJ45" s="492">
        <f>ROUND(共通データ!$E$13*VLOOKUP($AH45,IDEAv2原単位!$A$3:$F$4021,6,FALSE),2)</f>
        <v>3</v>
      </c>
      <c r="AK45" s="213" t="s">
        <v>53</v>
      </c>
      <c r="AL45" s="59"/>
      <c r="AM45" s="59"/>
    </row>
    <row r="46" spans="2:39">
      <c r="B46" s="967" t="s">
        <v>155</v>
      </c>
      <c r="C46" s="968"/>
      <c r="D46" s="968"/>
      <c r="E46" s="641" t="s">
        <v>6942</v>
      </c>
      <c r="F46" s="691">
        <v>0</v>
      </c>
      <c r="G46" s="691">
        <v>0</v>
      </c>
      <c r="H46" s="691">
        <v>0</v>
      </c>
      <c r="I46" s="691">
        <v>0</v>
      </c>
      <c r="J46" s="691">
        <v>0</v>
      </c>
      <c r="K46" s="692">
        <f t="shared" si="15"/>
        <v>0</v>
      </c>
      <c r="L46" s="639" t="s">
        <v>7852</v>
      </c>
      <c r="M46" s="481" t="str">
        <f>VLOOKUP(AH46,IDEAv2原単位!$A$3:$F$4021,2,FALSE)</f>
        <v>C重油の燃焼エネルギー</v>
      </c>
      <c r="N46" s="483">
        <f>IF(E46="[kg]",VLOOKUP($AH46,IDEAv2原単位!$A$3:$F$4021,6,FALSE)*共通データ!I15, IF(E46="[t]",VLOOKUP($AH46,IDEAv2原単位!$A$3:$F$4021,6,FALSE)*共通データ!I15*1000, IF(E46="[L]", VLOOKUP($AH46,IDEAv2原単位!$A$3:$F$4021,6,FALSE)*共通データ!F15,IF(E46="[kL]",VLOOKUP($AH46,IDEAv2原単位!$A$3:$F$4021,6,FALSE)*共通データ!F15*1000, VLOOKUP($AH46,IDEAv2原単位!$A$3:$F$4021,6,FALSE)*共通データ!F15/共通データ!E15))))</f>
        <v>8.3550919991237566E-2</v>
      </c>
      <c r="O46" s="371" t="str">
        <f t="shared" si="18"/>
        <v>[kgCO2/MJ]</v>
      </c>
      <c r="P46" s="149"/>
      <c r="Q46" s="62" t="s">
        <v>155</v>
      </c>
      <c r="R46" s="64"/>
      <c r="S46" s="715">
        <f t="shared" si="19"/>
        <v>0</v>
      </c>
      <c r="T46" s="715">
        <f t="shared" si="16"/>
        <v>0</v>
      </c>
      <c r="U46" s="715">
        <f t="shared" si="16"/>
        <v>0</v>
      </c>
      <c r="V46" s="715">
        <f t="shared" si="16"/>
        <v>0</v>
      </c>
      <c r="W46" s="715">
        <f t="shared" si="16"/>
        <v>0</v>
      </c>
      <c r="X46" s="705">
        <f t="shared" si="17"/>
        <v>0</v>
      </c>
      <c r="Y46" s="354" t="str">
        <f>IFERROR(IF(S46=0,"",S46*$AJ$170/('製造(P)'!$K$190+'貯蔵・輸送(ST)'!$K$190+'供給(D)'!$K$190)),"")</f>
        <v/>
      </c>
      <c r="Z46" s="354" t="str">
        <f>IFERROR(IF(T46=0,"",T46*$AJ$170/('製造(P)'!$K$190+'貯蔵・輸送(ST)'!$K$190+'供給(D)'!$K$190)),"")</f>
        <v/>
      </c>
      <c r="AA46" s="354" t="str">
        <f>IFERROR(IF(U46=0,"",U46*$AJ$170/('製造(P)'!$K$190+'貯蔵・輸送(ST)'!$K$190+'供給(D)'!$K$190)),"")</f>
        <v/>
      </c>
      <c r="AB46" s="354" t="str">
        <f>IFERROR(IF(V46=0,"",V46*$AJ$170/('製造(P)'!$K$190+'貯蔵・輸送(ST)'!$K$190+'供給(D)'!$K$190)),"")</f>
        <v/>
      </c>
      <c r="AC46" s="354" t="str">
        <f>IFERROR(IF(W46=0,"",W46*$AJ$170/('製造(P)'!$K$190+'貯蔵・輸送(ST)'!$K$190+'供給(D)'!$K$190)),"")</f>
        <v/>
      </c>
      <c r="AD46" s="778" t="str">
        <f>IFERROR(IF(X46=0,"",X46*$AJ$170/('製造(P)'!$K$190+'貯蔵・輸送(ST)'!$K$190+'供給(D)'!$K$190)),"")</f>
        <v/>
      </c>
      <c r="AE46" s="685"/>
      <c r="AF46" s="787"/>
      <c r="AG46" s="207" t="s">
        <v>155</v>
      </c>
      <c r="AH46" s="206">
        <v>181118801</v>
      </c>
      <c r="AI46" s="206"/>
      <c r="AJ46" s="492">
        <f>ROUND(共通データ!$E$12*VLOOKUP($AH46,IDEAv2原単位!$A$3:$F$4021,6,FALSE),2)</f>
        <v>3.18</v>
      </c>
      <c r="AK46" s="213" t="s">
        <v>53</v>
      </c>
      <c r="AL46" s="59"/>
      <c r="AM46" s="59"/>
    </row>
    <row r="47" spans="2:39">
      <c r="B47" s="967" t="s">
        <v>7853</v>
      </c>
      <c r="C47" s="968"/>
      <c r="D47" s="968"/>
      <c r="E47" s="641" t="s">
        <v>2130</v>
      </c>
      <c r="F47" s="691">
        <v>0</v>
      </c>
      <c r="G47" s="691">
        <v>0</v>
      </c>
      <c r="H47" s="691">
        <v>0</v>
      </c>
      <c r="I47" s="691">
        <v>0</v>
      </c>
      <c r="J47" s="691">
        <v>0</v>
      </c>
      <c r="K47" s="692">
        <f t="shared" si="15"/>
        <v>0</v>
      </c>
      <c r="L47" s="639" t="s">
        <v>7852</v>
      </c>
      <c r="M47" s="481" t="str">
        <f>VLOOKUP(AH47,IDEAv2原単位!$A$3:$F$4021,2,FALSE)</f>
        <v>ガソリンの燃焼エネルギー</v>
      </c>
      <c r="N47" s="483">
        <f>IF(E47="[kg]",VLOOKUP($AH47,IDEAv2原単位!$A$3:$F$4021,6,FALSE)*共通データ!I9,IF(E47="[t]",VLOOKUP($AH47,IDEAv2原単位!$A$3:$F$4021,6,FALSE)*共通データ!I9*1000,IF(E47="[L]",VLOOKUP($AH47,IDEAv2原単位!$A$3:$F$4021,6,FALSE)*共通データ!F9,IF(E47="[kL]",VLOOKUP($AH47,IDEAv2原単位!$A$3:$F$4021,6,FALSE)*共通データ!F9*1000,VLOOKUP($AH47,IDEAv2原単位!$A$3:$F$4021,6,FALSE)*共通データ!F9/共通データ!E9))))</f>
        <v>3.9298669265859782</v>
      </c>
      <c r="O47" s="371" t="str">
        <f t="shared" si="18"/>
        <v>[kgCO2/kg]</v>
      </c>
      <c r="P47" s="149"/>
      <c r="Q47" s="62" t="s">
        <v>7853</v>
      </c>
      <c r="R47" s="64"/>
      <c r="S47" s="715">
        <f t="shared" si="19"/>
        <v>0</v>
      </c>
      <c r="T47" s="715">
        <f t="shared" si="16"/>
        <v>0</v>
      </c>
      <c r="U47" s="715">
        <f t="shared" si="16"/>
        <v>0</v>
      </c>
      <c r="V47" s="715">
        <f t="shared" si="16"/>
        <v>0</v>
      </c>
      <c r="W47" s="715">
        <f t="shared" si="16"/>
        <v>0</v>
      </c>
      <c r="X47" s="705">
        <f t="shared" si="17"/>
        <v>0</v>
      </c>
      <c r="Y47" s="354" t="str">
        <f>IFERROR(IF(S47=0,"",S47*$AJ$170/('製造(P)'!$K$190+'貯蔵・輸送(ST)'!$K$190+'供給(D)'!$K$190)),"")</f>
        <v/>
      </c>
      <c r="Z47" s="354" t="str">
        <f>IFERROR(IF(T47=0,"",T47*$AJ$170/('製造(P)'!$K$190+'貯蔵・輸送(ST)'!$K$190+'供給(D)'!$K$190)),"")</f>
        <v/>
      </c>
      <c r="AA47" s="354" t="str">
        <f>IFERROR(IF(U47=0,"",U47*$AJ$170/('製造(P)'!$K$190+'貯蔵・輸送(ST)'!$K$190+'供給(D)'!$K$190)),"")</f>
        <v/>
      </c>
      <c r="AB47" s="354" t="str">
        <f>IFERROR(IF(V47=0,"",V47*$AJ$170/('製造(P)'!$K$190+'貯蔵・輸送(ST)'!$K$190+'供給(D)'!$K$190)),"")</f>
        <v/>
      </c>
      <c r="AC47" s="354" t="str">
        <f>IFERROR(IF(W47=0,"",W47*$AJ$170/('製造(P)'!$K$190+'貯蔵・輸送(ST)'!$K$190+'供給(D)'!$K$190)),"")</f>
        <v/>
      </c>
      <c r="AD47" s="778" t="str">
        <f>IFERROR(IF(X47=0,"",X47*$AJ$170/('製造(P)'!$K$190+'貯蔵・輸送(ST)'!$K$190+'供給(D)'!$K$190)),"")</f>
        <v/>
      </c>
      <c r="AE47" s="685"/>
      <c r="AF47" s="787"/>
      <c r="AG47" s="207" t="s">
        <v>156</v>
      </c>
      <c r="AH47" s="206">
        <v>181111801</v>
      </c>
      <c r="AI47" s="206"/>
      <c r="AJ47" s="492">
        <f>ROUND(共通データ!$E$9*VLOOKUP($AH47,IDEAv2原単位!$A$3:$F$4021,6,FALSE),2)</f>
        <v>2.74</v>
      </c>
      <c r="AK47" s="213" t="s">
        <v>53</v>
      </c>
      <c r="AL47" s="59"/>
      <c r="AM47" s="59"/>
    </row>
    <row r="48" spans="2:39">
      <c r="B48" s="967" t="s">
        <v>7581</v>
      </c>
      <c r="C48" s="968"/>
      <c r="D48" s="968"/>
      <c r="E48" s="641" t="s">
        <v>6942</v>
      </c>
      <c r="F48" s="691">
        <v>0</v>
      </c>
      <c r="G48" s="691">
        <v>0</v>
      </c>
      <c r="H48" s="691">
        <v>0</v>
      </c>
      <c r="I48" s="691">
        <v>0</v>
      </c>
      <c r="J48" s="691">
        <v>0</v>
      </c>
      <c r="K48" s="692">
        <f t="shared" si="15"/>
        <v>0</v>
      </c>
      <c r="L48" s="639" t="s">
        <v>7854</v>
      </c>
      <c r="M48" s="481" t="str">
        <f>VLOOKUP(AH48,IDEAv2原単位!$A$3:$F$4021,2,FALSE)</f>
        <v>軽油の燃焼エネルギー</v>
      </c>
      <c r="N48" s="483">
        <f>IF(E48="[kg]", VLOOKUP($AH48,IDEAv2原単位!$A$3:$F$4021,6,FALSE)*共通データ!I11, IF(E48="[t]",VLOOKUP($AH48,IDEAv2原単位!$A$3:$F$4021,6,FALSE)*共通データ!I11*1000, IF(E48="[L]",VLOOKUP($AH48,IDEAv2原単位!$A$3:$F$4021,6,FALSE)*共通データ!F11, IF(E48="[kL]",VLOOKUP($AH48,IDEAv2原単位!$A$3:$F$4021,6,FALSE)*共通データ!F11*1000, VLOOKUP($AH48,IDEAv2原単位!$A$3:$F$4021,6,FALSE)*共通データ!F11/共通データ!E11))))</f>
        <v>8.2523769774409353E-2</v>
      </c>
      <c r="O48" s="371" t="str">
        <f t="shared" si="18"/>
        <v>[kgCO2/MJ]</v>
      </c>
      <c r="P48" s="149"/>
      <c r="Q48" s="163" t="s">
        <v>46</v>
      </c>
      <c r="R48" s="148"/>
      <c r="S48" s="715">
        <f t="shared" si="19"/>
        <v>0</v>
      </c>
      <c r="T48" s="715">
        <f t="shared" si="16"/>
        <v>0</v>
      </c>
      <c r="U48" s="715">
        <f t="shared" si="16"/>
        <v>0</v>
      </c>
      <c r="V48" s="715">
        <f t="shared" si="16"/>
        <v>0</v>
      </c>
      <c r="W48" s="715">
        <f t="shared" si="16"/>
        <v>0</v>
      </c>
      <c r="X48" s="705">
        <f t="shared" si="17"/>
        <v>0</v>
      </c>
      <c r="Y48" s="354" t="str">
        <f>IFERROR(IF(S48=0,"",S48*$AJ$170/('製造(P)'!$K$190+'貯蔵・輸送(ST)'!$K$190+'供給(D)'!$K$190)),"")</f>
        <v/>
      </c>
      <c r="Z48" s="354" t="str">
        <f>IFERROR(IF(T48=0,"",T48*$AJ$170/('製造(P)'!$K$190+'貯蔵・輸送(ST)'!$K$190+'供給(D)'!$K$190)),"")</f>
        <v/>
      </c>
      <c r="AA48" s="354" t="str">
        <f>IFERROR(IF(U48=0,"",U48*$AJ$170/('製造(P)'!$K$190+'貯蔵・輸送(ST)'!$K$190+'供給(D)'!$K$190)),"")</f>
        <v/>
      </c>
      <c r="AB48" s="354" t="str">
        <f>IFERROR(IF(V48=0,"",V48*$AJ$170/('製造(P)'!$K$190+'貯蔵・輸送(ST)'!$K$190+'供給(D)'!$K$190)),"")</f>
        <v/>
      </c>
      <c r="AC48" s="354" t="str">
        <f>IFERROR(IF(W48=0,"",W48*$AJ$170/('製造(P)'!$K$190+'貯蔵・輸送(ST)'!$K$190+'供給(D)'!$K$190)),"")</f>
        <v/>
      </c>
      <c r="AD48" s="778" t="str">
        <f>IFERROR(IF(X48=0,"",X48*$AJ$170/('製造(P)'!$K$190+'貯蔵・輸送(ST)'!$K$190+'供給(D)'!$K$190)),"")</f>
        <v/>
      </c>
      <c r="AE48" s="685"/>
      <c r="AF48" s="787"/>
      <c r="AG48" s="207" t="s">
        <v>46</v>
      </c>
      <c r="AH48" s="206">
        <v>181115801</v>
      </c>
      <c r="AI48" s="206"/>
      <c r="AJ48" s="492">
        <f>ROUND(共通データ!$E$14*VLOOKUP($AH48,IDEAv2原単位!$A$3:$F$4021,6,FALSE),2)</f>
        <v>3.09</v>
      </c>
      <c r="AK48" s="213" t="s">
        <v>53</v>
      </c>
      <c r="AL48" s="59"/>
      <c r="AM48" s="59"/>
    </row>
    <row r="49" spans="2:39" ht="13.8" thickBot="1">
      <c r="B49" s="967" t="s">
        <v>6937</v>
      </c>
      <c r="C49" s="968"/>
      <c r="D49" s="968"/>
      <c r="E49" s="400" t="s">
        <v>7864</v>
      </c>
      <c r="F49" s="691">
        <v>0</v>
      </c>
      <c r="G49" s="691">
        <v>0</v>
      </c>
      <c r="H49" s="691">
        <v>0</v>
      </c>
      <c r="I49" s="691">
        <v>0</v>
      </c>
      <c r="J49" s="691">
        <v>0</v>
      </c>
      <c r="K49" s="692">
        <f t="shared" ref="K49" si="20">SUM(F49:J49)</f>
        <v>0</v>
      </c>
      <c r="L49" s="639" t="s">
        <v>7854</v>
      </c>
      <c r="M49" s="479" t="str">
        <f>VLOOKUP(AH49,IDEAv2原単位!$A$3:$F$4021,2,FALSE)</f>
        <v>工業用水道</v>
      </c>
      <c r="N49" s="483">
        <f>VLOOKUP($AH49,IDEAv2原単位!$A$3:$F$4021,6,FALSE)</f>
        <v>0.14873753178233792</v>
      </c>
      <c r="O49" s="371" t="s">
        <v>7855</v>
      </c>
      <c r="P49" s="149"/>
      <c r="Q49" s="163" t="s">
        <v>76</v>
      </c>
      <c r="R49" s="148"/>
      <c r="S49" s="715">
        <f t="shared" si="19"/>
        <v>0</v>
      </c>
      <c r="T49" s="715">
        <f t="shared" si="16"/>
        <v>0</v>
      </c>
      <c r="U49" s="715">
        <f t="shared" si="16"/>
        <v>0</v>
      </c>
      <c r="V49" s="715">
        <f t="shared" si="16"/>
        <v>0</v>
      </c>
      <c r="W49" s="715">
        <f t="shared" si="16"/>
        <v>0</v>
      </c>
      <c r="X49" s="705">
        <f t="shared" si="17"/>
        <v>0</v>
      </c>
      <c r="Y49" s="354" t="str">
        <f>IFERROR(IF(S49=0,"",S49*$AJ$170/('製造(P)'!$K$190+'貯蔵・輸送(ST)'!$K$190+'供給(D)'!$K$190)),"")</f>
        <v/>
      </c>
      <c r="Z49" s="354" t="str">
        <f>IFERROR(IF(T49=0,"",T49*$AJ$170/('製造(P)'!$K$190+'貯蔵・輸送(ST)'!$K$190+'供給(D)'!$K$190)),"")</f>
        <v/>
      </c>
      <c r="AA49" s="354" t="str">
        <f>IFERROR(IF(U49=0,"",U49*$AJ$170/('製造(P)'!$K$190+'貯蔵・輸送(ST)'!$K$190+'供給(D)'!$K$190)),"")</f>
        <v/>
      </c>
      <c r="AB49" s="354" t="str">
        <f>IFERROR(IF(V49=0,"",V49*$AJ$170/('製造(P)'!$K$190+'貯蔵・輸送(ST)'!$K$190+'供給(D)'!$K$190)),"")</f>
        <v/>
      </c>
      <c r="AC49" s="354" t="str">
        <f>IFERROR(IF(W49=0,"",W49*$AJ$170/('製造(P)'!$K$190+'貯蔵・輸送(ST)'!$K$190+'供給(D)'!$K$190)),"")</f>
        <v/>
      </c>
      <c r="AD49" s="778" t="str">
        <f>IFERROR(IF(X49=0,"",X49*$AJ$170/('製造(P)'!$K$190+'貯蔵・輸送(ST)'!$K$190+'供給(D)'!$K$190)),"")</f>
        <v/>
      </c>
      <c r="AE49" s="685"/>
      <c r="AF49" s="787"/>
      <c r="AG49" s="207" t="s">
        <v>6937</v>
      </c>
      <c r="AH49" s="207">
        <v>362111000</v>
      </c>
      <c r="AI49" s="59"/>
      <c r="AJ49" s="538">
        <f>VLOOKUP($AH49,IDEAv2原単位!$A$3:$F$4021,6,FALSE)</f>
        <v>0.14873753178233792</v>
      </c>
      <c r="AK49" s="213" t="s">
        <v>140</v>
      </c>
      <c r="AL49" s="59"/>
      <c r="AM49" s="59"/>
    </row>
    <row r="50" spans="2:39" ht="13.8" thickBot="1">
      <c r="B50" s="976" t="s">
        <v>157</v>
      </c>
      <c r="C50" s="977"/>
      <c r="D50" s="644"/>
      <c r="E50" s="478" t="str">
        <f>IFERROR(IF(D50="","",VLOOKUP($D50,IDEAGLIO補助ﾘｽﾄ!$B$2:$F$50,4, FALSE)),"")</f>
        <v/>
      </c>
      <c r="F50" s="691">
        <v>0</v>
      </c>
      <c r="G50" s="691">
        <v>0</v>
      </c>
      <c r="H50" s="691">
        <v>0</v>
      </c>
      <c r="I50" s="691">
        <v>0</v>
      </c>
      <c r="J50" s="691">
        <v>0</v>
      </c>
      <c r="K50" s="692">
        <f t="shared" si="15"/>
        <v>0</v>
      </c>
      <c r="L50" s="639" t="s">
        <v>7854</v>
      </c>
      <c r="M50" s="479" t="str">
        <f>IFERROR(VLOOKUP(D50,IDEAGLIO補助ﾘｽﾄ!$B$2:$F$50,3,FALSE),"")</f>
        <v/>
      </c>
      <c r="N50" s="484" t="str">
        <f>IFERROR(VLOOKUP($D50,IDEAGLIO補助ﾘｽﾄ!$B$2:$F$50,5, FALSE),"")</f>
        <v/>
      </c>
      <c r="O50" s="372" t="str">
        <f>IF(E50="","","[kgCO2/"&amp;E50&amp;"] ")</f>
        <v/>
      </c>
      <c r="P50" s="149"/>
      <c r="Q50" s="62" t="s">
        <v>157</v>
      </c>
      <c r="R50" s="81" t="str">
        <f>IF(D50="","-",D50)</f>
        <v>-</v>
      </c>
      <c r="S50" s="715">
        <f t="shared" si="19"/>
        <v>0</v>
      </c>
      <c r="T50" s="715">
        <f t="shared" si="16"/>
        <v>0</v>
      </c>
      <c r="U50" s="715">
        <f t="shared" si="16"/>
        <v>0</v>
      </c>
      <c r="V50" s="715">
        <f t="shared" si="16"/>
        <v>0</v>
      </c>
      <c r="W50" s="715">
        <f t="shared" si="16"/>
        <v>0</v>
      </c>
      <c r="X50" s="705">
        <f t="shared" si="17"/>
        <v>0</v>
      </c>
      <c r="Y50" s="354" t="str">
        <f>IFERROR(IF(S50=0,"",S50*$AJ$170/('製造(P)'!$K$190+'貯蔵・輸送(ST)'!$K$190+'供給(D)'!$K$190)),"")</f>
        <v/>
      </c>
      <c r="Z50" s="354" t="str">
        <f>IFERROR(IF(T50=0,"",T50*$AJ$170/('製造(P)'!$K$190+'貯蔵・輸送(ST)'!$K$190+'供給(D)'!$K$190)),"")</f>
        <v/>
      </c>
      <c r="AA50" s="354" t="str">
        <f>IFERROR(IF(U50=0,"",U50*$AJ$170/('製造(P)'!$K$190+'貯蔵・輸送(ST)'!$K$190+'供給(D)'!$K$190)),"")</f>
        <v/>
      </c>
      <c r="AB50" s="354" t="str">
        <f>IFERROR(IF(V50=0,"",V50*$AJ$170/('製造(P)'!$K$190+'貯蔵・輸送(ST)'!$K$190+'供給(D)'!$K$190)),"")</f>
        <v/>
      </c>
      <c r="AC50" s="354" t="str">
        <f>IFERROR(IF(W50=0,"",W50*$AJ$170/('製造(P)'!$K$190+'貯蔵・輸送(ST)'!$K$190+'供給(D)'!$K$190)),"")</f>
        <v/>
      </c>
      <c r="AD50" s="778" t="str">
        <f>IFERROR(IF(X50=0,"",X50*$AJ$170/('製造(P)'!$K$190+'貯蔵・輸送(ST)'!$K$190+'供給(D)'!$K$190)),"")</f>
        <v/>
      </c>
      <c r="AE50" s="685"/>
      <c r="AF50" s="787"/>
      <c r="AG50" s="206"/>
      <c r="AH50" s="206"/>
      <c r="AI50" s="206"/>
      <c r="AJ50" s="492">
        <f>0.019</f>
        <v>1.9E-2</v>
      </c>
      <c r="AK50" s="213" t="s">
        <v>158</v>
      </c>
      <c r="AL50" s="59"/>
      <c r="AM50" s="59"/>
    </row>
    <row r="51" spans="2:39" ht="13.8" thickBot="1">
      <c r="B51" s="978" t="s">
        <v>159</v>
      </c>
      <c r="C51" s="979"/>
      <c r="D51" s="643"/>
      <c r="E51" s="478" t="str">
        <f>IFERROR(IF(D51="","",VLOOKUP($D51,IDEAGLIO補助ﾘｽﾄ!$B$2:$F$50,4, FALSE)),"")</f>
        <v/>
      </c>
      <c r="F51" s="691">
        <v>0</v>
      </c>
      <c r="G51" s="691">
        <v>0</v>
      </c>
      <c r="H51" s="691">
        <v>0</v>
      </c>
      <c r="I51" s="691">
        <v>0</v>
      </c>
      <c r="J51" s="691">
        <v>0</v>
      </c>
      <c r="K51" s="692">
        <f t="shared" si="15"/>
        <v>0</v>
      </c>
      <c r="L51" s="639" t="s">
        <v>7854</v>
      </c>
      <c r="M51" s="479" t="str">
        <f>IFERROR(VLOOKUP(D51,IDEAGLIO補助ﾘｽﾄ!$B$2:$F$50,3,FALSE),"")</f>
        <v/>
      </c>
      <c r="N51" s="485" t="str">
        <f>IFERROR(VLOOKUP($D51,IDEAGLIO補助ﾘｽﾄ!$B$2:$F$50,5, FALSE),"")</f>
        <v/>
      </c>
      <c r="O51" s="372" t="str">
        <f t="shared" ref="O51:O52" si="21">IF(E51="","","[kgCO2/"&amp;E51&amp;"] ")</f>
        <v/>
      </c>
      <c r="P51" s="149"/>
      <c r="Q51" s="62" t="s">
        <v>159</v>
      </c>
      <c r="R51" s="81" t="str">
        <f>IF(D51="","-",D51)</f>
        <v>-</v>
      </c>
      <c r="S51" s="715">
        <f t="shared" si="19"/>
        <v>0</v>
      </c>
      <c r="T51" s="715">
        <f t="shared" si="16"/>
        <v>0</v>
      </c>
      <c r="U51" s="715">
        <f t="shared" si="16"/>
        <v>0</v>
      </c>
      <c r="V51" s="715">
        <f t="shared" si="16"/>
        <v>0</v>
      </c>
      <c r="W51" s="715">
        <f t="shared" si="16"/>
        <v>0</v>
      </c>
      <c r="X51" s="705">
        <f t="shared" si="17"/>
        <v>0</v>
      </c>
      <c r="Y51" s="354" t="str">
        <f>IFERROR(IF(S51=0,"",S51*$AJ$170/('製造(P)'!$K$190+'貯蔵・輸送(ST)'!$K$190+'供給(D)'!$K$190)),"")</f>
        <v/>
      </c>
      <c r="Z51" s="354" t="str">
        <f>IFERROR(IF(T51=0,"",T51*$AJ$170/('製造(P)'!$K$190+'貯蔵・輸送(ST)'!$K$190+'供給(D)'!$K$190)),"")</f>
        <v/>
      </c>
      <c r="AA51" s="354" t="str">
        <f>IFERROR(IF(U51=0,"",U51*$AJ$170/('製造(P)'!$K$190+'貯蔵・輸送(ST)'!$K$190+'供給(D)'!$K$190)),"")</f>
        <v/>
      </c>
      <c r="AB51" s="354" t="str">
        <f>IFERROR(IF(V51=0,"",V51*$AJ$170/('製造(P)'!$K$190+'貯蔵・輸送(ST)'!$K$190+'供給(D)'!$K$190)),"")</f>
        <v/>
      </c>
      <c r="AC51" s="354" t="str">
        <f>IFERROR(IF(W51=0,"",W51*$AJ$170/('製造(P)'!$K$190+'貯蔵・輸送(ST)'!$K$190+'供給(D)'!$K$190)),"")</f>
        <v/>
      </c>
      <c r="AD51" s="778" t="str">
        <f>IFERROR(IF(X51=0,"",X51*$AJ$170/('製造(P)'!$K$190+'貯蔵・輸送(ST)'!$K$190+'供給(D)'!$K$190)),"")</f>
        <v/>
      </c>
      <c r="AE51" s="685"/>
      <c r="AF51" s="787"/>
      <c r="AG51" s="59"/>
      <c r="AH51" s="59"/>
      <c r="AI51" s="59"/>
      <c r="AJ51" s="492"/>
      <c r="AK51" s="213" t="s">
        <v>158</v>
      </c>
      <c r="AL51" s="59"/>
      <c r="AM51" s="59"/>
    </row>
    <row r="52" spans="2:39" ht="13.8" thickBot="1">
      <c r="B52" s="978" t="s">
        <v>160</v>
      </c>
      <c r="C52" s="979"/>
      <c r="D52" s="642"/>
      <c r="E52" s="478" t="str">
        <f>IFERROR(IF(D52="","",VLOOKUP($D52,IDEAGLIO補助ﾘｽﾄ!$B$2:$F$50,4, FALSE)),"")</f>
        <v/>
      </c>
      <c r="F52" s="691">
        <v>0</v>
      </c>
      <c r="G52" s="691">
        <v>0</v>
      </c>
      <c r="H52" s="691">
        <v>0</v>
      </c>
      <c r="I52" s="691">
        <v>0</v>
      </c>
      <c r="J52" s="691">
        <v>0</v>
      </c>
      <c r="K52" s="692">
        <f t="shared" si="15"/>
        <v>0</v>
      </c>
      <c r="L52" s="639" t="s">
        <v>7854</v>
      </c>
      <c r="M52" s="479" t="str">
        <f>IFERROR(VLOOKUP(D52,IDEAGLIO補助ﾘｽﾄ!$B$2:$F$50,3,FALSE),"")</f>
        <v/>
      </c>
      <c r="N52" s="485" t="str">
        <f>IFERROR(VLOOKUP($D52,IDEAGLIO補助ﾘｽﾄ!$B$2:$F$50,5, FALSE),"")</f>
        <v/>
      </c>
      <c r="O52" s="372" t="str">
        <f t="shared" si="21"/>
        <v/>
      </c>
      <c r="P52" s="149"/>
      <c r="Q52" s="62" t="s">
        <v>160</v>
      </c>
      <c r="R52" s="81" t="str">
        <f>IF(D52="","-",D52)</f>
        <v>-</v>
      </c>
      <c r="S52" s="715">
        <f t="shared" si="19"/>
        <v>0</v>
      </c>
      <c r="T52" s="715">
        <f t="shared" si="16"/>
        <v>0</v>
      </c>
      <c r="U52" s="715">
        <f t="shared" si="16"/>
        <v>0</v>
      </c>
      <c r="V52" s="715">
        <f t="shared" si="16"/>
        <v>0</v>
      </c>
      <c r="W52" s="715">
        <f t="shared" si="16"/>
        <v>0</v>
      </c>
      <c r="X52" s="705">
        <f t="shared" si="17"/>
        <v>0</v>
      </c>
      <c r="Y52" s="354" t="str">
        <f>IFERROR(IF(S52=0,"",S52*$AJ$170/('製造(P)'!$K$190+'貯蔵・輸送(ST)'!$K$190+'供給(D)'!$K$190)),"")</f>
        <v/>
      </c>
      <c r="Z52" s="354" t="str">
        <f>IFERROR(IF(T52=0,"",T52*$AJ$170/('製造(P)'!$K$190+'貯蔵・輸送(ST)'!$K$190+'供給(D)'!$K$190)),"")</f>
        <v/>
      </c>
      <c r="AA52" s="354" t="str">
        <f>IFERROR(IF(U52=0,"",U52*$AJ$170/('製造(P)'!$K$190+'貯蔵・輸送(ST)'!$K$190+'供給(D)'!$K$190)),"")</f>
        <v/>
      </c>
      <c r="AB52" s="354" t="str">
        <f>IFERROR(IF(V52=0,"",V52*$AJ$170/('製造(P)'!$K$190+'貯蔵・輸送(ST)'!$K$190+'供給(D)'!$K$190)),"")</f>
        <v/>
      </c>
      <c r="AC52" s="354" t="str">
        <f>IFERROR(IF(W52=0,"",W52*$AJ$170/('製造(P)'!$K$190+'貯蔵・輸送(ST)'!$K$190+'供給(D)'!$K$190)),"")</f>
        <v/>
      </c>
      <c r="AD52" s="778" t="str">
        <f>IFERROR(IF(X52=0,"",X52*$AJ$170/('製造(P)'!$K$190+'貯蔵・輸送(ST)'!$K$190+'供給(D)'!$K$190)),"")</f>
        <v/>
      </c>
      <c r="AE52" s="685"/>
      <c r="AF52" s="787"/>
      <c r="AG52" s="59"/>
      <c r="AH52" s="59"/>
      <c r="AI52" s="59"/>
      <c r="AJ52" s="492"/>
      <c r="AK52" s="213" t="s">
        <v>158</v>
      </c>
      <c r="AL52" s="59"/>
      <c r="AM52" s="59"/>
    </row>
    <row r="53" spans="2:39">
      <c r="B53" s="150"/>
      <c r="C53" s="150"/>
      <c r="D53" s="151"/>
      <c r="E53" s="151"/>
      <c r="F53" s="225"/>
      <c r="G53" s="225"/>
      <c r="H53" s="225"/>
      <c r="I53" s="225"/>
      <c r="J53" s="225"/>
      <c r="K53" s="152"/>
      <c r="L53" s="152"/>
      <c r="M53" s="152"/>
      <c r="N53" s="322"/>
      <c r="O53" s="153"/>
      <c r="P53" s="149"/>
      <c r="Q53" s="147" t="s">
        <v>144</v>
      </c>
      <c r="R53" s="148"/>
      <c r="S53" s="716">
        <f t="shared" ref="S53:X53" si="22">SUM(S39:S52)</f>
        <v>0</v>
      </c>
      <c r="T53" s="716">
        <f t="shared" si="22"/>
        <v>0</v>
      </c>
      <c r="U53" s="716">
        <f t="shared" si="22"/>
        <v>0</v>
      </c>
      <c r="V53" s="716">
        <f t="shared" si="22"/>
        <v>0</v>
      </c>
      <c r="W53" s="716">
        <f t="shared" si="22"/>
        <v>0</v>
      </c>
      <c r="X53" s="716">
        <f t="shared" si="22"/>
        <v>0</v>
      </c>
      <c r="Y53" s="354">
        <f>IFERROR(S53*$AJ$170/('製造(P)'!$K$190+'貯蔵・輸送(ST)'!$K$190+'供給(D)'!$K$190),"")</f>
        <v>0</v>
      </c>
      <c r="Z53" s="354">
        <f>IFERROR(T53*$AJ$170/('製造(P)'!$K$190+'貯蔵・輸送(ST)'!$K$190+'供給(D)'!$K$190),"")</f>
        <v>0</v>
      </c>
      <c r="AA53" s="354">
        <f>IFERROR(U53*$AJ$170/('製造(P)'!$K$190+'貯蔵・輸送(ST)'!$K$190+'供給(D)'!$K$190),"")</f>
        <v>0</v>
      </c>
      <c r="AB53" s="354">
        <f>IFERROR(V53*$AJ$170/('製造(P)'!$K$190+'貯蔵・輸送(ST)'!$K$190+'供給(D)'!$K$190),"")</f>
        <v>0</v>
      </c>
      <c r="AC53" s="354">
        <f>IFERROR(W53*$AJ$170/('製造(P)'!$K$190+'貯蔵・輸送(ST)'!$K$190+'供給(D)'!$K$190),"")</f>
        <v>0</v>
      </c>
      <c r="AD53" s="354">
        <f>IFERROR(X53*$AJ$170/('製造(P)'!$K$190+'貯蔵・輸送(ST)'!$K$190+'供給(D)'!$K$190),"")</f>
        <v>0</v>
      </c>
      <c r="AE53" s="796"/>
      <c r="AF53" s="796"/>
      <c r="AG53" s="59"/>
      <c r="AH53" s="59"/>
      <c r="AI53" s="59"/>
      <c r="AJ53" s="534"/>
      <c r="AK53" s="212"/>
      <c r="AL53" s="59"/>
      <c r="AM53" s="59"/>
    </row>
    <row r="54" spans="2:39" s="149" customFormat="1">
      <c r="B54" s="150"/>
      <c r="C54" s="150"/>
      <c r="D54" s="151"/>
      <c r="E54" s="151"/>
      <c r="F54" s="225"/>
      <c r="G54" s="225"/>
      <c r="H54" s="225"/>
      <c r="I54" s="225"/>
      <c r="J54" s="225"/>
      <c r="K54" s="152"/>
      <c r="L54" s="152"/>
      <c r="M54" s="152"/>
      <c r="N54" s="322"/>
      <c r="O54" s="153"/>
      <c r="S54" s="220"/>
      <c r="T54" s="220"/>
      <c r="U54" s="220"/>
      <c r="V54" s="220"/>
      <c r="W54" s="220"/>
      <c r="X54" s="220"/>
      <c r="Y54" s="355"/>
      <c r="Z54" s="355"/>
      <c r="AA54" s="355"/>
      <c r="AB54" s="355"/>
      <c r="AC54" s="355"/>
      <c r="AD54" s="355"/>
      <c r="AE54" s="805"/>
      <c r="AF54" s="805"/>
      <c r="AJ54" s="543"/>
      <c r="AK54" s="411"/>
    </row>
    <row r="55" spans="2:39" ht="14.1" customHeight="1">
      <c r="B55" s="890" t="s">
        <v>7529</v>
      </c>
      <c r="C55" s="937"/>
      <c r="D55" s="891"/>
      <c r="E55" s="892"/>
      <c r="F55" s="938" t="s">
        <v>7669</v>
      </c>
      <c r="G55" s="939"/>
      <c r="H55" s="939"/>
      <c r="I55" s="939"/>
      <c r="J55" s="939"/>
      <c r="K55" s="940"/>
      <c r="L55" s="941" t="s">
        <v>136</v>
      </c>
      <c r="M55" s="943" t="s">
        <v>210</v>
      </c>
      <c r="N55" s="944"/>
      <c r="O55" s="945"/>
      <c r="P55" s="149"/>
      <c r="Q55" s="890" t="s">
        <v>7797</v>
      </c>
      <c r="R55" s="892"/>
      <c r="S55" s="933" t="s">
        <v>7666</v>
      </c>
      <c r="T55" s="934"/>
      <c r="U55" s="934"/>
      <c r="V55" s="934"/>
      <c r="W55" s="934"/>
      <c r="X55" s="934"/>
      <c r="Y55" s="955" t="s">
        <v>7543</v>
      </c>
      <c r="Z55" s="956"/>
      <c r="AA55" s="956"/>
      <c r="AB55" s="956"/>
      <c r="AC55" s="956"/>
      <c r="AD55" s="956"/>
      <c r="AE55" s="904" t="s">
        <v>7919</v>
      </c>
      <c r="AF55" s="810"/>
      <c r="AG55" s="207"/>
      <c r="AH55" s="207"/>
      <c r="AJ55" s="1067"/>
      <c r="AK55" s="1067"/>
      <c r="AL55" s="59"/>
      <c r="AM55" s="59"/>
    </row>
    <row r="56" spans="2:39" ht="13.8" thickBot="1">
      <c r="B56" s="893"/>
      <c r="C56" s="894"/>
      <c r="D56" s="894"/>
      <c r="E56" s="895"/>
      <c r="F56" s="312" t="s">
        <v>7857</v>
      </c>
      <c r="G56" s="312" t="s">
        <v>7858</v>
      </c>
      <c r="H56" s="312" t="s">
        <v>7056</v>
      </c>
      <c r="I56" s="312" t="s">
        <v>7057</v>
      </c>
      <c r="J56" s="312" t="s">
        <v>7058</v>
      </c>
      <c r="K56" s="313" t="s">
        <v>7520</v>
      </c>
      <c r="L56" s="942"/>
      <c r="M56" s="946"/>
      <c r="N56" s="947"/>
      <c r="O56" s="948"/>
      <c r="P56" s="149"/>
      <c r="Q56" s="896"/>
      <c r="R56" s="898"/>
      <c r="S56" s="312" t="s">
        <v>7857</v>
      </c>
      <c r="T56" s="312" t="s">
        <v>7858</v>
      </c>
      <c r="U56" s="312" t="s">
        <v>7056</v>
      </c>
      <c r="V56" s="312" t="s">
        <v>7057</v>
      </c>
      <c r="W56" s="312" t="s">
        <v>7058</v>
      </c>
      <c r="X56" s="313" t="s">
        <v>7520</v>
      </c>
      <c r="Y56" s="312" t="s">
        <v>6999</v>
      </c>
      <c r="Z56" s="312" t="s">
        <v>7858</v>
      </c>
      <c r="AA56" s="312" t="s">
        <v>7056</v>
      </c>
      <c r="AB56" s="312" t="s">
        <v>7057</v>
      </c>
      <c r="AC56" s="312" t="s">
        <v>7058</v>
      </c>
      <c r="AD56" s="313" t="s">
        <v>7004</v>
      </c>
      <c r="AE56" s="905"/>
      <c r="AF56" s="810"/>
      <c r="AG56" s="207"/>
      <c r="AH56" s="207"/>
      <c r="AJ56" s="1067"/>
      <c r="AK56" s="1067"/>
      <c r="AL56" s="59"/>
      <c r="AM56" s="59"/>
    </row>
    <row r="57" spans="2:39" ht="15" customHeight="1" thickBot="1">
      <c r="B57" s="951" t="s">
        <v>7531</v>
      </c>
      <c r="C57" s="952"/>
      <c r="D57" s="953"/>
      <c r="E57" s="373" t="s">
        <v>7859</v>
      </c>
      <c r="F57" s="694">
        <v>200</v>
      </c>
      <c r="G57" s="691">
        <v>0</v>
      </c>
      <c r="H57" s="691">
        <v>0</v>
      </c>
      <c r="I57" s="691">
        <v>0</v>
      </c>
      <c r="J57" s="691">
        <v>0</v>
      </c>
      <c r="K57" s="692">
        <f t="shared" ref="K57:K59" si="23">SUM(F57:J57)</f>
        <v>200</v>
      </c>
      <c r="L57" s="639" t="s">
        <v>192</v>
      </c>
      <c r="M57" s="479"/>
      <c r="N57" s="479">
        <f>IFERROR(VLOOKUP($B57,共通データ!$B$32:$O$37,12,FALSE),"")</f>
        <v>7.0999999999999995E-3</v>
      </c>
      <c r="O57" s="489" t="str">
        <f>IF(B57="","","[kg-CO2/kWh] ")</f>
        <v xml:space="preserve">[kg-CO2/kWh] </v>
      </c>
      <c r="P57" s="149"/>
      <c r="Q57" s="910" t="str">
        <f>IF(B57="","",B57)</f>
        <v>風力発電陸上（1,000kW級）</v>
      </c>
      <c r="R57" s="911"/>
      <c r="S57" s="715">
        <f>IFERROR(F57*$N57,0)</f>
        <v>1.42</v>
      </c>
      <c r="T57" s="715">
        <f t="shared" ref="T57:W59" si="24">IFERROR(G57*$N57,0)</f>
        <v>0</v>
      </c>
      <c r="U57" s="715">
        <f t="shared" si="24"/>
        <v>0</v>
      </c>
      <c r="V57" s="715">
        <f t="shared" si="24"/>
        <v>0</v>
      </c>
      <c r="W57" s="715">
        <f t="shared" si="24"/>
        <v>0</v>
      </c>
      <c r="X57" s="717">
        <f t="shared" ref="X57:X59" si="25">SUM(S57:W57)</f>
        <v>1.42</v>
      </c>
      <c r="Y57" s="354">
        <f>IFERROR(IF(S57=0,"",S57*$AJ$170/('製造(P)'!$K$190+'貯蔵・輸送(ST)'!$K$190+'供給(D)'!$K$190)),"")</f>
        <v>1.5038169691552521E-2</v>
      </c>
      <c r="Z57" s="354" t="str">
        <f>IFERROR(IF(T57=0,"",T57*$AJ$170/('製造(P)'!$K$190+'貯蔵・輸送(ST)'!$K$190+'供給(D)'!$K$190)),"")</f>
        <v/>
      </c>
      <c r="AA57" s="354" t="str">
        <f>IFERROR(IF(U57=0,"",U57*$AJ$170/('製造(P)'!$K$190+'貯蔵・輸送(ST)'!$K$190+'供給(D)'!$K$190)),"")</f>
        <v/>
      </c>
      <c r="AB57" s="354" t="str">
        <f>IFERROR(IF(V57=0,"",V57*$AJ$170/('製造(P)'!$K$190+'貯蔵・輸送(ST)'!$K$190+'供給(D)'!$K$190)),"")</f>
        <v/>
      </c>
      <c r="AC57" s="354" t="str">
        <f>IFERROR(IF(W57=0,"",W57*$AJ$170/('製造(P)'!$K$190+'貯蔵・輸送(ST)'!$K$190+'供給(D)'!$K$190)),"")</f>
        <v/>
      </c>
      <c r="AD57" s="778">
        <f>IFERROR(IF(X57=0,"",X57*$AJ$170/('製造(P)'!$K$190+'貯蔵・輸送(ST)'!$K$190+'供給(D)'!$K$190)),"")</f>
        <v>1.5038169691552521E-2</v>
      </c>
      <c r="AE57" s="685"/>
      <c r="AF57" s="787"/>
      <c r="AG57" s="207"/>
      <c r="AH57" s="207"/>
      <c r="AJ57" s="544"/>
      <c r="AL57" s="59"/>
      <c r="AM57" s="59"/>
    </row>
    <row r="58" spans="2:39" ht="15" customHeight="1" thickBot="1">
      <c r="B58" s="951"/>
      <c r="C58" s="952"/>
      <c r="D58" s="953"/>
      <c r="E58" s="373" t="s">
        <v>7859</v>
      </c>
      <c r="F58" s="694">
        <v>0</v>
      </c>
      <c r="G58" s="691">
        <v>0</v>
      </c>
      <c r="H58" s="691">
        <v>0</v>
      </c>
      <c r="I58" s="691">
        <v>0</v>
      </c>
      <c r="J58" s="691">
        <v>0</v>
      </c>
      <c r="K58" s="692">
        <f t="shared" si="23"/>
        <v>0</v>
      </c>
      <c r="L58" s="639" t="s">
        <v>7854</v>
      </c>
      <c r="M58" s="479"/>
      <c r="N58" s="479" t="str">
        <f>IFERROR(VLOOKUP($B58,共通データ!$B$32:$O$37,12,FALSE),"")</f>
        <v/>
      </c>
      <c r="O58" s="489" t="str">
        <f t="shared" ref="O58:O59" si="26">IF(B58="","","[kg-CO2/kWh] ")</f>
        <v/>
      </c>
      <c r="P58" s="149"/>
      <c r="Q58" s="910" t="str">
        <f t="shared" ref="Q58:Q59" si="27">IF(B58="","",B58)</f>
        <v/>
      </c>
      <c r="R58" s="911"/>
      <c r="S58" s="715">
        <f t="shared" ref="S58:S59" si="28">IFERROR(F58*$N58,0)</f>
        <v>0</v>
      </c>
      <c r="T58" s="715">
        <f t="shared" si="24"/>
        <v>0</v>
      </c>
      <c r="U58" s="715">
        <f t="shared" si="24"/>
        <v>0</v>
      </c>
      <c r="V58" s="715">
        <f t="shared" si="24"/>
        <v>0</v>
      </c>
      <c r="W58" s="715">
        <f t="shared" si="24"/>
        <v>0</v>
      </c>
      <c r="X58" s="717">
        <f t="shared" si="25"/>
        <v>0</v>
      </c>
      <c r="Y58" s="354" t="str">
        <f>IFERROR(IF(S58=0,"",S58*$AJ$170/('製造(P)'!$K$190+'貯蔵・輸送(ST)'!$K$190+'供給(D)'!$K$190)),"")</f>
        <v/>
      </c>
      <c r="Z58" s="354" t="str">
        <f>IFERROR(IF(T58=0,"",T58*$AJ$170/('製造(P)'!$K$190+'貯蔵・輸送(ST)'!$K$190+'供給(D)'!$K$190)),"")</f>
        <v/>
      </c>
      <c r="AA58" s="354" t="str">
        <f>IFERROR(IF(U58=0,"",U58*$AJ$170/('製造(P)'!$K$190+'貯蔵・輸送(ST)'!$K$190+'供給(D)'!$K$190)),"")</f>
        <v/>
      </c>
      <c r="AB58" s="354" t="str">
        <f>IFERROR(IF(V58=0,"",V58*$AJ$170/('製造(P)'!$K$190+'貯蔵・輸送(ST)'!$K$190+'供給(D)'!$K$190)),"")</f>
        <v/>
      </c>
      <c r="AC58" s="354" t="str">
        <f>IFERROR(IF(W58=0,"",W58*$AJ$170/('製造(P)'!$K$190+'貯蔵・輸送(ST)'!$K$190+'供給(D)'!$K$190)),"")</f>
        <v/>
      </c>
      <c r="AD58" s="778" t="str">
        <f>IFERROR(IF(X58=0,"",X58*$AJ$170/('製造(P)'!$K$190+'貯蔵・輸送(ST)'!$K$190+'供給(D)'!$K$190)),"")</f>
        <v/>
      </c>
      <c r="AE58" s="685"/>
      <c r="AF58" s="787"/>
      <c r="AG58" s="207"/>
      <c r="AH58" s="207"/>
      <c r="AJ58" s="544"/>
      <c r="AL58" s="59"/>
      <c r="AM58" s="59"/>
    </row>
    <row r="59" spans="2:39" ht="15" customHeight="1" thickBot="1">
      <c r="B59" s="951"/>
      <c r="C59" s="952"/>
      <c r="D59" s="953"/>
      <c r="E59" s="373" t="s">
        <v>7859</v>
      </c>
      <c r="F59" s="694">
        <v>0</v>
      </c>
      <c r="G59" s="691">
        <v>0</v>
      </c>
      <c r="H59" s="691">
        <v>0</v>
      </c>
      <c r="I59" s="691">
        <v>0</v>
      </c>
      <c r="J59" s="691">
        <v>0</v>
      </c>
      <c r="K59" s="692">
        <f t="shared" si="23"/>
        <v>0</v>
      </c>
      <c r="L59" s="639" t="s">
        <v>7854</v>
      </c>
      <c r="M59" s="479"/>
      <c r="N59" s="479" t="str">
        <f>IFERROR(VLOOKUP($B59,共通データ!$B$32:$O$37,12,FALSE),"")</f>
        <v/>
      </c>
      <c r="O59" s="489" t="str">
        <f t="shared" si="26"/>
        <v/>
      </c>
      <c r="P59" s="149"/>
      <c r="Q59" s="910" t="str">
        <f t="shared" si="27"/>
        <v/>
      </c>
      <c r="R59" s="911"/>
      <c r="S59" s="715">
        <f t="shared" si="28"/>
        <v>0</v>
      </c>
      <c r="T59" s="715">
        <f t="shared" si="24"/>
        <v>0</v>
      </c>
      <c r="U59" s="715">
        <f t="shared" si="24"/>
        <v>0</v>
      </c>
      <c r="V59" s="715">
        <f t="shared" si="24"/>
        <v>0</v>
      </c>
      <c r="W59" s="715">
        <f t="shared" si="24"/>
        <v>0</v>
      </c>
      <c r="X59" s="717">
        <f t="shared" si="25"/>
        <v>0</v>
      </c>
      <c r="Y59" s="354" t="str">
        <f>IFERROR(IF(S59=0,"",S59*$AJ$170/('製造(P)'!$K$190+'貯蔵・輸送(ST)'!$K$190+'供給(D)'!$K$190)),"")</f>
        <v/>
      </c>
      <c r="Z59" s="354" t="str">
        <f>IFERROR(IF(T59=0,"",T59*$AJ$170/('製造(P)'!$K$190+'貯蔵・輸送(ST)'!$K$190+'供給(D)'!$K$190)),"")</f>
        <v/>
      </c>
      <c r="AA59" s="354" t="str">
        <f>IFERROR(IF(U59=0,"",U59*$AJ$170/('製造(P)'!$K$190+'貯蔵・輸送(ST)'!$K$190+'供給(D)'!$K$190)),"")</f>
        <v/>
      </c>
      <c r="AB59" s="354" t="str">
        <f>IFERROR(IF(V59=0,"",V59*$AJ$170/('製造(P)'!$K$190+'貯蔵・輸送(ST)'!$K$190+'供給(D)'!$K$190)),"")</f>
        <v/>
      </c>
      <c r="AC59" s="354" t="str">
        <f>IFERROR(IF(W59=0,"",W59*$AJ$170/('製造(P)'!$K$190+'貯蔵・輸送(ST)'!$K$190+'供給(D)'!$K$190)),"")</f>
        <v/>
      </c>
      <c r="AD59" s="778" t="str">
        <f>IFERROR(IF(X59=0,"",X59*$AJ$170/('製造(P)'!$K$190+'貯蔵・輸送(ST)'!$K$190+'供給(D)'!$K$190)),"")</f>
        <v/>
      </c>
      <c r="AE59" s="685"/>
      <c r="AF59" s="787"/>
      <c r="AG59" s="207"/>
      <c r="AH59" s="207"/>
      <c r="AJ59" s="544"/>
      <c r="AL59" s="59"/>
      <c r="AM59" s="59"/>
    </row>
    <row r="60" spans="2:39">
      <c r="B60" s="150"/>
      <c r="C60" s="150"/>
      <c r="D60" s="151"/>
      <c r="E60" s="151"/>
      <c r="F60" s="225"/>
      <c r="G60" s="225"/>
      <c r="H60" s="225"/>
      <c r="I60" s="225"/>
      <c r="J60" s="225"/>
      <c r="K60" s="152"/>
      <c r="L60" s="152"/>
      <c r="M60" s="152"/>
      <c r="N60" s="322"/>
      <c r="O60" s="153"/>
      <c r="P60" s="149"/>
      <c r="Q60" s="147" t="s">
        <v>144</v>
      </c>
      <c r="R60" s="148"/>
      <c r="S60" s="715">
        <f t="shared" ref="S60:X60" si="29">SUM(S57:S58)</f>
        <v>1.42</v>
      </c>
      <c r="T60" s="715">
        <f t="shared" si="29"/>
        <v>0</v>
      </c>
      <c r="U60" s="715">
        <f t="shared" si="29"/>
        <v>0</v>
      </c>
      <c r="V60" s="715">
        <f t="shared" si="29"/>
        <v>0</v>
      </c>
      <c r="W60" s="715">
        <f t="shared" si="29"/>
        <v>0</v>
      </c>
      <c r="X60" s="715">
        <f t="shared" si="29"/>
        <v>1.42</v>
      </c>
      <c r="Y60" s="775">
        <f>IFERROR(S60*$AJ$170/('製造(P)'!$K$190+'貯蔵・輸送(ST)'!$K$190+'供給(D)'!$K$190),"")</f>
        <v>1.5038169691552521E-2</v>
      </c>
      <c r="Z60" s="775">
        <f>IFERROR(T60*$AJ$170/('製造(P)'!$K$190+'貯蔵・輸送(ST)'!$K$190+'供給(D)'!$K$190),"")</f>
        <v>0</v>
      </c>
      <c r="AA60" s="775">
        <f>IFERROR(U60*$AJ$170/('製造(P)'!$K$190+'貯蔵・輸送(ST)'!$K$190+'供給(D)'!$K$190),"")</f>
        <v>0</v>
      </c>
      <c r="AB60" s="775">
        <f>IFERROR(V60*$AJ$170/('製造(P)'!$K$190+'貯蔵・輸送(ST)'!$K$190+'供給(D)'!$K$190),"")</f>
        <v>0</v>
      </c>
      <c r="AC60" s="775">
        <f>IFERROR(W60*$AJ$170/('製造(P)'!$K$190+'貯蔵・輸送(ST)'!$K$190+'供給(D)'!$K$190),"")</f>
        <v>0</v>
      </c>
      <c r="AD60" s="775">
        <f>IFERROR(X60*$AJ$170/('製造(P)'!$K$190+'貯蔵・輸送(ST)'!$K$190+'供給(D)'!$K$190),"")</f>
        <v>1.5038169691552521E-2</v>
      </c>
      <c r="AE60" s="795"/>
      <c r="AF60" s="795"/>
      <c r="AJ60" s="535"/>
      <c r="AK60" s="153"/>
      <c r="AL60" s="59"/>
      <c r="AM60" s="59"/>
    </row>
    <row r="61" spans="2:39">
      <c r="B61" s="149"/>
      <c r="C61" s="149"/>
      <c r="D61" s="149"/>
      <c r="E61" s="149"/>
      <c r="F61" s="220"/>
      <c r="G61" s="220"/>
      <c r="H61" s="220"/>
      <c r="I61" s="220"/>
      <c r="J61" s="220"/>
      <c r="K61" s="149"/>
      <c r="L61" s="149"/>
      <c r="M61" s="149"/>
      <c r="N61" s="320"/>
      <c r="O61" s="149"/>
      <c r="P61" s="149"/>
      <c r="Q61" s="149"/>
      <c r="R61" s="149"/>
      <c r="S61" s="220"/>
      <c r="T61" s="220"/>
      <c r="U61" s="220"/>
      <c r="V61" s="220"/>
      <c r="W61" s="220"/>
      <c r="X61" s="220"/>
      <c r="Y61" s="355"/>
      <c r="Z61" s="355"/>
      <c r="AA61" s="355"/>
      <c r="AB61" s="355"/>
      <c r="AC61" s="355"/>
      <c r="AD61" s="355"/>
      <c r="AE61" s="805"/>
      <c r="AF61" s="805"/>
      <c r="AJ61" s="535"/>
      <c r="AK61" s="153"/>
      <c r="AL61" s="59"/>
      <c r="AM61" s="59"/>
    </row>
    <row r="62" spans="2:39">
      <c r="B62" s="915" t="s">
        <v>7734</v>
      </c>
      <c r="C62" s="915"/>
      <c r="D62" s="915"/>
      <c r="E62" s="915"/>
      <c r="F62" s="915"/>
      <c r="G62" s="915"/>
      <c r="H62" s="915"/>
      <c r="I62" s="915"/>
      <c r="J62" s="915"/>
      <c r="K62" s="915"/>
      <c r="L62" s="915"/>
      <c r="M62" s="915"/>
      <c r="N62" s="915"/>
      <c r="O62" s="915"/>
      <c r="P62" s="149"/>
      <c r="Q62" s="935" t="s">
        <v>7768</v>
      </c>
      <c r="R62" s="935"/>
      <c r="S62" s="935"/>
      <c r="T62" s="935"/>
      <c r="U62" s="935"/>
      <c r="V62" s="935"/>
      <c r="W62" s="935"/>
      <c r="X62" s="935"/>
      <c r="Y62" s="935"/>
      <c r="Z62" s="935"/>
      <c r="AA62" s="935"/>
      <c r="AB62" s="935"/>
      <c r="AC62" s="935"/>
      <c r="AD62" s="935"/>
      <c r="AE62" s="811"/>
      <c r="AF62" s="811"/>
      <c r="AL62" s="59"/>
      <c r="AM62" s="59"/>
    </row>
    <row r="63" spans="2:39" s="149" customFormat="1">
      <c r="F63" s="220"/>
      <c r="G63" s="220"/>
      <c r="H63" s="220"/>
      <c r="I63" s="220"/>
      <c r="J63" s="220"/>
      <c r="N63" s="320"/>
      <c r="S63" s="220"/>
      <c r="T63" s="220"/>
      <c r="U63" s="220"/>
      <c r="V63" s="220"/>
      <c r="W63" s="220"/>
      <c r="X63" s="220"/>
      <c r="Y63" s="355"/>
      <c r="Z63" s="355"/>
      <c r="AA63" s="355"/>
      <c r="AB63" s="355"/>
      <c r="AC63" s="355"/>
      <c r="AD63" s="355"/>
      <c r="AE63" s="805"/>
      <c r="AF63" s="805"/>
      <c r="AG63" s="207"/>
      <c r="AH63" s="207"/>
      <c r="AI63" s="153"/>
      <c r="AJ63" s="535"/>
      <c r="AK63" s="153"/>
    </row>
    <row r="64" spans="2:39" ht="14.1" customHeight="1">
      <c r="B64" s="890" t="s">
        <v>7662</v>
      </c>
      <c r="C64" s="937"/>
      <c r="D64" s="891"/>
      <c r="E64" s="892"/>
      <c r="F64" s="938" t="s">
        <v>7669</v>
      </c>
      <c r="G64" s="939"/>
      <c r="H64" s="939"/>
      <c r="I64" s="939"/>
      <c r="J64" s="939"/>
      <c r="K64" s="940"/>
      <c r="L64" s="942" t="s">
        <v>136</v>
      </c>
      <c r="M64" s="943" t="s">
        <v>210</v>
      </c>
      <c r="N64" s="944"/>
      <c r="O64" s="945"/>
      <c r="P64" s="149"/>
      <c r="Q64" s="890" t="s">
        <v>6978</v>
      </c>
      <c r="R64" s="892"/>
      <c r="S64" s="933" t="s">
        <v>7666</v>
      </c>
      <c r="T64" s="934"/>
      <c r="U64" s="934"/>
      <c r="V64" s="934"/>
      <c r="W64" s="934"/>
      <c r="X64" s="934"/>
      <c r="Y64" s="955" t="s">
        <v>7543</v>
      </c>
      <c r="Z64" s="956"/>
      <c r="AA64" s="956"/>
      <c r="AB64" s="956"/>
      <c r="AC64" s="956"/>
      <c r="AD64" s="956"/>
      <c r="AE64" s="904" t="s">
        <v>7919</v>
      </c>
      <c r="AF64" s="810"/>
      <c r="AG64" s="207"/>
      <c r="AH64" s="207"/>
      <c r="AJ64" s="1067"/>
      <c r="AK64" s="1067"/>
      <c r="AL64" s="59"/>
      <c r="AM64" s="59"/>
    </row>
    <row r="65" spans="2:43" ht="13.8" thickBot="1">
      <c r="B65" s="896"/>
      <c r="C65" s="897"/>
      <c r="D65" s="897"/>
      <c r="E65" s="898"/>
      <c r="F65" s="312" t="s">
        <v>7849</v>
      </c>
      <c r="G65" s="312" t="s">
        <v>7851</v>
      </c>
      <c r="H65" s="312" t="s">
        <v>7056</v>
      </c>
      <c r="I65" s="312" t="s">
        <v>7057</v>
      </c>
      <c r="J65" s="312" t="s">
        <v>7058</v>
      </c>
      <c r="K65" s="313" t="s">
        <v>7520</v>
      </c>
      <c r="L65" s="942"/>
      <c r="M65" s="946"/>
      <c r="N65" s="947"/>
      <c r="O65" s="948"/>
      <c r="P65" s="149"/>
      <c r="Q65" s="896"/>
      <c r="R65" s="898"/>
      <c r="S65" s="312" t="s">
        <v>7849</v>
      </c>
      <c r="T65" s="312" t="s">
        <v>7851</v>
      </c>
      <c r="U65" s="312" t="s">
        <v>7056</v>
      </c>
      <c r="V65" s="312" t="s">
        <v>7057</v>
      </c>
      <c r="W65" s="312" t="s">
        <v>7058</v>
      </c>
      <c r="X65" s="313" t="s">
        <v>7520</v>
      </c>
      <c r="Y65" s="312" t="s">
        <v>7849</v>
      </c>
      <c r="Z65" s="312" t="s">
        <v>7851</v>
      </c>
      <c r="AA65" s="312" t="s">
        <v>7056</v>
      </c>
      <c r="AB65" s="312" t="s">
        <v>7057</v>
      </c>
      <c r="AC65" s="312" t="s">
        <v>7058</v>
      </c>
      <c r="AD65" s="313" t="s">
        <v>7004</v>
      </c>
      <c r="AE65" s="905"/>
      <c r="AF65" s="810"/>
      <c r="AG65" s="207"/>
      <c r="AH65" s="207"/>
      <c r="AJ65" s="1067"/>
      <c r="AK65" s="1067"/>
      <c r="AL65" s="59"/>
      <c r="AM65" s="59"/>
    </row>
    <row r="66" spans="2:43" ht="13.8" thickBot="1">
      <c r="B66" s="907"/>
      <c r="C66" s="908"/>
      <c r="D66" s="908"/>
      <c r="E66" s="625" t="str">
        <f>IFERROR(IF(B66="","",VLOOKUP($B66,IDEAGLIO補助ﾘｽﾄ!$B$2:$F$50,4, FALSE)),"")</f>
        <v/>
      </c>
      <c r="F66" s="695">
        <v>0</v>
      </c>
      <c r="G66" s="691">
        <v>0</v>
      </c>
      <c r="H66" s="691">
        <v>0</v>
      </c>
      <c r="I66" s="691">
        <v>0</v>
      </c>
      <c r="J66" s="691">
        <v>0</v>
      </c>
      <c r="K66" s="692">
        <f t="shared" ref="K66:K67" si="30">SUM(F66:J66)</f>
        <v>0</v>
      </c>
      <c r="L66" s="639" t="s">
        <v>7850</v>
      </c>
      <c r="M66" s="479" t="str">
        <f>IFERROR(VLOOKUP($B66,IDEAGLIO補助ﾘｽﾄ!$B$2:$F$50,3,FALSE),"")</f>
        <v/>
      </c>
      <c r="N66" s="480" t="str">
        <f>IFERROR(VLOOKUP($B66,IDEAGLIO補助ﾘｽﾄ!$B$2:$F$50,5,FALSE),"")</f>
        <v/>
      </c>
      <c r="O66" s="213" t="str">
        <f>IF(E66="","","[kgCO2/"&amp;E66&amp;"] ")</f>
        <v/>
      </c>
      <c r="P66" s="149"/>
      <c r="Q66" s="910" t="str">
        <f t="shared" ref="Q66:Q70" si="31">IF(B66="","",B66)</f>
        <v/>
      </c>
      <c r="R66" s="911"/>
      <c r="S66" s="715">
        <f>IFERROR(F66*$N66,0)</f>
        <v>0</v>
      </c>
      <c r="T66" s="715">
        <f t="shared" ref="T66:W70" si="32">IFERROR(G66*$N66,0)</f>
        <v>0</v>
      </c>
      <c r="U66" s="715">
        <f t="shared" si="32"/>
        <v>0</v>
      </c>
      <c r="V66" s="715">
        <f t="shared" si="32"/>
        <v>0</v>
      </c>
      <c r="W66" s="715">
        <f t="shared" si="32"/>
        <v>0</v>
      </c>
      <c r="X66" s="705">
        <f t="shared" ref="X66:X67" si="33">SUM(S66:W66)</f>
        <v>0</v>
      </c>
      <c r="Y66" s="354" t="str">
        <f>IFERROR(IF(S66=0,"",S66*$AJ$170/('製造(P)'!$K$190+'貯蔵・輸送(ST)'!$K$190+'供給(D)'!$K$190)),"")</f>
        <v/>
      </c>
      <c r="Z66" s="354" t="str">
        <f>IFERROR(IF(T66=0,"",T66*$AJ$170/('製造(P)'!$K$190+'貯蔵・輸送(ST)'!$K$190+'供給(D)'!$K$190)),"")</f>
        <v/>
      </c>
      <c r="AA66" s="354" t="str">
        <f>IFERROR(IF(U66=0,"",U66*$AJ$170/('製造(P)'!$K$190+'貯蔵・輸送(ST)'!$K$190+'供給(D)'!$K$190)),"")</f>
        <v/>
      </c>
      <c r="AB66" s="354" t="str">
        <f>IFERROR(IF(V66=0,"",V66*$AJ$170/('製造(P)'!$K$190+'貯蔵・輸送(ST)'!$K$190+'供給(D)'!$K$190)),"")</f>
        <v/>
      </c>
      <c r="AC66" s="354" t="str">
        <f>IFERROR(IF(W66=0,"",W66*$AJ$170/('製造(P)'!$K$190+'貯蔵・輸送(ST)'!$K$190+'供給(D)'!$K$190)),"")</f>
        <v/>
      </c>
      <c r="AD66" s="778" t="str">
        <f>IFERROR(IF(X66=0,"",X66*$AJ$170/('製造(P)'!$K$190+'貯蔵・輸送(ST)'!$K$190+'供給(D)'!$K$190)),"")</f>
        <v/>
      </c>
      <c r="AE66" s="685"/>
      <c r="AF66" s="787"/>
      <c r="AG66" s="207"/>
      <c r="AH66" s="207"/>
      <c r="AJ66" s="544"/>
      <c r="AL66" s="59"/>
      <c r="AM66" s="59"/>
    </row>
    <row r="67" spans="2:43" ht="13.8" thickBot="1">
      <c r="B67" s="907"/>
      <c r="C67" s="908"/>
      <c r="D67" s="908"/>
      <c r="E67" s="625" t="str">
        <f>IFERROR(IF(B67="","",VLOOKUP($B67,IDEAGLIO補助ﾘｽﾄ!$B$2:$F$50,4, FALSE)),"")</f>
        <v/>
      </c>
      <c r="F67" s="695">
        <v>0</v>
      </c>
      <c r="G67" s="691">
        <v>0</v>
      </c>
      <c r="H67" s="691">
        <v>0</v>
      </c>
      <c r="I67" s="691">
        <v>0</v>
      </c>
      <c r="J67" s="691">
        <v>0</v>
      </c>
      <c r="K67" s="692">
        <f t="shared" si="30"/>
        <v>0</v>
      </c>
      <c r="L67" s="639" t="s">
        <v>7850</v>
      </c>
      <c r="M67" s="479" t="str">
        <f>IFERROR(VLOOKUP($B67,IDEAGLIO補助ﾘｽﾄ!$B$2:$F$50,3,FALSE),"")</f>
        <v/>
      </c>
      <c r="N67" s="480" t="str">
        <f>IFERROR(VLOOKUP($B67,IDEAGLIO補助ﾘｽﾄ!$B$2:$F$50,5,FALSE),"")</f>
        <v/>
      </c>
      <c r="O67" s="213" t="str">
        <f t="shared" ref="O67:O70" si="34">IF(E67="","","[kgCO2/"&amp;E67&amp;"] ")</f>
        <v/>
      </c>
      <c r="P67" s="149"/>
      <c r="Q67" s="910" t="str">
        <f t="shared" si="31"/>
        <v/>
      </c>
      <c r="R67" s="911"/>
      <c r="S67" s="715">
        <f t="shared" ref="S67:S70" si="35">IFERROR(F67*$N67,0)</f>
        <v>0</v>
      </c>
      <c r="T67" s="715">
        <f t="shared" si="32"/>
        <v>0</v>
      </c>
      <c r="U67" s="715">
        <f t="shared" si="32"/>
        <v>0</v>
      </c>
      <c r="V67" s="715">
        <f t="shared" si="32"/>
        <v>0</v>
      </c>
      <c r="W67" s="715">
        <f t="shared" si="32"/>
        <v>0</v>
      </c>
      <c r="X67" s="705">
        <f t="shared" si="33"/>
        <v>0</v>
      </c>
      <c r="Y67" s="354" t="str">
        <f>IFERROR(IF(S67=0,"",S67*$AJ$170/('製造(P)'!$K$190+'貯蔵・輸送(ST)'!$K$190+'供給(D)'!$K$190)),"")</f>
        <v/>
      </c>
      <c r="Z67" s="354" t="str">
        <f>IFERROR(IF(T67=0,"",T67*$AJ$170/('製造(P)'!$K$190+'貯蔵・輸送(ST)'!$K$190+'供給(D)'!$K$190)),"")</f>
        <v/>
      </c>
      <c r="AA67" s="354" t="str">
        <f>IFERROR(IF(U67=0,"",U67*$AJ$170/('製造(P)'!$K$190+'貯蔵・輸送(ST)'!$K$190+'供給(D)'!$K$190)),"")</f>
        <v/>
      </c>
      <c r="AB67" s="354" t="str">
        <f>IFERROR(IF(V67=0,"",V67*$AJ$170/('製造(P)'!$K$190+'貯蔵・輸送(ST)'!$K$190+'供給(D)'!$K$190)),"")</f>
        <v/>
      </c>
      <c r="AC67" s="354" t="str">
        <f>IFERROR(IF(W67=0,"",W67*$AJ$170/('製造(P)'!$K$190+'貯蔵・輸送(ST)'!$K$190+'供給(D)'!$K$190)),"")</f>
        <v/>
      </c>
      <c r="AD67" s="778" t="str">
        <f>IFERROR(IF(X67=0,"",X67*$AJ$170/('製造(P)'!$K$190+'貯蔵・輸送(ST)'!$K$190+'供給(D)'!$K$190)),"")</f>
        <v/>
      </c>
      <c r="AE67" s="685"/>
      <c r="AF67" s="787"/>
      <c r="AG67" s="207"/>
      <c r="AH67" s="207"/>
      <c r="AJ67" s="544"/>
      <c r="AL67" s="59"/>
      <c r="AM67" s="59"/>
    </row>
    <row r="68" spans="2:43" ht="15" customHeight="1" thickBot="1">
      <c r="B68" s="907"/>
      <c r="C68" s="908"/>
      <c r="D68" s="908"/>
      <c r="E68" s="625" t="str">
        <f>IFERROR(IF(B68="","",VLOOKUP($B68,IDEAGLIO補助ﾘｽﾄ!$B$2:$F$50,4, FALSE)),"")</f>
        <v/>
      </c>
      <c r="F68" s="695">
        <v>0</v>
      </c>
      <c r="G68" s="691">
        <v>0</v>
      </c>
      <c r="H68" s="691">
        <v>0</v>
      </c>
      <c r="I68" s="691">
        <v>0</v>
      </c>
      <c r="J68" s="691">
        <v>0</v>
      </c>
      <c r="K68" s="692">
        <f>SUM(F68:J68)</f>
        <v>0</v>
      </c>
      <c r="L68" s="639" t="s">
        <v>7850</v>
      </c>
      <c r="M68" s="479" t="str">
        <f>IFERROR(VLOOKUP($B68,IDEAGLIO補助ﾘｽﾄ!$B$2:$F$50,3,FALSE),"")</f>
        <v/>
      </c>
      <c r="N68" s="480" t="str">
        <f>IFERROR(VLOOKUP($B68,IDEAGLIO補助ﾘｽﾄ!$B$2:$F$50,5,FALSE),"")</f>
        <v/>
      </c>
      <c r="O68" s="213" t="str">
        <f t="shared" si="34"/>
        <v/>
      </c>
      <c r="P68" s="149"/>
      <c r="Q68" s="910" t="str">
        <f t="shared" si="31"/>
        <v/>
      </c>
      <c r="R68" s="911"/>
      <c r="S68" s="715">
        <f t="shared" si="35"/>
        <v>0</v>
      </c>
      <c r="T68" s="715">
        <f t="shared" si="32"/>
        <v>0</v>
      </c>
      <c r="U68" s="715">
        <f t="shared" si="32"/>
        <v>0</v>
      </c>
      <c r="V68" s="715">
        <f t="shared" si="32"/>
        <v>0</v>
      </c>
      <c r="W68" s="715">
        <f t="shared" si="32"/>
        <v>0</v>
      </c>
      <c r="X68" s="705">
        <f>SUM(S68:W68)</f>
        <v>0</v>
      </c>
      <c r="Y68" s="354" t="str">
        <f>IFERROR(IF(S68=0,"",S68*$AJ$170/('製造(P)'!$K$190+'貯蔵・輸送(ST)'!$K$190+'供給(D)'!$K$190)),"")</f>
        <v/>
      </c>
      <c r="Z68" s="354" t="str">
        <f>IFERROR(IF(T68=0,"",T68*$AJ$170/('製造(P)'!$K$190+'貯蔵・輸送(ST)'!$K$190+'供給(D)'!$K$190)),"")</f>
        <v/>
      </c>
      <c r="AA68" s="354" t="str">
        <f>IFERROR(IF(U68=0,"",U68*$AJ$170/('製造(P)'!$K$190+'貯蔵・輸送(ST)'!$K$190+'供給(D)'!$K$190)),"")</f>
        <v/>
      </c>
      <c r="AB68" s="354" t="str">
        <f>IFERROR(IF(V68=0,"",V68*$AJ$170/('製造(P)'!$K$190+'貯蔵・輸送(ST)'!$K$190+'供給(D)'!$K$190)),"")</f>
        <v/>
      </c>
      <c r="AC68" s="354" t="str">
        <f>IFERROR(IF(W68=0,"",W68*$AJ$170/('製造(P)'!$K$190+'貯蔵・輸送(ST)'!$K$190+'供給(D)'!$K$190)),"")</f>
        <v/>
      </c>
      <c r="AD68" s="778" t="str">
        <f>IFERROR(IF(X68=0,"",X68*$AJ$170/('製造(P)'!$K$190+'貯蔵・輸送(ST)'!$K$190+'供給(D)'!$K$190)),"")</f>
        <v/>
      </c>
      <c r="AE68" s="685"/>
      <c r="AF68" s="787"/>
      <c r="AG68" s="207"/>
      <c r="AH68" s="207"/>
      <c r="AL68" s="59"/>
      <c r="AM68" s="59"/>
    </row>
    <row r="69" spans="2:43" ht="15" customHeight="1" thickBot="1">
      <c r="B69" s="907"/>
      <c r="C69" s="908"/>
      <c r="D69" s="908"/>
      <c r="E69" s="625" t="str">
        <f>IFERROR(IF(B69="","",VLOOKUP($B69,IDEAGLIO補助ﾘｽﾄ!$B$2:$F$50,4, FALSE)),"")</f>
        <v/>
      </c>
      <c r="F69" s="695">
        <v>0</v>
      </c>
      <c r="G69" s="691">
        <v>0</v>
      </c>
      <c r="H69" s="691">
        <v>0</v>
      </c>
      <c r="I69" s="691">
        <v>0</v>
      </c>
      <c r="J69" s="691">
        <v>0</v>
      </c>
      <c r="K69" s="692">
        <f>SUM(F69:J69)</f>
        <v>0</v>
      </c>
      <c r="L69" s="639" t="s">
        <v>7850</v>
      </c>
      <c r="M69" s="479" t="str">
        <f>IFERROR(VLOOKUP($B69,IDEAGLIO補助ﾘｽﾄ!$B$2:$F$50,3,FALSE),"")</f>
        <v/>
      </c>
      <c r="N69" s="480" t="str">
        <f>IFERROR(VLOOKUP($B69,IDEAGLIO補助ﾘｽﾄ!$B$2:$F$50,5,FALSE),"")</f>
        <v/>
      </c>
      <c r="O69" s="213" t="str">
        <f t="shared" si="34"/>
        <v/>
      </c>
      <c r="P69" s="149"/>
      <c r="Q69" s="910" t="str">
        <f t="shared" si="31"/>
        <v/>
      </c>
      <c r="R69" s="911"/>
      <c r="S69" s="715">
        <f t="shared" si="35"/>
        <v>0</v>
      </c>
      <c r="T69" s="715">
        <f t="shared" si="32"/>
        <v>0</v>
      </c>
      <c r="U69" s="715">
        <f t="shared" si="32"/>
        <v>0</v>
      </c>
      <c r="V69" s="715">
        <f t="shared" si="32"/>
        <v>0</v>
      </c>
      <c r="W69" s="715">
        <f t="shared" si="32"/>
        <v>0</v>
      </c>
      <c r="X69" s="705">
        <f>SUM(S69:W69)</f>
        <v>0</v>
      </c>
      <c r="Y69" s="354" t="str">
        <f>IFERROR(IF(S69=0,"",S69*$AJ$170/('製造(P)'!$K$190+'貯蔵・輸送(ST)'!$K$190+'供給(D)'!$K$190)),"")</f>
        <v/>
      </c>
      <c r="Z69" s="354" t="str">
        <f>IFERROR(IF(T69=0,"",T69*$AJ$170/('製造(P)'!$K$190+'貯蔵・輸送(ST)'!$K$190+'供給(D)'!$K$190)),"")</f>
        <v/>
      </c>
      <c r="AA69" s="354" t="str">
        <f>IFERROR(IF(U69=0,"",U69*$AJ$170/('製造(P)'!$K$190+'貯蔵・輸送(ST)'!$K$190+'供給(D)'!$K$190)),"")</f>
        <v/>
      </c>
      <c r="AB69" s="354" t="str">
        <f>IFERROR(IF(V69=0,"",V69*$AJ$170/('製造(P)'!$K$190+'貯蔵・輸送(ST)'!$K$190+'供給(D)'!$K$190)),"")</f>
        <v/>
      </c>
      <c r="AC69" s="354" t="str">
        <f>IFERROR(IF(W69=0,"",W69*$AJ$170/('製造(P)'!$K$190+'貯蔵・輸送(ST)'!$K$190+'供給(D)'!$K$190)),"")</f>
        <v/>
      </c>
      <c r="AD69" s="778" t="str">
        <f>IFERROR(IF(X69=0,"",X69*$AJ$170/('製造(P)'!$K$190+'貯蔵・輸送(ST)'!$K$190+'供給(D)'!$K$190)),"")</f>
        <v/>
      </c>
      <c r="AE69" s="685"/>
      <c r="AF69" s="787"/>
      <c r="AG69" s="207"/>
      <c r="AH69" s="207"/>
      <c r="AL69" s="59"/>
      <c r="AM69" s="59"/>
    </row>
    <row r="70" spans="2:43" ht="15" customHeight="1" thickBot="1">
      <c r="B70" s="907"/>
      <c r="C70" s="908"/>
      <c r="D70" s="908"/>
      <c r="E70" s="625" t="str">
        <f>IFERROR(IF(B70="","",VLOOKUP($B70,IDEAGLIO補助ﾘｽﾄ!$B$2:$F$50,4, FALSE)),"")</f>
        <v/>
      </c>
      <c r="F70" s="695">
        <v>0</v>
      </c>
      <c r="G70" s="691">
        <v>0</v>
      </c>
      <c r="H70" s="691">
        <v>0</v>
      </c>
      <c r="I70" s="691">
        <v>0</v>
      </c>
      <c r="J70" s="691">
        <v>0</v>
      </c>
      <c r="K70" s="692">
        <f>SUM(F70:J70)</f>
        <v>0</v>
      </c>
      <c r="L70" s="639" t="s">
        <v>7850</v>
      </c>
      <c r="M70" s="479" t="str">
        <f>IFERROR(VLOOKUP($B70,IDEAGLIO補助ﾘｽﾄ!$B$2:$F$50,3,FALSE),"")</f>
        <v/>
      </c>
      <c r="N70" s="480" t="str">
        <f>IFERROR(VLOOKUP($B70,IDEAGLIO補助ﾘｽﾄ!$B$2:$F$50,5,FALSE),"")</f>
        <v/>
      </c>
      <c r="O70" s="213" t="str">
        <f t="shared" si="34"/>
        <v/>
      </c>
      <c r="P70" s="149"/>
      <c r="Q70" s="910" t="str">
        <f t="shared" si="31"/>
        <v/>
      </c>
      <c r="R70" s="911"/>
      <c r="S70" s="715">
        <f t="shared" si="35"/>
        <v>0</v>
      </c>
      <c r="T70" s="715">
        <f t="shared" si="32"/>
        <v>0</v>
      </c>
      <c r="U70" s="715">
        <f t="shared" si="32"/>
        <v>0</v>
      </c>
      <c r="V70" s="715">
        <f t="shared" si="32"/>
        <v>0</v>
      </c>
      <c r="W70" s="715">
        <f t="shared" si="32"/>
        <v>0</v>
      </c>
      <c r="X70" s="705">
        <f>SUM(S70:W70)</f>
        <v>0</v>
      </c>
      <c r="Y70" s="354" t="str">
        <f>IFERROR(IF(S70=0,"",S70*$AJ$170/('製造(P)'!$K$190+'貯蔵・輸送(ST)'!$K$190+'供給(D)'!$K$190)),"")</f>
        <v/>
      </c>
      <c r="Z70" s="354" t="str">
        <f>IFERROR(IF(T70=0,"",T70*$AJ$170/('製造(P)'!$K$190+'貯蔵・輸送(ST)'!$K$190+'供給(D)'!$K$190)),"")</f>
        <v/>
      </c>
      <c r="AA70" s="354" t="str">
        <f>IFERROR(IF(U70=0,"",U70*$AJ$170/('製造(P)'!$K$190+'貯蔵・輸送(ST)'!$K$190+'供給(D)'!$K$190)),"")</f>
        <v/>
      </c>
      <c r="AB70" s="354" t="str">
        <f>IFERROR(IF(V70=0,"",V70*$AJ$170/('製造(P)'!$K$190+'貯蔵・輸送(ST)'!$K$190+'供給(D)'!$K$190)),"")</f>
        <v/>
      </c>
      <c r="AC70" s="354" t="str">
        <f>IFERROR(IF(W70=0,"",W70*$AJ$170/('製造(P)'!$K$190+'貯蔵・輸送(ST)'!$K$190+'供給(D)'!$K$190)),"")</f>
        <v/>
      </c>
      <c r="AD70" s="778" t="str">
        <f>IFERROR(IF(X70=0,"",X70*$AJ$170/('製造(P)'!$K$190+'貯蔵・輸送(ST)'!$K$190+'供給(D)'!$K$190)),"")</f>
        <v/>
      </c>
      <c r="AE70" s="685"/>
      <c r="AF70" s="787"/>
      <c r="AG70" s="207"/>
      <c r="AH70" s="207"/>
      <c r="AL70" s="59"/>
      <c r="AM70" s="59"/>
    </row>
    <row r="71" spans="2:43">
      <c r="B71" s="150"/>
      <c r="C71" s="150"/>
      <c r="D71" s="151"/>
      <c r="E71" s="151"/>
      <c r="F71" s="225"/>
      <c r="G71" s="225"/>
      <c r="H71" s="225"/>
      <c r="I71" s="225"/>
      <c r="J71" s="225"/>
      <c r="K71" s="152"/>
      <c r="L71" s="152"/>
      <c r="M71" s="152"/>
      <c r="N71" s="322"/>
      <c r="O71" s="153"/>
      <c r="P71" s="149"/>
      <c r="Q71" s="396" t="s">
        <v>144</v>
      </c>
      <c r="R71" s="397"/>
      <c r="S71" s="716">
        <f>SUM(S66:S70)</f>
        <v>0</v>
      </c>
      <c r="T71" s="716">
        <f t="shared" ref="T71:X71" si="36">SUM(T66:T70)</f>
        <v>0</v>
      </c>
      <c r="U71" s="716">
        <f t="shared" si="36"/>
        <v>0</v>
      </c>
      <c r="V71" s="716">
        <f t="shared" si="36"/>
        <v>0</v>
      </c>
      <c r="W71" s="716">
        <f t="shared" si="36"/>
        <v>0</v>
      </c>
      <c r="X71" s="716">
        <f t="shared" si="36"/>
        <v>0</v>
      </c>
      <c r="Y71" s="354">
        <f>IFERROR(S71*$AJ$170/('製造(P)'!$K$190+'貯蔵・輸送(ST)'!$K$190+'供給(D)'!$K$190),"")</f>
        <v>0</v>
      </c>
      <c r="Z71" s="354">
        <f>IFERROR(T71*$AJ$170/('製造(P)'!$K$190+'貯蔵・輸送(ST)'!$K$190+'供給(D)'!$K$190),"")</f>
        <v>0</v>
      </c>
      <c r="AA71" s="354">
        <f>IFERROR(U71*$AJ$170/('製造(P)'!$K$190+'貯蔵・輸送(ST)'!$K$190+'供給(D)'!$K$190),"")</f>
        <v>0</v>
      </c>
      <c r="AB71" s="354">
        <f>IFERROR(V71*$AJ$170/('製造(P)'!$K$190+'貯蔵・輸送(ST)'!$K$190+'供給(D)'!$K$190),"")</f>
        <v>0</v>
      </c>
      <c r="AC71" s="354">
        <f>IFERROR(W71*$AJ$170/('製造(P)'!$K$190+'貯蔵・輸送(ST)'!$K$190+'供給(D)'!$K$190),"")</f>
        <v>0</v>
      </c>
      <c r="AD71" s="354">
        <f>IFERROR(X71*$AJ$170/('製造(P)'!$K$190+'貯蔵・輸送(ST)'!$K$190+'供給(D)'!$K$190),"")</f>
        <v>0</v>
      </c>
      <c r="AE71" s="796"/>
      <c r="AF71" s="796"/>
      <c r="AJ71" s="535"/>
      <c r="AK71" s="153"/>
      <c r="AL71" s="59"/>
      <c r="AM71" s="59"/>
    </row>
    <row r="72" spans="2:43" s="149" customFormat="1">
      <c r="F72" s="220"/>
      <c r="G72" s="220"/>
      <c r="H72" s="220"/>
      <c r="I72" s="220"/>
      <c r="J72" s="220"/>
      <c r="N72" s="320"/>
      <c r="S72" s="220"/>
      <c r="T72" s="220"/>
      <c r="U72" s="220"/>
      <c r="V72" s="220"/>
      <c r="W72" s="220"/>
      <c r="X72" s="220"/>
      <c r="Y72" s="355"/>
      <c r="Z72" s="355"/>
      <c r="AA72" s="355"/>
      <c r="AB72" s="355"/>
      <c r="AC72" s="355"/>
      <c r="AD72" s="355"/>
      <c r="AE72" s="805"/>
      <c r="AF72" s="805"/>
      <c r="AG72" s="153"/>
      <c r="AH72" s="153"/>
      <c r="AI72" s="153"/>
      <c r="AJ72" s="535"/>
      <c r="AK72" s="153"/>
    </row>
    <row r="73" spans="2:43">
      <c r="B73" s="915" t="s">
        <v>7778</v>
      </c>
      <c r="C73" s="915"/>
      <c r="D73" s="915"/>
      <c r="E73" s="915"/>
      <c r="F73" s="915"/>
      <c r="G73" s="915"/>
      <c r="H73" s="915"/>
      <c r="I73" s="915"/>
      <c r="J73" s="915"/>
      <c r="K73" s="915"/>
      <c r="L73" s="915"/>
      <c r="M73" s="915"/>
      <c r="N73" s="915"/>
      <c r="O73" s="915"/>
      <c r="P73" s="149"/>
      <c r="Q73" s="935" t="s">
        <v>7769</v>
      </c>
      <c r="R73" s="935"/>
      <c r="S73" s="935"/>
      <c r="T73" s="935"/>
      <c r="U73" s="935"/>
      <c r="V73" s="935"/>
      <c r="W73" s="935"/>
      <c r="X73" s="935"/>
      <c r="Y73" s="935"/>
      <c r="Z73" s="935"/>
      <c r="AA73" s="935"/>
      <c r="AB73" s="935"/>
      <c r="AC73" s="935"/>
      <c r="AD73" s="935"/>
      <c r="AE73" s="811"/>
      <c r="AF73" s="811"/>
      <c r="AL73" s="59"/>
      <c r="AM73" s="59"/>
    </row>
    <row r="74" spans="2:43" s="149" customFormat="1">
      <c r="F74" s="220"/>
      <c r="G74" s="220"/>
      <c r="H74" s="220"/>
      <c r="I74" s="220"/>
      <c r="J74" s="220"/>
      <c r="N74" s="320"/>
      <c r="S74" s="220"/>
      <c r="T74" s="220"/>
      <c r="U74" s="220"/>
      <c r="V74" s="220"/>
      <c r="W74" s="220"/>
      <c r="X74" s="220"/>
      <c r="Y74" s="355"/>
      <c r="Z74" s="355"/>
      <c r="AA74" s="355"/>
      <c r="AB74" s="355"/>
      <c r="AC74" s="355"/>
      <c r="AD74" s="355"/>
      <c r="AE74" s="805"/>
      <c r="AF74" s="805"/>
      <c r="AG74" s="207"/>
      <c r="AH74" s="207"/>
      <c r="AI74" s="153"/>
      <c r="AJ74" s="535"/>
      <c r="AK74" s="153"/>
    </row>
    <row r="75" spans="2:43" ht="14.1" customHeight="1">
      <c r="B75" s="954" t="s">
        <v>7661</v>
      </c>
      <c r="C75" s="937"/>
      <c r="D75" s="937"/>
      <c r="E75" s="288"/>
      <c r="F75" s="938" t="s">
        <v>7669</v>
      </c>
      <c r="G75" s="939"/>
      <c r="H75" s="939"/>
      <c r="I75" s="939"/>
      <c r="J75" s="939"/>
      <c r="K75" s="940"/>
      <c r="L75" s="955" t="s">
        <v>136</v>
      </c>
      <c r="M75" s="854"/>
      <c r="N75" s="957"/>
      <c r="O75" s="957"/>
      <c r="P75" s="149"/>
      <c r="Q75" s="954" t="s">
        <v>7765</v>
      </c>
      <c r="R75" s="975"/>
      <c r="S75" s="933" t="s">
        <v>7666</v>
      </c>
      <c r="T75" s="934"/>
      <c r="U75" s="934"/>
      <c r="V75" s="934"/>
      <c r="W75" s="934"/>
      <c r="X75" s="934"/>
      <c r="Y75" s="955" t="s">
        <v>7543</v>
      </c>
      <c r="Z75" s="956"/>
      <c r="AA75" s="956"/>
      <c r="AB75" s="956"/>
      <c r="AC75" s="956"/>
      <c r="AD75" s="1068"/>
      <c r="AE75" s="906" t="s">
        <v>7921</v>
      </c>
      <c r="AF75" s="799"/>
      <c r="AG75" s="207"/>
      <c r="AH75" s="207"/>
      <c r="AJ75" s="1067"/>
      <c r="AK75" s="1067"/>
      <c r="AL75" s="59"/>
      <c r="AM75" s="59"/>
    </row>
    <row r="76" spans="2:43">
      <c r="B76" s="893"/>
      <c r="C76" s="894"/>
      <c r="D76" s="897"/>
      <c r="E76" s="289"/>
      <c r="F76" s="266" t="s">
        <v>7521</v>
      </c>
      <c r="G76" s="266" t="s">
        <v>7522</v>
      </c>
      <c r="H76" s="266" t="s">
        <v>7523</v>
      </c>
      <c r="I76" s="266" t="s">
        <v>7524</v>
      </c>
      <c r="J76" s="266" t="s">
        <v>7525</v>
      </c>
      <c r="K76" s="278"/>
      <c r="L76" s="956"/>
      <c r="M76" s="957"/>
      <c r="N76" s="957"/>
      <c r="O76" s="957"/>
      <c r="P76" s="149"/>
      <c r="Q76" s="896"/>
      <c r="R76" s="898"/>
      <c r="S76" s="370" t="s">
        <v>7521</v>
      </c>
      <c r="T76" s="370" t="s">
        <v>7866</v>
      </c>
      <c r="U76" s="370" t="s">
        <v>7523</v>
      </c>
      <c r="V76" s="370" t="s">
        <v>7524</v>
      </c>
      <c r="W76" s="370" t="s">
        <v>7525</v>
      </c>
      <c r="X76" s="313" t="s">
        <v>7431</v>
      </c>
      <c r="Y76" s="383" t="s">
        <v>7867</v>
      </c>
      <c r="Z76" s="383" t="s">
        <v>7055</v>
      </c>
      <c r="AA76" s="383" t="s">
        <v>7056</v>
      </c>
      <c r="AB76" s="383" t="s">
        <v>7057</v>
      </c>
      <c r="AC76" s="383" t="s">
        <v>7058</v>
      </c>
      <c r="AD76" s="410" t="s">
        <v>7004</v>
      </c>
      <c r="AE76" s="906"/>
      <c r="AF76" s="799"/>
      <c r="AG76" s="207"/>
      <c r="AH76" s="207"/>
      <c r="AJ76" s="1067"/>
      <c r="AK76" s="1067"/>
      <c r="AL76" s="59"/>
      <c r="AM76" s="59"/>
    </row>
    <row r="77" spans="2:43" ht="13.8" thickBot="1">
      <c r="B77" s="985" t="s">
        <v>7042</v>
      </c>
      <c r="C77" s="986"/>
      <c r="D77" s="273" t="s">
        <v>7018</v>
      </c>
      <c r="E77" s="274" t="s">
        <v>7033</v>
      </c>
      <c r="F77" s="696"/>
      <c r="G77" s="696"/>
      <c r="H77" s="696"/>
      <c r="I77" s="696"/>
      <c r="J77" s="696"/>
      <c r="K77" s="279"/>
      <c r="L77" s="639" t="s">
        <v>192</v>
      </c>
      <c r="M77" s="152"/>
      <c r="N77" s="323"/>
      <c r="O77" s="153"/>
      <c r="P77" s="149"/>
      <c r="Q77" s="1010" t="s">
        <v>7018</v>
      </c>
      <c r="R77" s="1011"/>
      <c r="S77" s="718" t="str">
        <f>IFERROR(IF($Q$77=$B$78,IF(F78="ガソリン",F77*IDEAv2原単位!$F$1697*共通データ!$F$9,IF(F78="軽油", F77*IDEAv2原単位!$F$1706*共通データ!$F$11,"")),0),0)</f>
        <v/>
      </c>
      <c r="T77" s="718" t="str">
        <f>IFERROR(IF($Q$77=$B$78,IF(G78="ガソリン",G77*IDEAv2原単位!$F$1697*共通データ!$F$9,IF(G78="軽油", G77*IDEAv2原単位!$F$1706*共通データ!$F$11,"")),0),0)</f>
        <v/>
      </c>
      <c r="U77" s="718" t="str">
        <f>IFERROR(IF($Q$77=$B$78,IF(H78="ガソリン",H77*IDEAv2原単位!$F$1697*共通データ!$F$9,IF(H78="軽油", H77*IDEAv2原単位!$F$1706*共通データ!$F$11,"")),0),0)</f>
        <v/>
      </c>
      <c r="V77" s="718" t="str">
        <f>IFERROR(IF($Q$77=$B$78,IF(I78="ガソリン",I77*IDEAv2原単位!$F$1697*共通データ!$F$9,IF(I78="軽油", I77*IDEAv2原単位!$F$1706*共通データ!$F$11,"")),0),0)</f>
        <v/>
      </c>
      <c r="W77" s="718" t="str">
        <f>IFERROR(IF($Q$77=$B$78,IF(J78="ガソリン",J77*IDEAv2原単位!$F$1697*共通データ!$F$9,IF(J78="軽油", J77*IDEAv2原単位!$F$1706*共通データ!$F$11,"")),0),0)</f>
        <v/>
      </c>
      <c r="X77" s="719">
        <f t="shared" ref="X77" si="37">SUM(S77:W77)</f>
        <v>0</v>
      </c>
      <c r="Y77" s="354" t="str">
        <f>IFERROR(IF(S77=0,"",S77*$AJ$170/('製造(P)'!$K$190+'貯蔵・輸送(ST)'!$K$190+'供給(D)'!$K$190)),"")</f>
        <v/>
      </c>
      <c r="Z77" s="354" t="str">
        <f>IFERROR(IF(T77=0,"",T77*$AJ$170/('製造(P)'!$K$190+'貯蔵・輸送(ST)'!$K$190+'供給(D)'!$K$190)),"")</f>
        <v/>
      </c>
      <c r="AA77" s="354" t="str">
        <f>IFERROR(IF(U77=0,"",U77*$AJ$170/('製造(P)'!$K$190+'貯蔵・輸送(ST)'!$K$190+'供給(D)'!$K$190)),"")</f>
        <v/>
      </c>
      <c r="AB77" s="354" t="str">
        <f>IFERROR(IF(V77=0,"",V77*$AJ$170/('製造(P)'!$K$190+'貯蔵・輸送(ST)'!$K$190+'供給(D)'!$K$190)),"")</f>
        <v/>
      </c>
      <c r="AC77" s="354" t="str">
        <f>IFERROR(IF(W77=0,"",W77*$AJ$170/('製造(P)'!$K$190+'貯蔵・輸送(ST)'!$K$190+'供給(D)'!$K$190)),"")</f>
        <v/>
      </c>
      <c r="AD77" s="778" t="str">
        <f>IFERROR(IF(X77=0,"",X77*$AJ$170/('製造(P)'!$K$190+'貯蔵・輸送(ST)'!$K$190+'供給(D)'!$K$190)),"")</f>
        <v/>
      </c>
      <c r="AE77" s="786"/>
      <c r="AF77" s="788"/>
      <c r="AG77" s="207"/>
      <c r="AH77" s="207"/>
      <c r="AJ77" s="544"/>
      <c r="AL77" s="59"/>
      <c r="AM77" s="59"/>
    </row>
    <row r="78" spans="2:43" ht="13.8" thickBot="1">
      <c r="B78" s="987" t="s">
        <v>7018</v>
      </c>
      <c r="C78" s="988"/>
      <c r="D78" s="242"/>
      <c r="E78" s="242" t="s">
        <v>7032</v>
      </c>
      <c r="F78" s="645"/>
      <c r="G78" s="645"/>
      <c r="H78" s="645"/>
      <c r="I78" s="645"/>
      <c r="J78" s="645"/>
      <c r="K78" s="403"/>
      <c r="L78" s="639" t="s">
        <v>192</v>
      </c>
      <c r="M78" s="152"/>
      <c r="N78" s="323"/>
      <c r="O78" s="153"/>
      <c r="P78" s="149"/>
      <c r="Q78" s="357"/>
      <c r="R78" s="358"/>
      <c r="S78" s="351"/>
      <c r="T78" s="351"/>
      <c r="U78" s="351"/>
      <c r="V78" s="351"/>
      <c r="W78" s="351"/>
      <c r="X78" s="241"/>
      <c r="Y78" s="806"/>
      <c r="Z78" s="806"/>
      <c r="AA78" s="806"/>
      <c r="AB78" s="806"/>
      <c r="AC78" s="806"/>
      <c r="AD78" s="806"/>
      <c r="AE78" s="807"/>
      <c r="AF78" s="806"/>
      <c r="AG78" s="207"/>
      <c r="AH78" s="207"/>
      <c r="AJ78" s="544"/>
      <c r="AL78" s="59"/>
      <c r="AM78" s="59"/>
    </row>
    <row r="79" spans="2:43">
      <c r="B79" s="336"/>
      <c r="C79" s="334"/>
      <c r="D79" s="273" t="s">
        <v>7019</v>
      </c>
      <c r="E79" s="274" t="s">
        <v>7036</v>
      </c>
      <c r="F79" s="697"/>
      <c r="G79" s="698"/>
      <c r="H79" s="698"/>
      <c r="I79" s="698"/>
      <c r="J79" s="698"/>
      <c r="K79" s="280"/>
      <c r="L79" s="639" t="s">
        <v>192</v>
      </c>
      <c r="M79" s="152"/>
      <c r="N79" s="323"/>
      <c r="O79" s="153"/>
      <c r="P79" s="149"/>
      <c r="Q79" s="1012" t="str">
        <f>D79</f>
        <v>燃費法</v>
      </c>
      <c r="R79" s="1013"/>
      <c r="S79" s="718">
        <f>IF($Q$79=$B$78,IF(F80="",AL79,AL80),0)</f>
        <v>0</v>
      </c>
      <c r="T79" s="718">
        <f>IF($Q$79=$B$78,IF(G80="",AM79,AM80),0)</f>
        <v>0</v>
      </c>
      <c r="U79" s="718">
        <f>IF($Q$79=$B$78,IF(H80="",AN79,AN80),0)</f>
        <v>0</v>
      </c>
      <c r="V79" s="718">
        <f>IF($Q$79=$B$78,IF(I80="",AO79,AO80),0)</f>
        <v>0</v>
      </c>
      <c r="W79" s="718">
        <f>IF($Q$79=$B$78,IF(J80="",AP79,AP80),0)</f>
        <v>0</v>
      </c>
      <c r="X79" s="719">
        <f>SUM(S79:W79)</f>
        <v>0</v>
      </c>
      <c r="Y79" s="354" t="str">
        <f>IFERROR(IF(S79=0,"",S79*$AJ$170/('製造(P)'!$K$190+'貯蔵・輸送(ST)'!$K$190+'供給(D)'!$K$190)),"")</f>
        <v/>
      </c>
      <c r="Z79" s="354" t="str">
        <f>IFERROR(IF(T79=0,"",T79*$AJ$170/('製造(P)'!$K$190+'貯蔵・輸送(ST)'!$K$190+'供給(D)'!$K$190)),"")</f>
        <v/>
      </c>
      <c r="AA79" s="354" t="str">
        <f>IFERROR(IF(U79=0,"",U79*$AJ$170/('製造(P)'!$K$190+'貯蔵・輸送(ST)'!$K$190+'供給(D)'!$K$190)),"")</f>
        <v/>
      </c>
      <c r="AB79" s="354" t="str">
        <f>IFERROR(IF(V79=0,"",V79*$AJ$170/('製造(P)'!$K$190+'貯蔵・輸送(ST)'!$K$190+'供給(D)'!$K$190)),"")</f>
        <v/>
      </c>
      <c r="AC79" s="354" t="str">
        <f>IFERROR(IF(W79=0,"",W79*$AJ$170/('製造(P)'!$K$190+'貯蔵・輸送(ST)'!$K$190+'供給(D)'!$K$190)),"")</f>
        <v/>
      </c>
      <c r="AD79" s="778" t="str">
        <f>IFERROR(IF(X79=0,"",X79*$AJ$170/('製造(P)'!$K$190+'貯蔵・輸送(ST)'!$K$190+'供給(D)'!$K$190)),"")</f>
        <v/>
      </c>
      <c r="AE79" s="785"/>
      <c r="AF79" s="800"/>
      <c r="AG79" s="207"/>
      <c r="AH79" s="207"/>
      <c r="AI79" s="59"/>
      <c r="AJ79" s="545"/>
      <c r="AK79" s="412"/>
      <c r="AL79" s="283" t="str">
        <f>IFERROR(IF(F81="ガソリン",F79/4.96/1000*IDEAv2原単位!$F$1697*共通データ!$E$9,IF(F81="軽油",F79/VLOOKUP(F82,輸送算定用!$B$17:$C$22,2,FALSE)/1000*IDEAv2原単位!$F$1706*共通データ!$E$11,"")),"")</f>
        <v/>
      </c>
      <c r="AM79" s="283" t="str">
        <f>IFERROR(IF(G81="ガソリン",G79/4.96/1000*IDEAv2原単位!$F$1697*共通データ!$E$9,IF(G81="軽油",G79/VLOOKUP(G82,輸送算定用!$B$17:$C$22,2,FALSE)/1000*IDEAv2原単位!$F$1706*共通データ!$E$11,"")),"")</f>
        <v/>
      </c>
      <c r="AN79" s="283" t="str">
        <f>IFERROR(IF(H81="ガソリン",H79/4.96/1000*IDEAv2原単位!$F$1697*共通データ!$E$9,IF(H81="軽油",H79/VLOOKUP(H82,輸送算定用!$B$17:$C$22,2,FALSE)/1000*IDEAv2原単位!$F$1706*共通データ!$E$11,"")),"")</f>
        <v/>
      </c>
      <c r="AO79" s="283" t="str">
        <f>IFERROR(IF(I81="ガソリン",I79/4.96/1000*IDEAv2原単位!$F$1697*共通データ!$E$9,IF(I81="軽油",I79/VLOOKUP(I82,輸送算定用!$B$17:$C$22,2,FALSE)/1000*IDEAv2原単位!$F$1706*共通データ!$E$11,"")),"")</f>
        <v/>
      </c>
      <c r="AP79" s="283" t="str">
        <f>IFERROR(IF(J81="ガソリン",J79/4.96/1000*IDEAv2原単位!$F$1697*共通データ!$E$9,IF(J81="軽油",J79/VLOOKUP(J82,輸送算定用!$B$17:$C$22,2,FALSE)/1000*IDEAv2原単位!$F$1706*共通データ!$E$11,"")),"")</f>
        <v/>
      </c>
      <c r="AQ79" s="283" t="str">
        <f>IFERROR(IF(K81="ガソリン",K79/4.96/1000*IDEAv2原単位!$F$1697*共通データ!$E$9,IF(K81="軽油",K79/VLOOKUP(K82,輸送算定用!$B$17:$C$22,2,FALSE)/1000*IDEAv2原単位!$F$1706*共通データ!$E$11,"")),"")</f>
        <v/>
      </c>
    </row>
    <row r="80" spans="2:43" ht="13.8" thickBot="1">
      <c r="B80" s="336"/>
      <c r="C80" s="334"/>
      <c r="D80" s="242"/>
      <c r="E80" s="275" t="s">
        <v>7037</v>
      </c>
      <c r="F80" s="699"/>
      <c r="G80" s="696"/>
      <c r="H80" s="696"/>
      <c r="I80" s="696"/>
      <c r="J80" s="696"/>
      <c r="K80" s="279"/>
      <c r="L80" s="639" t="s">
        <v>192</v>
      </c>
      <c r="M80" s="152"/>
      <c r="N80" s="323"/>
      <c r="O80" s="153"/>
      <c r="P80" s="149"/>
      <c r="Q80" s="1024"/>
      <c r="R80" s="1025"/>
      <c r="S80" s="351"/>
      <c r="T80" s="351"/>
      <c r="U80" s="351"/>
      <c r="V80" s="351"/>
      <c r="W80" s="351"/>
      <c r="X80" s="241"/>
      <c r="Y80" s="806"/>
      <c r="Z80" s="806"/>
      <c r="AA80" s="806"/>
      <c r="AB80" s="806"/>
      <c r="AC80" s="806"/>
      <c r="AD80" s="783"/>
      <c r="AE80" s="782"/>
      <c r="AF80" s="806"/>
      <c r="AG80" s="207"/>
      <c r="AH80" s="207"/>
      <c r="AI80" s="59"/>
      <c r="AJ80" s="538"/>
      <c r="AK80" s="213"/>
      <c r="AL80" s="284" t="str">
        <f>IFERROR(IF(F81="ガソリン",F79/F80/1000*IDEAv2原単位!$F$1697*共通データ!$E$9,IF(F81="軽油",F79/F80/1000*IDEAv2原単位!$F$1706*共通データ!$E$11,"")),"")</f>
        <v/>
      </c>
      <c r="AM80" s="284" t="str">
        <f>IFERROR(IF(G81="ガソリン",G79/G80/1000*IDEAv2原単位!$F$1697*共通データ!$E$9,IF(G81="軽油",G79/G80/1000*IDEAv2原単位!$F$1706*共通データ!$E$11,"")),"")</f>
        <v/>
      </c>
      <c r="AN80" s="284" t="str">
        <f>IFERROR(IF(H81="ガソリン",H79/H80/1000*IDEAv2原単位!$F$1697*共通データ!$E$9,IF(H81="軽油",H79/H80/1000*IDEAv2原単位!$F$1706*共通データ!$E$11,"")),"")</f>
        <v/>
      </c>
      <c r="AO80" s="284" t="str">
        <f>IFERROR(IF(I81="ガソリン",I79/I80/1000*IDEAv2原単位!$F$1697*共通データ!$E$9,IF(I81="軽油",I79/I80/1000*IDEAv2原単位!$F$1706*共通データ!$E$11,"")),"")</f>
        <v/>
      </c>
      <c r="AP80" s="284" t="str">
        <f>IFERROR(IF(J81="ガソリン",J79/J80/1000*IDEAv2原単位!$F$1697*共通データ!$E$9,IF(J81="軽油",J79/J80/1000*IDEAv2原単位!$F$1706*共通データ!$E$11,"")),"")</f>
        <v/>
      </c>
      <c r="AQ80" s="284" t="str">
        <f>IFERROR(IF(K81="ガソリン",K79/K80/1000*IDEAv2原単位!$F$1697*共通データ!$E$9,IF(K81="軽油",K79/K80/1000*IDEAv2原単位!$F$1706*共通データ!$E$11,"")),"")</f>
        <v/>
      </c>
    </row>
    <row r="81" spans="2:39" ht="13.8" thickBot="1">
      <c r="B81" s="336"/>
      <c r="C81" s="334"/>
      <c r="D81" s="242"/>
      <c r="E81" s="242" t="s">
        <v>7032</v>
      </c>
      <c r="F81" s="645"/>
      <c r="G81" s="645"/>
      <c r="H81" s="645"/>
      <c r="I81" s="645"/>
      <c r="J81" s="645"/>
      <c r="K81" s="403"/>
      <c r="L81" s="639" t="s">
        <v>192</v>
      </c>
      <c r="M81" s="152"/>
      <c r="N81" s="323"/>
      <c r="O81" s="153"/>
      <c r="P81" s="149"/>
      <c r="Q81" s="1020"/>
      <c r="R81" s="1021"/>
      <c r="S81" s="351"/>
      <c r="T81" s="351"/>
      <c r="U81" s="351"/>
      <c r="V81" s="351"/>
      <c r="W81" s="351"/>
      <c r="X81" s="241"/>
      <c r="Y81" s="806"/>
      <c r="Z81" s="806"/>
      <c r="AA81" s="806"/>
      <c r="AB81" s="806"/>
      <c r="AC81" s="806"/>
      <c r="AD81" s="806"/>
      <c r="AE81" s="807"/>
      <c r="AF81" s="806"/>
      <c r="AG81" s="207"/>
      <c r="AH81" s="207"/>
      <c r="AI81" s="59"/>
      <c r="AJ81" s="538"/>
      <c r="AK81" s="213"/>
      <c r="AL81" s="59"/>
      <c r="AM81" s="59"/>
    </row>
    <row r="82" spans="2:39" ht="13.8" thickBot="1">
      <c r="B82" s="336"/>
      <c r="C82" s="334"/>
      <c r="D82" s="276"/>
      <c r="E82" s="276" t="s">
        <v>7038</v>
      </c>
      <c r="F82" s="700"/>
      <c r="G82" s="700"/>
      <c r="H82" s="700"/>
      <c r="I82" s="700"/>
      <c r="J82" s="700"/>
      <c r="K82" s="403"/>
      <c r="L82" s="639" t="s">
        <v>7868</v>
      </c>
      <c r="M82" s="152"/>
      <c r="N82" s="323"/>
      <c r="O82" s="153"/>
      <c r="P82" s="149"/>
      <c r="Q82" s="1022"/>
      <c r="R82" s="1023"/>
      <c r="S82" s="351"/>
      <c r="T82" s="351"/>
      <c r="U82" s="351"/>
      <c r="V82" s="351"/>
      <c r="W82" s="351"/>
      <c r="X82" s="241"/>
      <c r="Y82" s="806"/>
      <c r="Z82" s="806"/>
      <c r="AA82" s="806"/>
      <c r="AB82" s="806"/>
      <c r="AC82" s="806"/>
      <c r="AD82" s="781"/>
      <c r="AE82" s="780"/>
      <c r="AF82" s="806"/>
      <c r="AG82" s="207"/>
      <c r="AH82" s="207"/>
      <c r="AI82" s="59"/>
      <c r="AJ82" s="538"/>
      <c r="AK82" s="213"/>
      <c r="AL82" s="59"/>
      <c r="AM82" s="59"/>
    </row>
    <row r="83" spans="2:39" ht="15" customHeight="1">
      <c r="B83" s="336"/>
      <c r="C83" s="334"/>
      <c r="D83" s="273" t="s">
        <v>7020</v>
      </c>
      <c r="E83" s="274" t="s">
        <v>7036</v>
      </c>
      <c r="F83" s="697"/>
      <c r="G83" s="698"/>
      <c r="H83" s="698"/>
      <c r="I83" s="698"/>
      <c r="J83" s="698"/>
      <c r="K83" s="279"/>
      <c r="L83" s="639" t="s">
        <v>192</v>
      </c>
      <c r="M83" s="152"/>
      <c r="N83" s="324"/>
      <c r="O83" s="264"/>
      <c r="P83" s="149"/>
      <c r="Q83" s="1014" t="str">
        <f>D83</f>
        <v>改良トンキロ法</v>
      </c>
      <c r="R83" s="1015"/>
      <c r="S83" s="718">
        <f>IFERROR(IF($B$78=$Q$83,IF(F85="ガソリン", F83*F84*EXP(2.67+LN(F86/100)*(-0.927)+LN(F87)*(-0.648))/1000*IDEAv2原単位!$F$1697*共通データ!$F$9,IF(F85="軽油", F83*F84*EXP(2.71+LN(F86/100)*(-0.812)+LN(F87)*(-0.654))/1000*IDEAv2原単位!$F$1706*共通データ!$F$11,0)),0),0)</f>
        <v>0</v>
      </c>
      <c r="T83" s="718">
        <f>IFERROR(IF($B$78=$Q$83,IF(G85="ガソリン", G83*G84*EXP(2.67+LN(G86/100)*(-0.927)+LN(G87)*(-0.648))/1000*IDEAv2原単位!$F$1697*共通データ!$F$9,IF(G85="軽油", G83*G84*EXP(2.71+LN(G86/100)*(-0.812)+LN(G87)*(-0.654))/1000*IDEAv2原単位!$F$1706*共通データ!$F$11,0)),0),0)</f>
        <v>0</v>
      </c>
      <c r="U83" s="718">
        <f>IFERROR(IF($B$78=$Q$83,IF(H85="ガソリン", H83*H84*EXP(2.67+LN(H86/100)*(-0.927)+LN(H87)*(-0.648))/1000*IDEAv2原単位!$F$1697*共通データ!$F$9,IF(H85="軽油", H83*H84*EXP(2.71+LN(H86/100)*(-0.812)+LN(H87)*(-0.654))/1000*IDEAv2原単位!$F$1706*共通データ!$F$11,0)),0),0)</f>
        <v>0</v>
      </c>
      <c r="V83" s="718">
        <f>IFERROR(IF($B$78=$Q$83,IF(I85="ガソリン", I83*I84*EXP(2.67+LN(I86/100)*(-0.927)+LN(I87)*(-0.648))/1000*IDEAv2原単位!$F$1697*共通データ!$F$9,IF(I85="軽油", I83*I84*EXP(2.71+LN(I86/100)*(-0.812)+LN(I87)*(-0.654))/1000*IDEAv2原単位!$F$1706*共通データ!$F$11,0)),0),0)</f>
        <v>0</v>
      </c>
      <c r="W83" s="718">
        <f>IFERROR(IF($B$78=$Q$83,IF(J85="ガソリン", J83*J84*EXP(2.67+LN(J86/100)*(-0.927)+LN(J87)*(-0.648))/1000*IDEAv2原単位!$F$1697*共通データ!$F$9,IF(J85="軽油", J83*J84*EXP(2.71+LN(J86/100)*(-0.812)+LN(J87)*(-0.654))/1000*IDEAv2原単位!$F$1706*共通データ!$F$11,0)),0),0)</f>
        <v>0</v>
      </c>
      <c r="X83" s="719">
        <f t="shared" ref="X83" si="38">SUM(S83:W83)</f>
        <v>0</v>
      </c>
      <c r="Y83" s="354" t="str">
        <f>IFERROR(IF(S83=0,"",S83*$AJ$170/('製造(P)'!$K$190+'貯蔵・輸送(ST)'!$K$190+'供給(D)'!$K$190)),"")</f>
        <v/>
      </c>
      <c r="Z83" s="354" t="str">
        <f>IFERROR(IF(T83=0,"",T83*$AJ$170/('製造(P)'!$K$190+'貯蔵・輸送(ST)'!$K$190+'供給(D)'!$K$190)),"")</f>
        <v/>
      </c>
      <c r="AA83" s="354" t="str">
        <f>IFERROR(IF(U83=0,"",U83*$AJ$170/('製造(P)'!$K$190+'貯蔵・輸送(ST)'!$K$190+'供給(D)'!$K$190)),"")</f>
        <v/>
      </c>
      <c r="AB83" s="354" t="str">
        <f>IFERROR(IF(V83=0,"",V83*$AJ$170/('製造(P)'!$K$190+'貯蔵・輸送(ST)'!$K$190+'供給(D)'!$K$190)),"")</f>
        <v/>
      </c>
      <c r="AC83" s="354" t="str">
        <f>IFERROR(IF(W83=0,"",W83*$AJ$170/('製造(P)'!$K$190+'貯蔵・輸送(ST)'!$K$190+'供給(D)'!$K$190)),"")</f>
        <v/>
      </c>
      <c r="AD83" s="778" t="str">
        <f>IFERROR(IF(X83=0,"",X83*$AJ$170/('製造(P)'!$K$190+'貯蔵・輸送(ST)'!$K$190+'供給(D)'!$K$190)),"")</f>
        <v/>
      </c>
      <c r="AE83" s="785"/>
      <c r="AF83" s="800"/>
      <c r="AG83" s="207"/>
      <c r="AH83" s="207"/>
      <c r="AI83" s="59"/>
      <c r="AJ83" s="492"/>
      <c r="AK83" s="213" t="s">
        <v>54</v>
      </c>
      <c r="AL83" s="59"/>
      <c r="AM83" s="59"/>
    </row>
    <row r="84" spans="2:39" ht="15" customHeight="1" thickBot="1">
      <c r="B84" s="336"/>
      <c r="C84" s="334"/>
      <c r="D84" s="242"/>
      <c r="E84" s="275" t="s">
        <v>7040</v>
      </c>
      <c r="F84" s="699"/>
      <c r="G84" s="696"/>
      <c r="H84" s="696"/>
      <c r="I84" s="696"/>
      <c r="J84" s="696"/>
      <c r="K84" s="279"/>
      <c r="L84" s="639" t="s">
        <v>192</v>
      </c>
      <c r="M84" s="152"/>
      <c r="N84" s="324"/>
      <c r="O84" s="264"/>
      <c r="P84" s="149"/>
      <c r="Q84" s="281"/>
      <c r="R84" s="282"/>
      <c r="S84" s="351"/>
      <c r="T84" s="351"/>
      <c r="U84" s="351"/>
      <c r="V84" s="351"/>
      <c r="W84" s="351"/>
      <c r="X84" s="241"/>
      <c r="Y84" s="806"/>
      <c r="Z84" s="806"/>
      <c r="AA84" s="806"/>
      <c r="AB84" s="806"/>
      <c r="AC84" s="806"/>
      <c r="AD84" s="783"/>
      <c r="AE84" s="782"/>
      <c r="AF84" s="806"/>
      <c r="AG84" s="207"/>
      <c r="AH84" s="207"/>
      <c r="AI84" s="59"/>
      <c r="AJ84" s="492"/>
      <c r="AK84" s="213"/>
      <c r="AL84" s="59"/>
      <c r="AM84" s="59"/>
    </row>
    <row r="85" spans="2:39" ht="15" customHeight="1" thickBot="1">
      <c r="B85" s="336"/>
      <c r="C85" s="334"/>
      <c r="D85" s="242"/>
      <c r="E85" s="242" t="s">
        <v>7032</v>
      </c>
      <c r="F85" s="645"/>
      <c r="G85" s="645"/>
      <c r="H85" s="645"/>
      <c r="I85" s="645"/>
      <c r="J85" s="645"/>
      <c r="K85" s="403"/>
      <c r="L85" s="639" t="s">
        <v>192</v>
      </c>
      <c r="M85" s="152"/>
      <c r="N85" s="324"/>
      <c r="O85" s="264"/>
      <c r="P85" s="149"/>
      <c r="Q85" s="281"/>
      <c r="R85" s="282"/>
      <c r="S85" s="351"/>
      <c r="T85" s="351"/>
      <c r="U85" s="351"/>
      <c r="V85" s="351"/>
      <c r="W85" s="351"/>
      <c r="X85" s="241"/>
      <c r="Y85" s="806"/>
      <c r="Z85" s="806"/>
      <c r="AA85" s="806"/>
      <c r="AB85" s="806"/>
      <c r="AC85" s="806"/>
      <c r="AD85" s="806"/>
      <c r="AE85" s="807"/>
      <c r="AF85" s="806"/>
      <c r="AG85" s="207"/>
      <c r="AH85" s="207"/>
      <c r="AI85" s="59"/>
      <c r="AJ85" s="492"/>
      <c r="AK85" s="213" t="s">
        <v>54</v>
      </c>
      <c r="AL85" s="59"/>
      <c r="AM85" s="59"/>
    </row>
    <row r="86" spans="2:39" ht="15" customHeight="1" thickBot="1">
      <c r="B86" s="336"/>
      <c r="C86" s="334"/>
      <c r="D86" s="242"/>
      <c r="E86" s="275" t="s">
        <v>7041</v>
      </c>
      <c r="F86" s="646"/>
      <c r="G86" s="646"/>
      <c r="H86" s="646"/>
      <c r="I86" s="646"/>
      <c r="J86" s="646"/>
      <c r="K86" s="279"/>
      <c r="L86" s="639" t="s">
        <v>7869</v>
      </c>
      <c r="M86" s="152"/>
      <c r="N86" s="324"/>
      <c r="O86" s="264"/>
      <c r="P86" s="149"/>
      <c r="Q86" s="281"/>
      <c r="R86" s="282"/>
      <c r="S86" s="351"/>
      <c r="T86" s="351"/>
      <c r="U86" s="351"/>
      <c r="V86" s="351"/>
      <c r="W86" s="351"/>
      <c r="X86" s="241"/>
      <c r="Y86" s="806"/>
      <c r="Z86" s="806"/>
      <c r="AA86" s="806"/>
      <c r="AB86" s="806"/>
      <c r="AC86" s="806"/>
      <c r="AD86" s="806"/>
      <c r="AE86" s="807"/>
      <c r="AF86" s="806"/>
      <c r="AG86" s="207"/>
      <c r="AH86" s="207"/>
      <c r="AI86" s="59"/>
      <c r="AJ86" s="492"/>
      <c r="AK86" s="213"/>
      <c r="AL86" s="59"/>
      <c r="AM86" s="59"/>
    </row>
    <row r="87" spans="2:39" ht="15" customHeight="1" thickBot="1">
      <c r="B87" s="337"/>
      <c r="C87" s="335"/>
      <c r="D87" s="276"/>
      <c r="E87" s="276" t="s">
        <v>7038</v>
      </c>
      <c r="F87" s="701">
        <v>3000</v>
      </c>
      <c r="G87" s="701"/>
      <c r="H87" s="701"/>
      <c r="I87" s="701"/>
      <c r="J87" s="701"/>
      <c r="K87" s="403"/>
      <c r="L87" s="639" t="s">
        <v>192</v>
      </c>
      <c r="M87" s="152"/>
      <c r="N87" s="324"/>
      <c r="O87" s="264"/>
      <c r="P87" s="149"/>
      <c r="Q87" s="281"/>
      <c r="R87" s="282"/>
      <c r="S87" s="351"/>
      <c r="T87" s="351"/>
      <c r="U87" s="351"/>
      <c r="V87" s="351"/>
      <c r="W87" s="351"/>
      <c r="X87" s="241"/>
      <c r="Y87" s="806"/>
      <c r="Z87" s="806"/>
      <c r="AA87" s="806"/>
      <c r="AB87" s="806"/>
      <c r="AC87" s="806"/>
      <c r="AD87" s="806"/>
      <c r="AE87" s="807"/>
      <c r="AF87" s="806"/>
      <c r="AG87" s="207"/>
      <c r="AH87" s="207"/>
      <c r="AI87" s="59"/>
      <c r="AJ87" s="492"/>
      <c r="AK87" s="213" t="s">
        <v>54</v>
      </c>
      <c r="AL87" s="59"/>
      <c r="AM87" s="59"/>
    </row>
    <row r="88" spans="2:39">
      <c r="B88" s="150"/>
      <c r="C88" s="150"/>
      <c r="D88" s="151"/>
      <c r="E88" s="151"/>
      <c r="F88" s="225"/>
      <c r="G88" s="225"/>
      <c r="H88" s="225"/>
      <c r="I88" s="225"/>
      <c r="J88" s="225"/>
      <c r="K88" s="152"/>
      <c r="L88" s="152"/>
      <c r="M88" s="152"/>
      <c r="N88" s="322"/>
      <c r="O88" s="153"/>
      <c r="P88" s="149"/>
      <c r="Q88" s="1014" t="s">
        <v>144</v>
      </c>
      <c r="R88" s="1015"/>
      <c r="S88" s="720">
        <f>SUM(S77,S79,S83)</f>
        <v>0</v>
      </c>
      <c r="T88" s="720">
        <f t="shared" ref="T88:W88" si="39">SUM(T77,T79,T83)</f>
        <v>0</v>
      </c>
      <c r="U88" s="720">
        <f t="shared" si="39"/>
        <v>0</v>
      </c>
      <c r="V88" s="720">
        <f t="shared" si="39"/>
        <v>0</v>
      </c>
      <c r="W88" s="720">
        <f t="shared" si="39"/>
        <v>0</v>
      </c>
      <c r="X88" s="720">
        <f t="shared" ref="X88" si="40">SUMIFS(X77:X87,V77:V87,H78)</f>
        <v>0</v>
      </c>
      <c r="Y88" s="354">
        <f>IFERROR(S88*$AJ$170/('製造(P)'!$K$190+'貯蔵・輸送(ST)'!$K$190+'供給(D)'!$K$190),"")</f>
        <v>0</v>
      </c>
      <c r="Z88" s="354">
        <f>IFERROR(T88*$AJ$170/('製造(P)'!$K$190+'貯蔵・輸送(ST)'!$K$190+'供給(D)'!$K$190),"")</f>
        <v>0</v>
      </c>
      <c r="AA88" s="354">
        <f>IFERROR(U88*$AJ$170/('製造(P)'!$K$190+'貯蔵・輸送(ST)'!$K$190+'供給(D)'!$K$190),"")</f>
        <v>0</v>
      </c>
      <c r="AB88" s="354">
        <f>IFERROR(V88*$AJ$170/('製造(P)'!$K$190+'貯蔵・輸送(ST)'!$K$190+'供給(D)'!$K$190),"")</f>
        <v>0</v>
      </c>
      <c r="AC88" s="354">
        <f>IFERROR(W88*$AJ$170/('製造(P)'!$K$190+'貯蔵・輸送(ST)'!$K$190+'供給(D)'!$K$190),"")</f>
        <v>0</v>
      </c>
      <c r="AD88" s="354">
        <f>IFERROR(X88*$AJ$170/('製造(P)'!$K$190+'貯蔵・輸送(ST)'!$K$190+'供給(D)'!$K$190),"")</f>
        <v>0</v>
      </c>
      <c r="AE88" s="784"/>
      <c r="AF88" s="796"/>
      <c r="AG88" s="59"/>
      <c r="AH88" s="59"/>
      <c r="AI88" s="59"/>
      <c r="AJ88" s="534"/>
      <c r="AK88" s="212"/>
      <c r="AL88" s="59"/>
      <c r="AM88" s="59"/>
    </row>
    <row r="89" spans="2:39" s="149" customFormat="1">
      <c r="F89" s="220"/>
      <c r="G89" s="220"/>
      <c r="H89" s="220"/>
      <c r="I89" s="220"/>
      <c r="J89" s="220"/>
      <c r="N89" s="320"/>
      <c r="S89" s="220"/>
      <c r="T89" s="220"/>
      <c r="U89" s="220"/>
      <c r="V89" s="220"/>
      <c r="W89" s="220"/>
      <c r="X89" s="220"/>
      <c r="Y89" s="355"/>
      <c r="Z89" s="355"/>
      <c r="AA89" s="355"/>
      <c r="AB89" s="355"/>
      <c r="AC89" s="355"/>
      <c r="AD89" s="355"/>
      <c r="AE89" s="805"/>
      <c r="AF89" s="805"/>
      <c r="AJ89" s="534"/>
      <c r="AK89" s="212"/>
    </row>
    <row r="90" spans="2:39">
      <c r="B90" s="915" t="s">
        <v>7777</v>
      </c>
      <c r="C90" s="915"/>
      <c r="D90" s="915"/>
      <c r="E90" s="915"/>
      <c r="F90" s="915"/>
      <c r="G90" s="915"/>
      <c r="H90" s="915"/>
      <c r="I90" s="915"/>
      <c r="J90" s="915"/>
      <c r="K90" s="915"/>
      <c r="L90" s="915"/>
      <c r="M90" s="915"/>
      <c r="N90" s="915"/>
      <c r="O90" s="915"/>
      <c r="P90" s="149"/>
      <c r="Q90" s="935" t="s">
        <v>7770</v>
      </c>
      <c r="R90" s="935"/>
      <c r="S90" s="935"/>
      <c r="T90" s="935"/>
      <c r="U90" s="935"/>
      <c r="V90" s="935"/>
      <c r="W90" s="935"/>
      <c r="X90" s="935"/>
      <c r="Y90" s="935"/>
      <c r="Z90" s="935"/>
      <c r="AA90" s="935"/>
      <c r="AB90" s="935"/>
      <c r="AC90" s="935"/>
      <c r="AD90" s="935"/>
      <c r="AE90" s="811"/>
      <c r="AF90" s="811"/>
      <c r="AG90" s="59"/>
      <c r="AH90" s="59"/>
      <c r="AI90" s="59"/>
      <c r="AJ90" s="492"/>
      <c r="AK90" s="213"/>
      <c r="AL90" s="59"/>
      <c r="AM90" s="59"/>
    </row>
    <row r="91" spans="2:39" s="149" customFormat="1">
      <c r="F91" s="220"/>
      <c r="G91" s="220"/>
      <c r="H91" s="220"/>
      <c r="I91" s="220"/>
      <c r="J91" s="220"/>
      <c r="N91" s="320"/>
      <c r="S91" s="220"/>
      <c r="T91" s="220"/>
      <c r="U91" s="220"/>
      <c r="V91" s="220"/>
      <c r="W91" s="220"/>
      <c r="X91" s="220"/>
      <c r="Y91" s="355"/>
      <c r="Z91" s="355"/>
      <c r="AA91" s="355"/>
      <c r="AB91" s="355"/>
      <c r="AC91" s="355"/>
      <c r="AD91" s="355"/>
      <c r="AE91" s="805"/>
      <c r="AF91" s="805"/>
      <c r="AG91" s="207"/>
      <c r="AH91" s="207"/>
      <c r="AI91" s="207"/>
      <c r="AJ91" s="534"/>
      <c r="AK91" s="212"/>
    </row>
    <row r="92" spans="2:39" ht="14.1" customHeight="1">
      <c r="B92" s="954" t="s">
        <v>7677</v>
      </c>
      <c r="C92" s="937"/>
      <c r="D92" s="937"/>
      <c r="E92" s="975"/>
      <c r="F92" s="938" t="s">
        <v>7669</v>
      </c>
      <c r="G92" s="939"/>
      <c r="H92" s="939"/>
      <c r="I92" s="939"/>
      <c r="J92" s="939"/>
      <c r="K92" s="940"/>
      <c r="L92" s="973" t="s">
        <v>136</v>
      </c>
      <c r="M92" s="943" t="s">
        <v>210</v>
      </c>
      <c r="N92" s="944"/>
      <c r="O92" s="945"/>
      <c r="P92" s="149"/>
      <c r="Q92" s="954" t="s">
        <v>161</v>
      </c>
      <c r="R92" s="975"/>
      <c r="S92" s="933" t="s">
        <v>7666</v>
      </c>
      <c r="T92" s="934"/>
      <c r="U92" s="934"/>
      <c r="V92" s="934"/>
      <c r="W92" s="934"/>
      <c r="X92" s="934"/>
      <c r="Y92" s="955" t="s">
        <v>7543</v>
      </c>
      <c r="Z92" s="956"/>
      <c r="AA92" s="956"/>
      <c r="AB92" s="956"/>
      <c r="AC92" s="956"/>
      <c r="AD92" s="956"/>
      <c r="AE92" s="906" t="s">
        <v>7921</v>
      </c>
      <c r="AF92" s="799"/>
      <c r="AG92" s="207"/>
      <c r="AH92" s="207"/>
      <c r="AI92" s="207"/>
      <c r="AJ92" s="1032" t="s">
        <v>210</v>
      </c>
      <c r="AK92" s="1033"/>
      <c r="AL92" s="59"/>
      <c r="AM92" s="59"/>
    </row>
    <row r="93" spans="2:39">
      <c r="B93" s="896"/>
      <c r="C93" s="897"/>
      <c r="D93" s="897"/>
      <c r="E93" s="898"/>
      <c r="F93" s="312" t="s">
        <v>6999</v>
      </c>
      <c r="G93" s="312" t="s">
        <v>7000</v>
      </c>
      <c r="H93" s="312" t="s">
        <v>7056</v>
      </c>
      <c r="I93" s="312" t="s">
        <v>7057</v>
      </c>
      <c r="J93" s="312" t="s">
        <v>7058</v>
      </c>
      <c r="K93" s="313" t="s">
        <v>7520</v>
      </c>
      <c r="L93" s="974"/>
      <c r="M93" s="946"/>
      <c r="N93" s="947"/>
      <c r="O93" s="948"/>
      <c r="P93" s="149"/>
      <c r="Q93" s="896"/>
      <c r="R93" s="898"/>
      <c r="S93" s="312" t="s">
        <v>6999</v>
      </c>
      <c r="T93" s="312" t="s">
        <v>7000</v>
      </c>
      <c r="U93" s="312" t="s">
        <v>7056</v>
      </c>
      <c r="V93" s="312" t="s">
        <v>7057</v>
      </c>
      <c r="W93" s="312" t="s">
        <v>7058</v>
      </c>
      <c r="X93" s="313" t="s">
        <v>7520</v>
      </c>
      <c r="Y93" s="312" t="s">
        <v>7870</v>
      </c>
      <c r="Z93" s="312" t="s">
        <v>7000</v>
      </c>
      <c r="AA93" s="312" t="s">
        <v>7056</v>
      </c>
      <c r="AB93" s="312" t="s">
        <v>7057</v>
      </c>
      <c r="AC93" s="312" t="s">
        <v>7058</v>
      </c>
      <c r="AD93" s="313" t="s">
        <v>7004</v>
      </c>
      <c r="AE93" s="906"/>
      <c r="AF93" s="799"/>
      <c r="AG93" s="207"/>
      <c r="AH93" s="207"/>
      <c r="AI93" s="207"/>
      <c r="AJ93" s="1034"/>
      <c r="AK93" s="1035"/>
      <c r="AL93" s="59"/>
      <c r="AM93" s="59"/>
    </row>
    <row r="94" spans="2:39">
      <c r="B94" s="980" t="s">
        <v>139</v>
      </c>
      <c r="C94" s="981"/>
      <c r="D94" s="147"/>
      <c r="E94" s="401" t="s">
        <v>138</v>
      </c>
      <c r="F94" s="691">
        <v>0</v>
      </c>
      <c r="G94" s="691">
        <v>0</v>
      </c>
      <c r="H94" s="691">
        <v>0</v>
      </c>
      <c r="I94" s="691">
        <v>0</v>
      </c>
      <c r="J94" s="691">
        <v>0</v>
      </c>
      <c r="K94" s="702">
        <f>SUM(F94:J94)</f>
        <v>0</v>
      </c>
      <c r="L94" s="639" t="s">
        <v>192</v>
      </c>
      <c r="M94" s="479" t="str">
        <f>VLOOKUP(AH94,IDEAv2原単位!$A$3:$F$4021,2,FALSE)</f>
        <v>下水道処理サービス</v>
      </c>
      <c r="N94" s="486">
        <f>VLOOKUP($AH94,IDEAv2原単位!$A$3:$F$4021,6,FALSE)</f>
        <v>0.5215403491732874</v>
      </c>
      <c r="O94" s="213" t="s">
        <v>140</v>
      </c>
      <c r="P94" s="149"/>
      <c r="Q94" s="62" t="s">
        <v>139</v>
      </c>
      <c r="R94" s="65"/>
      <c r="S94" s="715">
        <f>IFERROR(F94*$N94,0)</f>
        <v>0</v>
      </c>
      <c r="T94" s="715">
        <f t="shared" ref="T94:W97" si="41">IFERROR(G94*$N94,0)</f>
        <v>0</v>
      </c>
      <c r="U94" s="715">
        <f t="shared" si="41"/>
        <v>0</v>
      </c>
      <c r="V94" s="715">
        <f t="shared" si="41"/>
        <v>0</v>
      </c>
      <c r="W94" s="715">
        <f t="shared" si="41"/>
        <v>0</v>
      </c>
      <c r="X94" s="705">
        <f>SUM(S94:W94)</f>
        <v>0</v>
      </c>
      <c r="Y94" s="354" t="str">
        <f>IFERROR(IF(S94=0,"",S94*$AJ$170/('製造(P)'!$K$190+'貯蔵・輸送(ST)'!$K$190+'供給(D)'!$K$190)),"")</f>
        <v/>
      </c>
      <c r="Z94" s="354" t="str">
        <f>IFERROR(IF(T94=0,"",T94*$AJ$170/('製造(P)'!$K$190+'貯蔵・輸送(ST)'!$K$190+'供給(D)'!$K$190)),"")</f>
        <v/>
      </c>
      <c r="AA94" s="354" t="str">
        <f>IFERROR(IF(U94=0,"",U94*$AJ$170/('製造(P)'!$K$190+'貯蔵・輸送(ST)'!$K$190+'供給(D)'!$K$190)),"")</f>
        <v/>
      </c>
      <c r="AB94" s="354" t="str">
        <f>IFERROR(IF(V94=0,"",V94*$AJ$170/('製造(P)'!$K$190+'貯蔵・輸送(ST)'!$K$190+'供給(D)'!$K$190)),"")</f>
        <v/>
      </c>
      <c r="AC94" s="354" t="str">
        <f>IFERROR(IF(W94=0,"",W94*$AJ$170/('製造(P)'!$K$190+'貯蔵・輸送(ST)'!$K$190+'供給(D)'!$K$190)),"")</f>
        <v/>
      </c>
      <c r="AD94" s="778" t="str">
        <f>IFERROR(IF(X94=0,"",X94*$AJ$170/('製造(P)'!$K$190+'貯蔵・輸送(ST)'!$K$190+'供給(D)'!$K$190)),"")</f>
        <v/>
      </c>
      <c r="AE94" s="685"/>
      <c r="AF94" s="787"/>
      <c r="AG94" s="207" t="s">
        <v>139</v>
      </c>
      <c r="AH94" s="207">
        <v>851811000</v>
      </c>
      <c r="AI94" s="207"/>
      <c r="AJ94" s="538">
        <f>VLOOKUP($AH94,IDEAv2原単位!$A$3:$F$4021,6,FALSE)</f>
        <v>0.5215403491732874</v>
      </c>
      <c r="AK94" s="213" t="s">
        <v>140</v>
      </c>
      <c r="AL94" s="59"/>
      <c r="AM94" s="59"/>
    </row>
    <row r="95" spans="2:39" ht="13.8" thickBot="1">
      <c r="B95" s="338"/>
      <c r="C95" s="339"/>
      <c r="D95" s="647"/>
      <c r="E95" s="63" t="str">
        <f>IF(D95="","","[kg]")</f>
        <v/>
      </c>
      <c r="F95" s="691">
        <v>0</v>
      </c>
      <c r="G95" s="691">
        <v>0</v>
      </c>
      <c r="H95" s="691">
        <v>0</v>
      </c>
      <c r="I95" s="691">
        <v>0</v>
      </c>
      <c r="J95" s="691">
        <v>0</v>
      </c>
      <c r="K95" s="702">
        <f>SUM(F95:J95)</f>
        <v>0</v>
      </c>
      <c r="L95" s="639" t="s">
        <v>192</v>
      </c>
      <c r="M95" s="479" t="str">
        <f>IFERROR(VLOOKUP(AH95,IDEAv2原単位!$A$3:$F$4021,2,FALSE),"")</f>
        <v/>
      </c>
      <c r="N95" s="486" t="str">
        <f>IFERROR(VLOOKUP($AH95,IDEAv2原単位!$A$3:$F$4021,6,FALSE),"")</f>
        <v/>
      </c>
      <c r="O95" s="315" t="str">
        <f>IF(D95="","","[kgCO2/kg] ")</f>
        <v/>
      </c>
      <c r="P95" s="149"/>
      <c r="Q95" s="910" t="str">
        <f>IF(D95="","",D95)</f>
        <v/>
      </c>
      <c r="R95" s="911"/>
      <c r="S95" s="715">
        <f t="shared" ref="S95:S97" si="42">IFERROR(F95*$N95,0)</f>
        <v>0</v>
      </c>
      <c r="T95" s="715">
        <f t="shared" si="41"/>
        <v>0</v>
      </c>
      <c r="U95" s="715">
        <f t="shared" si="41"/>
        <v>0</v>
      </c>
      <c r="V95" s="715">
        <f t="shared" si="41"/>
        <v>0</v>
      </c>
      <c r="W95" s="715">
        <f t="shared" si="41"/>
        <v>0</v>
      </c>
      <c r="X95" s="705">
        <f>SUM(S95:W95)</f>
        <v>0</v>
      </c>
      <c r="Y95" s="354" t="str">
        <f>IFERROR(IF(S95=0,"",S95*$AJ$170/('製造(P)'!$K$190+'貯蔵・輸送(ST)'!$K$190+'供給(D)'!$K$190)),"")</f>
        <v/>
      </c>
      <c r="Z95" s="354" t="str">
        <f>IFERROR(IF(T95=0,"",T95*$AJ$170/('製造(P)'!$K$190+'貯蔵・輸送(ST)'!$K$190+'供給(D)'!$K$190)),"")</f>
        <v/>
      </c>
      <c r="AA95" s="354" t="str">
        <f>IFERROR(IF(U95=0,"",U95*$AJ$170/('製造(P)'!$K$190+'貯蔵・輸送(ST)'!$K$190+'供給(D)'!$K$190)),"")</f>
        <v/>
      </c>
      <c r="AB95" s="354" t="str">
        <f>IFERROR(IF(V95=0,"",V95*$AJ$170/('製造(P)'!$K$190+'貯蔵・輸送(ST)'!$K$190+'供給(D)'!$K$190)),"")</f>
        <v/>
      </c>
      <c r="AC95" s="354" t="str">
        <f>IFERROR(IF(W95=0,"",W95*$AJ$170/('製造(P)'!$K$190+'貯蔵・輸送(ST)'!$K$190+'供給(D)'!$K$190)),"")</f>
        <v/>
      </c>
      <c r="AD95" s="778" t="str">
        <f>IFERROR(IF(X95=0,"",X95*$AJ$170/('製造(P)'!$K$190+'貯蔵・輸送(ST)'!$K$190+'供給(D)'!$K$190)),"")</f>
        <v/>
      </c>
      <c r="AE95" s="685"/>
      <c r="AF95" s="787"/>
      <c r="AG95" s="207"/>
      <c r="AH95" s="207" t="str">
        <f>IF(D95="燃え殻",852200201,IF(D95="汚泥",852200202,IF(D95="廃油",852200203,IF(D95="廃酸",852200204,IF(D95="廃アルカリ",852200205,IF(D95="廃プラスチック類",852200206,IF(D95="紙くず",852200207,IF(D95="木くず",852200208,IF(D95="繊維くず",852200209,IF(D95="動植物性残渣",852200210,IF(D95="ゴムくず",852200211,IF(D95="金属くず",852200212,IF(D95="ガラス・陶磁器くず",852200213,IF(D95="鉱さい",852200214,IF(D95="がれき類",852200215,IF(D95="動物のふん尿",852200216,IF(D95="動物の死体",852200217,IF(D95="ばいじん",852200218,IF(D95="埋立",852211000,"")))))))))))))))))))</f>
        <v/>
      </c>
      <c r="AI95" s="207"/>
      <c r="AJ95" s="538" t="e">
        <f>VLOOKUP($AH95,IDEAv2原単位!$A$3:$F$4021,6,FALSE)</f>
        <v>#N/A</v>
      </c>
      <c r="AK95" s="213" t="s">
        <v>54</v>
      </c>
      <c r="AL95" s="59"/>
      <c r="AM95" s="59"/>
    </row>
    <row r="96" spans="2:39" ht="13.8" thickBot="1">
      <c r="B96" s="978" t="s">
        <v>165</v>
      </c>
      <c r="C96" s="982"/>
      <c r="D96" s="648"/>
      <c r="E96" s="63" t="str">
        <f>IF(D96="","","[kg]")</f>
        <v/>
      </c>
      <c r="F96" s="691">
        <v>0</v>
      </c>
      <c r="G96" s="691">
        <v>0</v>
      </c>
      <c r="H96" s="691">
        <v>0</v>
      </c>
      <c r="I96" s="691">
        <v>0</v>
      </c>
      <c r="J96" s="691">
        <v>0</v>
      </c>
      <c r="K96" s="702">
        <f>SUM(F96:J96)</f>
        <v>0</v>
      </c>
      <c r="L96" s="639" t="s">
        <v>192</v>
      </c>
      <c r="M96" s="479" t="str">
        <f>IFERROR(VLOOKUP(AH96,IDEAv2原単位!$A$3:$F$4021,2,FALSE),"")</f>
        <v/>
      </c>
      <c r="N96" s="486" t="str">
        <f>IFERROR(VLOOKUP($AH96,IDEAv2原単位!$A$3:$F$4021,6,FALSE),"")</f>
        <v/>
      </c>
      <c r="O96" s="315" t="str">
        <f>IF(D96="","","[kgCO2/kg] ")</f>
        <v/>
      </c>
      <c r="P96" s="149"/>
      <c r="Q96" s="910" t="str">
        <f t="shared" ref="Q96:Q97" si="43">IF(D96="","",D96)</f>
        <v/>
      </c>
      <c r="R96" s="911"/>
      <c r="S96" s="715">
        <f t="shared" si="42"/>
        <v>0</v>
      </c>
      <c r="T96" s="715">
        <f t="shared" si="41"/>
        <v>0</v>
      </c>
      <c r="U96" s="715">
        <f t="shared" si="41"/>
        <v>0</v>
      </c>
      <c r="V96" s="715">
        <f t="shared" si="41"/>
        <v>0</v>
      </c>
      <c r="W96" s="715">
        <f t="shared" si="41"/>
        <v>0</v>
      </c>
      <c r="X96" s="705">
        <f>SUM(S96:W96)</f>
        <v>0</v>
      </c>
      <c r="Y96" s="354" t="str">
        <f>IFERROR(IF(S96=0,"",S96*$AJ$170/('製造(P)'!$K$190+'貯蔵・輸送(ST)'!$K$190+'供給(D)'!$K$190)),"")</f>
        <v/>
      </c>
      <c r="Z96" s="354" t="str">
        <f>IFERROR(IF(T96=0,"",T96*$AJ$170/('製造(P)'!$K$190+'貯蔵・輸送(ST)'!$K$190+'供給(D)'!$K$190)),"")</f>
        <v/>
      </c>
      <c r="AA96" s="354" t="str">
        <f>IFERROR(IF(U96=0,"",U96*$AJ$170/('製造(P)'!$K$190+'貯蔵・輸送(ST)'!$K$190+'供給(D)'!$K$190)),"")</f>
        <v/>
      </c>
      <c r="AB96" s="354" t="str">
        <f>IFERROR(IF(V96=0,"",V96*$AJ$170/('製造(P)'!$K$190+'貯蔵・輸送(ST)'!$K$190+'供給(D)'!$K$190)),"")</f>
        <v/>
      </c>
      <c r="AC96" s="354" t="str">
        <f>IFERROR(IF(W96=0,"",W96*$AJ$170/('製造(P)'!$K$190+'貯蔵・輸送(ST)'!$K$190+'供給(D)'!$K$190)),"")</f>
        <v/>
      </c>
      <c r="AD96" s="778" t="str">
        <f>IFERROR(IF(X96=0,"",X96*$AJ$170/('製造(P)'!$K$190+'貯蔵・輸送(ST)'!$K$190+'供給(D)'!$K$190)),"")</f>
        <v/>
      </c>
      <c r="AE96" s="685"/>
      <c r="AF96" s="787"/>
      <c r="AG96" s="207" t="s">
        <v>6941</v>
      </c>
      <c r="AH96" s="207" t="str">
        <f>IF(D96="燃え殻",852200201,IF(D96="汚泥",852200202,IF(D96="廃油",852200203,IF(D96="廃酸",852200204,IF(D96="廃アルカリ",852200205,IF(D96="廃プラスチック類",852200206,IF(D96="紙くず",852200207,IF(D96="木くず",852200208,IF(D96="繊維くず",852200209,IF(D96="動植物性残渣",852200210,IF(D96="ゴムくず",852200211,IF(D96="金属くず",852200212,IF(D96="ガラス・陶磁器くず",852200213,IF(D96="鉱さい",852200214,IF(D96="がれき類",852200215,IF(D96="動物のふん尿",852200216,IF(D96="動物の死体",852200217,IF(D96="ばいじん",852200218,IF(D96="埋立",852211000,"")))))))))))))))))))</f>
        <v/>
      </c>
      <c r="AI96" s="207"/>
      <c r="AJ96" s="538" t="e">
        <f>VLOOKUP($AH96,IDEAv2原単位!$A$3:$F$4021,6,FALSE)</f>
        <v>#N/A</v>
      </c>
      <c r="AK96" s="213" t="s">
        <v>54</v>
      </c>
      <c r="AL96" s="59"/>
      <c r="AM96" s="59"/>
    </row>
    <row r="97" spans="2:39" ht="13.8" thickBot="1">
      <c r="B97" s="70"/>
      <c r="C97" s="340"/>
      <c r="D97" s="648"/>
      <c r="E97" s="63" t="str">
        <f>IF(D97="","","[kg]")</f>
        <v/>
      </c>
      <c r="F97" s="691">
        <v>0</v>
      </c>
      <c r="G97" s="691">
        <v>0</v>
      </c>
      <c r="H97" s="691">
        <v>0</v>
      </c>
      <c r="I97" s="691">
        <v>0</v>
      </c>
      <c r="J97" s="691">
        <v>0</v>
      </c>
      <c r="K97" s="702">
        <f>SUM(F97:J97)</f>
        <v>0</v>
      </c>
      <c r="L97" s="639" t="s">
        <v>192</v>
      </c>
      <c r="M97" s="479" t="str">
        <f>IFERROR(VLOOKUP(AH97,IDEAv2原単位!$A$3:$F$4021,2,FALSE),"")</f>
        <v/>
      </c>
      <c r="N97" s="490" t="str">
        <f>IFERROR(VLOOKUP($AH97,IDEAv2原単位!$A$3:$F$4021,6,FALSE),"")</f>
        <v/>
      </c>
      <c r="O97" s="315" t="str">
        <f>IF(D97="","","[kgCO2/kg] ")</f>
        <v/>
      </c>
      <c r="P97" s="149"/>
      <c r="Q97" s="910" t="str">
        <f t="shared" si="43"/>
        <v/>
      </c>
      <c r="R97" s="911"/>
      <c r="S97" s="715">
        <f t="shared" si="42"/>
        <v>0</v>
      </c>
      <c r="T97" s="715">
        <f t="shared" si="41"/>
        <v>0</v>
      </c>
      <c r="U97" s="715">
        <f t="shared" si="41"/>
        <v>0</v>
      </c>
      <c r="V97" s="715">
        <f t="shared" si="41"/>
        <v>0</v>
      </c>
      <c r="W97" s="715">
        <f t="shared" si="41"/>
        <v>0</v>
      </c>
      <c r="X97" s="705">
        <f>SUM(S97:W97)</f>
        <v>0</v>
      </c>
      <c r="Y97" s="354" t="str">
        <f>IFERROR(IF(S97=0,"",S97*$AJ$170/('製造(P)'!$K$190+'貯蔵・輸送(ST)'!$K$190+'供給(D)'!$K$190)),"")</f>
        <v/>
      </c>
      <c r="Z97" s="354" t="str">
        <f>IFERROR(IF(T97=0,"",T97*$AJ$170/('製造(P)'!$K$190+'貯蔵・輸送(ST)'!$K$190+'供給(D)'!$K$190)),"")</f>
        <v/>
      </c>
      <c r="AA97" s="354" t="str">
        <f>IFERROR(IF(U97=0,"",U97*$AJ$170/('製造(P)'!$K$190+'貯蔵・輸送(ST)'!$K$190+'供給(D)'!$K$190)),"")</f>
        <v/>
      </c>
      <c r="AB97" s="354" t="str">
        <f>IFERROR(IF(V97=0,"",V97*$AJ$170/('製造(P)'!$K$190+'貯蔵・輸送(ST)'!$K$190+'供給(D)'!$K$190)),"")</f>
        <v/>
      </c>
      <c r="AC97" s="354" t="str">
        <f>IFERROR(IF(W97=0,"",W97*$AJ$170/('製造(P)'!$K$190+'貯蔵・輸送(ST)'!$K$190+'供給(D)'!$K$190)),"")</f>
        <v/>
      </c>
      <c r="AD97" s="778" t="str">
        <f>IFERROR(IF(X97=0,"",X97*$AJ$170/('製造(P)'!$K$190+'貯蔵・輸送(ST)'!$K$190+'供給(D)'!$K$190)),"")</f>
        <v/>
      </c>
      <c r="AE97" s="685"/>
      <c r="AF97" s="787"/>
      <c r="AG97" s="207"/>
      <c r="AH97" s="207" t="str">
        <f>IF(D97="燃え殻",852200201,IF(D97="汚泥",852200202,IF(D97="廃油",852200203,IF(D97="廃酸",852200204,IF(D97="廃アルカリ",852200205,IF(D97="廃プラスチック類",852200206,IF(D97="紙くず",852200207,IF(D97="木くず",852200208,IF(D97="繊維くず",852200209,IF(D97="動植物性残渣",852200210,IF(D97="ゴムくず",852200211,IF(D97="金属くず",852200212,IF(D97="ガラス・陶磁器くず",852200213,IF(D97="鉱さい",852200214,IF(D97="がれき類",852200215,IF(D97="動物のふん尿",852200216,IF(D97="動物の死体",852200217,IF(D97="ばいじん",852200218,IF(D97="埋立",852211000,"")))))))))))))))))))</f>
        <v/>
      </c>
      <c r="AI97" s="207"/>
      <c r="AJ97" s="538" t="e">
        <f>VLOOKUP($AH97,IDEAv2原単位!$A$3:$F$4021,6,FALSE)</f>
        <v>#N/A</v>
      </c>
      <c r="AK97" s="213" t="s">
        <v>54</v>
      </c>
      <c r="AL97" s="59"/>
      <c r="AM97" s="59"/>
    </row>
    <row r="98" spans="2:39">
      <c r="B98" s="153"/>
      <c r="C98" s="153"/>
      <c r="D98" s="153"/>
      <c r="E98" s="150"/>
      <c r="F98" s="225"/>
      <c r="G98" s="225"/>
      <c r="H98" s="225"/>
      <c r="I98" s="225"/>
      <c r="J98" s="225"/>
      <c r="K98" s="152"/>
      <c r="L98" s="152"/>
      <c r="M98" s="152"/>
      <c r="N98" s="322"/>
      <c r="O98" s="153"/>
      <c r="P98" s="149"/>
      <c r="Q98" s="147" t="s">
        <v>144</v>
      </c>
      <c r="R98" s="148"/>
      <c r="S98" s="716">
        <f>SUM(S94:S97)</f>
        <v>0</v>
      </c>
      <c r="T98" s="716">
        <f t="shared" ref="T98:X98" si="44">SUM(T94:T97)</f>
        <v>0</v>
      </c>
      <c r="U98" s="716">
        <f t="shared" si="44"/>
        <v>0</v>
      </c>
      <c r="V98" s="716">
        <f t="shared" si="44"/>
        <v>0</v>
      </c>
      <c r="W98" s="716">
        <f t="shared" si="44"/>
        <v>0</v>
      </c>
      <c r="X98" s="716">
        <f t="shared" si="44"/>
        <v>0</v>
      </c>
      <c r="Y98" s="354">
        <f>IFERROR(S98*$AJ$170/('製造(P)'!$K$190+'貯蔵・輸送(ST)'!$K$190+'供給(D)'!$K$190),"")</f>
        <v>0</v>
      </c>
      <c r="Z98" s="354">
        <f>IFERROR(T98*$AJ$170/('製造(P)'!$K$190+'貯蔵・輸送(ST)'!$K$190+'供給(D)'!$K$190),"")</f>
        <v>0</v>
      </c>
      <c r="AA98" s="354">
        <f>IFERROR(U98*$AJ$170/('製造(P)'!$K$190+'貯蔵・輸送(ST)'!$K$190+'供給(D)'!$K$190),"")</f>
        <v>0</v>
      </c>
      <c r="AB98" s="354">
        <f>IFERROR(V98*$AJ$170/('製造(P)'!$K$190+'貯蔵・輸送(ST)'!$K$190+'供給(D)'!$K$190),"")</f>
        <v>0</v>
      </c>
      <c r="AC98" s="354">
        <f>IFERROR(W98*$AJ$170/('製造(P)'!$K$190+'貯蔵・輸送(ST)'!$K$190+'供給(D)'!$K$190),"")</f>
        <v>0</v>
      </c>
      <c r="AD98" s="354">
        <f>IFERROR(X98*$AJ$170/('製造(P)'!$K$190+'貯蔵・輸送(ST)'!$K$190+'供給(D)'!$K$190),"")</f>
        <v>0</v>
      </c>
      <c r="AE98" s="796"/>
      <c r="AF98" s="796"/>
      <c r="AG98" s="207"/>
      <c r="AH98" s="207"/>
      <c r="AI98" s="207"/>
      <c r="AJ98" s="534"/>
      <c r="AK98" s="212"/>
      <c r="AL98" s="59"/>
      <c r="AM98" s="59"/>
    </row>
    <row r="99" spans="2:39" s="149" customFormat="1">
      <c r="B99" s="153"/>
      <c r="C99" s="153"/>
      <c r="D99" s="153"/>
      <c r="E99" s="150"/>
      <c r="F99" s="225"/>
      <c r="G99" s="225"/>
      <c r="H99" s="225"/>
      <c r="I99" s="225"/>
      <c r="J99" s="225"/>
      <c r="K99" s="152"/>
      <c r="L99" s="152"/>
      <c r="M99" s="152"/>
      <c r="N99" s="322"/>
      <c r="O99" s="153"/>
      <c r="Q99" s="150"/>
      <c r="R99" s="150"/>
      <c r="S99" s="241"/>
      <c r="T99" s="241"/>
      <c r="U99" s="241"/>
      <c r="V99" s="241"/>
      <c r="W99" s="241"/>
      <c r="X99" s="241"/>
      <c r="Y99" s="356"/>
      <c r="Z99" s="356"/>
      <c r="AA99" s="356"/>
      <c r="AB99" s="356"/>
      <c r="AC99" s="356"/>
      <c r="AD99" s="356"/>
      <c r="AE99" s="806"/>
      <c r="AF99" s="806"/>
      <c r="AG99" s="242"/>
      <c r="AH99" s="242"/>
      <c r="AI99" s="242"/>
      <c r="AJ99" s="534"/>
      <c r="AK99" s="212"/>
    </row>
    <row r="100" spans="2:39">
      <c r="B100" s="915" t="s">
        <v>7776</v>
      </c>
      <c r="C100" s="915"/>
      <c r="D100" s="915"/>
      <c r="E100" s="915"/>
      <c r="F100" s="915"/>
      <c r="G100" s="915"/>
      <c r="H100" s="915"/>
      <c r="I100" s="915"/>
      <c r="J100" s="915"/>
      <c r="K100" s="915"/>
      <c r="L100" s="915"/>
      <c r="M100" s="915"/>
      <c r="N100" s="915"/>
      <c r="O100" s="915"/>
      <c r="P100" s="149"/>
      <c r="Q100" s="935" t="s">
        <v>7771</v>
      </c>
      <c r="R100" s="935"/>
      <c r="S100" s="935"/>
      <c r="T100" s="935"/>
      <c r="U100" s="935"/>
      <c r="V100" s="935"/>
      <c r="W100" s="935"/>
      <c r="X100" s="935"/>
      <c r="Y100" s="935"/>
      <c r="Z100" s="935"/>
      <c r="AA100" s="935"/>
      <c r="AB100" s="935"/>
      <c r="AC100" s="935"/>
      <c r="AD100" s="935"/>
      <c r="AE100" s="811"/>
      <c r="AF100" s="811"/>
      <c r="AG100" s="207"/>
      <c r="AH100" s="207"/>
      <c r="AI100" s="207"/>
      <c r="AJ100" s="214"/>
      <c r="AK100" s="214"/>
      <c r="AL100" s="59"/>
      <c r="AM100" s="59"/>
    </row>
    <row r="101" spans="2:39" s="149" customFormat="1">
      <c r="F101" s="220"/>
      <c r="G101" s="220"/>
      <c r="H101" s="220"/>
      <c r="I101" s="220"/>
      <c r="J101" s="220"/>
      <c r="N101" s="320"/>
      <c r="S101" s="220"/>
      <c r="T101" s="220"/>
      <c r="U101" s="220"/>
      <c r="V101" s="220"/>
      <c r="W101" s="220"/>
      <c r="X101" s="220"/>
      <c r="Y101" s="355"/>
      <c r="Z101" s="355"/>
      <c r="AA101" s="355"/>
      <c r="AB101" s="355"/>
      <c r="AC101" s="355"/>
      <c r="AD101" s="355"/>
      <c r="AE101" s="805"/>
      <c r="AF101" s="805"/>
      <c r="AG101" s="207"/>
      <c r="AH101" s="207"/>
      <c r="AI101" s="207"/>
      <c r="AJ101" s="534"/>
      <c r="AK101" s="212"/>
    </row>
    <row r="102" spans="2:39" ht="14.1" customHeight="1">
      <c r="B102" s="890" t="s">
        <v>7663</v>
      </c>
      <c r="C102" s="937"/>
      <c r="D102" s="891"/>
      <c r="E102" s="892"/>
      <c r="F102" s="938" t="s">
        <v>7669</v>
      </c>
      <c r="G102" s="939"/>
      <c r="H102" s="939"/>
      <c r="I102" s="939"/>
      <c r="J102" s="939"/>
      <c r="K102" s="940"/>
      <c r="L102" s="955" t="s">
        <v>7871</v>
      </c>
      <c r="M102" s="956"/>
      <c r="N102" s="956" t="s">
        <v>7446</v>
      </c>
      <c r="O102" s="956"/>
      <c r="P102" s="149"/>
      <c r="Q102" s="954" t="s">
        <v>5438</v>
      </c>
      <c r="R102" s="975"/>
      <c r="S102" s="933" t="s">
        <v>7666</v>
      </c>
      <c r="T102" s="934"/>
      <c r="U102" s="934"/>
      <c r="V102" s="934"/>
      <c r="W102" s="934"/>
      <c r="X102" s="934"/>
      <c r="Y102" s="955" t="s">
        <v>7543</v>
      </c>
      <c r="Z102" s="956"/>
      <c r="AA102" s="956"/>
      <c r="AB102" s="956"/>
      <c r="AC102" s="956"/>
      <c r="AD102" s="956"/>
      <c r="AE102" s="810"/>
      <c r="AF102" s="810"/>
      <c r="AG102" s="207"/>
      <c r="AH102" s="207"/>
      <c r="AI102" s="207"/>
      <c r="AJ102" s="1019" t="s">
        <v>210</v>
      </c>
      <c r="AK102" s="1019"/>
      <c r="AL102" s="59"/>
      <c r="AM102" s="59"/>
    </row>
    <row r="103" spans="2:39" ht="13.8" thickBot="1">
      <c r="B103" s="893"/>
      <c r="C103" s="894"/>
      <c r="D103" s="894"/>
      <c r="E103" s="898"/>
      <c r="F103" s="312" t="s">
        <v>7872</v>
      </c>
      <c r="G103" s="312" t="s">
        <v>7873</v>
      </c>
      <c r="H103" s="312" t="s">
        <v>7056</v>
      </c>
      <c r="I103" s="312" t="s">
        <v>7057</v>
      </c>
      <c r="J103" s="312" t="s">
        <v>7058</v>
      </c>
      <c r="K103" s="313" t="s">
        <v>7520</v>
      </c>
      <c r="L103" s="956"/>
      <c r="M103" s="956"/>
      <c r="N103" s="956"/>
      <c r="O103" s="956"/>
      <c r="P103" s="149"/>
      <c r="Q103" s="896"/>
      <c r="R103" s="898"/>
      <c r="S103" s="312" t="s">
        <v>7874</v>
      </c>
      <c r="T103" s="312" t="s">
        <v>7875</v>
      </c>
      <c r="U103" s="312" t="s">
        <v>7056</v>
      </c>
      <c r="V103" s="312" t="s">
        <v>7057</v>
      </c>
      <c r="W103" s="312" t="s">
        <v>7058</v>
      </c>
      <c r="X103" s="313" t="s">
        <v>7520</v>
      </c>
      <c r="Y103" s="312" t="s">
        <v>7876</v>
      </c>
      <c r="Z103" s="312" t="s">
        <v>7875</v>
      </c>
      <c r="AA103" s="312" t="s">
        <v>7056</v>
      </c>
      <c r="AB103" s="312" t="s">
        <v>7057</v>
      </c>
      <c r="AC103" s="312" t="s">
        <v>7058</v>
      </c>
      <c r="AD103" s="797" t="s">
        <v>7004</v>
      </c>
      <c r="AE103" s="364"/>
      <c r="AF103" s="364"/>
      <c r="AG103" s="207"/>
      <c r="AH103" s="207"/>
      <c r="AI103" s="207"/>
      <c r="AJ103" s="1019"/>
      <c r="AK103" s="1019"/>
      <c r="AL103" s="59"/>
      <c r="AM103" s="59"/>
    </row>
    <row r="104" spans="2:39" ht="13.8" thickBot="1">
      <c r="B104" s="907" t="s">
        <v>7926</v>
      </c>
      <c r="C104" s="908"/>
      <c r="D104" s="909"/>
      <c r="E104" s="63" t="str">
        <f>IF(B104="","","[kg]")</f>
        <v>[kg]</v>
      </c>
      <c r="F104" s="691">
        <v>0</v>
      </c>
      <c r="G104" s="691">
        <v>0</v>
      </c>
      <c r="H104" s="691">
        <v>0</v>
      </c>
      <c r="I104" s="691">
        <v>0</v>
      </c>
      <c r="J104" s="691">
        <v>0</v>
      </c>
      <c r="K104" s="702">
        <f>SUM(F104:J104)</f>
        <v>0</v>
      </c>
      <c r="L104" s="912" t="s">
        <v>7832</v>
      </c>
      <c r="M104" s="913"/>
      <c r="N104" s="613">
        <f>IFERROR(VLOOKUP($B104,GWP!$A$4:$D$36,4,FALSE),"")</f>
        <v>1</v>
      </c>
      <c r="O104" s="227" t="str">
        <f>IF(E104="","","[kgCO2/kg] ")</f>
        <v xml:space="preserve">[kgCO2/kg] </v>
      </c>
      <c r="P104" s="149"/>
      <c r="Q104" s="910" t="str">
        <f t="shared" ref="Q104:Q106" si="45">IF(B104="","",B104)</f>
        <v>二酸化炭素 (CO2)</v>
      </c>
      <c r="R104" s="911"/>
      <c r="S104" s="715">
        <f>IFERROR(F104*$N104,0)</f>
        <v>0</v>
      </c>
      <c r="T104" s="715">
        <f t="shared" ref="T104:W106" si="46">IFERROR(G104*$N104,0)</f>
        <v>0</v>
      </c>
      <c r="U104" s="715">
        <f t="shared" si="46"/>
        <v>0</v>
      </c>
      <c r="V104" s="715">
        <f t="shared" si="46"/>
        <v>0</v>
      </c>
      <c r="W104" s="715">
        <f t="shared" si="46"/>
        <v>0</v>
      </c>
      <c r="X104" s="705">
        <f>SUM(S104:W104)</f>
        <v>0</v>
      </c>
      <c r="Y104" s="354" t="str">
        <f>IFERROR(IF(S104=0,"",S104*$AJ$170/('製造(P)'!$K$190+'貯蔵・輸送(ST)'!$K$190+'供給(D)'!$K$190)),"")</f>
        <v/>
      </c>
      <c r="Z104" s="354" t="str">
        <f>IFERROR(IF(T104=0,"",T104*$AJ$170/('製造(P)'!$K$190+'貯蔵・輸送(ST)'!$K$190+'供給(D)'!$K$190)),"")</f>
        <v/>
      </c>
      <c r="AA104" s="354" t="str">
        <f>IFERROR(IF(U104=0,"",U104*$AJ$170/('製造(P)'!$K$190+'貯蔵・輸送(ST)'!$K$190+'供給(D)'!$K$190)),"")</f>
        <v/>
      </c>
      <c r="AB104" s="354" t="str">
        <f>IFERROR(IF(V104=0,"",V104*$AJ$170/('製造(P)'!$K$190+'貯蔵・輸送(ST)'!$K$190+'供給(D)'!$K$190)),"")</f>
        <v/>
      </c>
      <c r="AC104" s="354" t="str">
        <f>IFERROR(IF(W104=0,"",W104*$AJ$170/('製造(P)'!$K$190+'貯蔵・輸送(ST)'!$K$190+'供給(D)'!$K$190)),"")</f>
        <v/>
      </c>
      <c r="AD104" s="778" t="str">
        <f>IFERROR(IF(X104=0,"",X104*$AJ$170/('製造(P)'!$K$190+'貯蔵・輸送(ST)'!$K$190+'供給(D)'!$K$190)),"")</f>
        <v/>
      </c>
      <c r="AE104" s="806"/>
      <c r="AF104" s="806"/>
      <c r="AG104" s="207"/>
      <c r="AH104" s="207"/>
      <c r="AI104" s="207"/>
      <c r="AJ104" s="491">
        <f>VLOOKUP($B104,GWP!$A$4:$D$36,4,FALSE)</f>
        <v>1</v>
      </c>
      <c r="AK104" s="213" t="s">
        <v>54</v>
      </c>
      <c r="AL104" s="59"/>
      <c r="AM104" s="59"/>
    </row>
    <row r="105" spans="2:39" ht="13.8" thickBot="1">
      <c r="B105" s="907"/>
      <c r="C105" s="908"/>
      <c r="D105" s="909"/>
      <c r="E105" s="63" t="str">
        <f>IF(B105="","","[kg]")</f>
        <v/>
      </c>
      <c r="F105" s="691">
        <v>0</v>
      </c>
      <c r="G105" s="691">
        <v>0</v>
      </c>
      <c r="H105" s="691">
        <v>0</v>
      </c>
      <c r="I105" s="691">
        <v>0</v>
      </c>
      <c r="J105" s="691">
        <v>0</v>
      </c>
      <c r="K105" s="702">
        <f>SUM(F105:J105)</f>
        <v>0</v>
      </c>
      <c r="L105" s="912" t="s">
        <v>7832</v>
      </c>
      <c r="M105" s="913"/>
      <c r="N105" s="613" t="str">
        <f>IFERROR(VLOOKUP($B105,GWP!$A$4:$D$36,4,FALSE),"")</f>
        <v/>
      </c>
      <c r="O105" s="227" t="str">
        <f>IF(E105="","","[kgCO2/kg] ")</f>
        <v/>
      </c>
      <c r="P105" s="149"/>
      <c r="Q105" s="910" t="str">
        <f t="shared" si="45"/>
        <v/>
      </c>
      <c r="R105" s="911"/>
      <c r="S105" s="715">
        <f t="shared" ref="S105:S106" si="47">IFERROR(F105*$N105,0)</f>
        <v>0</v>
      </c>
      <c r="T105" s="715">
        <f t="shared" si="46"/>
        <v>0</v>
      </c>
      <c r="U105" s="715">
        <f t="shared" si="46"/>
        <v>0</v>
      </c>
      <c r="V105" s="715">
        <f t="shared" si="46"/>
        <v>0</v>
      </c>
      <c r="W105" s="715">
        <f t="shared" si="46"/>
        <v>0</v>
      </c>
      <c r="X105" s="705">
        <f>SUM(S105:W105)</f>
        <v>0</v>
      </c>
      <c r="Y105" s="354" t="str">
        <f>IFERROR(IF(S105=0,"",S105*$AJ$170/('製造(P)'!$K$190+'貯蔵・輸送(ST)'!$K$190+'供給(D)'!$K$190)),"")</f>
        <v/>
      </c>
      <c r="Z105" s="354" t="str">
        <f>IFERROR(IF(T105=0,"",T105*$AJ$170/('製造(P)'!$K$190+'貯蔵・輸送(ST)'!$K$190+'供給(D)'!$K$190)),"")</f>
        <v/>
      </c>
      <c r="AA105" s="354" t="str">
        <f>IFERROR(IF(U105=0,"",U105*$AJ$170/('製造(P)'!$K$190+'貯蔵・輸送(ST)'!$K$190+'供給(D)'!$K$190)),"")</f>
        <v/>
      </c>
      <c r="AB105" s="354" t="str">
        <f>IFERROR(IF(V105=0,"",V105*$AJ$170/('製造(P)'!$K$190+'貯蔵・輸送(ST)'!$K$190+'供給(D)'!$K$190)),"")</f>
        <v/>
      </c>
      <c r="AC105" s="354" t="str">
        <f>IFERROR(IF(W105=0,"",W105*$AJ$170/('製造(P)'!$K$190+'貯蔵・輸送(ST)'!$K$190+'供給(D)'!$K$190)),"")</f>
        <v/>
      </c>
      <c r="AD105" s="778" t="str">
        <f>IFERROR(IF(X105=0,"",X105*$AJ$170/('製造(P)'!$K$190+'貯蔵・輸送(ST)'!$K$190+'供給(D)'!$K$190)),"")</f>
        <v/>
      </c>
      <c r="AE105" s="806"/>
      <c r="AF105" s="806"/>
      <c r="AG105" s="207"/>
      <c r="AH105" s="207"/>
      <c r="AI105" s="207"/>
      <c r="AJ105" s="491" t="e">
        <f>VLOOKUP($B105,GWP!$A$4:$D$36,4,FALSE)</f>
        <v>#N/A</v>
      </c>
      <c r="AK105" s="213" t="s">
        <v>54</v>
      </c>
      <c r="AL105" s="59"/>
      <c r="AM105" s="59"/>
    </row>
    <row r="106" spans="2:39" ht="13.8" thickBot="1">
      <c r="B106" s="907"/>
      <c r="C106" s="908"/>
      <c r="D106" s="909"/>
      <c r="E106" s="63" t="str">
        <f>IF(B106="","","[kg]")</f>
        <v/>
      </c>
      <c r="F106" s="691">
        <v>0</v>
      </c>
      <c r="G106" s="691">
        <v>0</v>
      </c>
      <c r="H106" s="691">
        <v>0</v>
      </c>
      <c r="I106" s="691">
        <v>0</v>
      </c>
      <c r="J106" s="691">
        <v>0</v>
      </c>
      <c r="K106" s="702">
        <f>SUM(F106:J106)</f>
        <v>0</v>
      </c>
      <c r="L106" s="912" t="s">
        <v>7832</v>
      </c>
      <c r="M106" s="913"/>
      <c r="N106" s="614" t="str">
        <f>IFERROR(VLOOKUP($B106,GWP!$A$4:$D$36,4,FALSE),"")</f>
        <v/>
      </c>
      <c r="O106" s="227" t="str">
        <f>IF(E106="","","[kgCO2/kg] ")</f>
        <v/>
      </c>
      <c r="P106" s="149"/>
      <c r="Q106" s="910" t="str">
        <f t="shared" si="45"/>
        <v/>
      </c>
      <c r="R106" s="911"/>
      <c r="S106" s="715">
        <f t="shared" si="47"/>
        <v>0</v>
      </c>
      <c r="T106" s="715">
        <f t="shared" si="46"/>
        <v>0</v>
      </c>
      <c r="U106" s="715">
        <f t="shared" si="46"/>
        <v>0</v>
      </c>
      <c r="V106" s="715">
        <f t="shared" si="46"/>
        <v>0</v>
      </c>
      <c r="W106" s="715">
        <f t="shared" si="46"/>
        <v>0</v>
      </c>
      <c r="X106" s="705">
        <f>SUM(S106:W106)</f>
        <v>0</v>
      </c>
      <c r="Y106" s="354" t="str">
        <f>IFERROR(IF(S106=0,"",S106*$AJ$170/('製造(P)'!$K$190+'貯蔵・輸送(ST)'!$K$190+'供給(D)'!$K$190)),"")</f>
        <v/>
      </c>
      <c r="Z106" s="354" t="str">
        <f>IFERROR(IF(T106=0,"",T106*$AJ$170/('製造(P)'!$K$190+'貯蔵・輸送(ST)'!$K$190+'供給(D)'!$K$190)),"")</f>
        <v/>
      </c>
      <c r="AA106" s="354" t="str">
        <f>IFERROR(IF(U106=0,"",U106*$AJ$170/('製造(P)'!$K$190+'貯蔵・輸送(ST)'!$K$190+'供給(D)'!$K$190)),"")</f>
        <v/>
      </c>
      <c r="AB106" s="354" t="str">
        <f>IFERROR(IF(V106=0,"",V106*$AJ$170/('製造(P)'!$K$190+'貯蔵・輸送(ST)'!$K$190+'供給(D)'!$K$190)),"")</f>
        <v/>
      </c>
      <c r="AC106" s="354" t="str">
        <f>IFERROR(IF(W106=0,"",W106*$AJ$170/('製造(P)'!$K$190+'貯蔵・輸送(ST)'!$K$190+'供給(D)'!$K$190)),"")</f>
        <v/>
      </c>
      <c r="AD106" s="778" t="str">
        <f>IFERROR(IF(X106=0,"",X106*$AJ$170/('製造(P)'!$K$190+'貯蔵・輸送(ST)'!$K$190+'供給(D)'!$K$190)),"")</f>
        <v/>
      </c>
      <c r="AE106" s="806"/>
      <c r="AF106" s="806"/>
      <c r="AG106" s="207"/>
      <c r="AH106" s="207"/>
      <c r="AI106" s="207"/>
      <c r="AJ106" s="491" t="e">
        <f>VLOOKUP($B106,GWP!$A$4:$D$36,4,FALSE)</f>
        <v>#N/A</v>
      </c>
      <c r="AK106" s="213" t="s">
        <v>54</v>
      </c>
      <c r="AL106" s="59"/>
      <c r="AM106" s="59"/>
    </row>
    <row r="107" spans="2:39">
      <c r="B107" s="332" t="s">
        <v>7461</v>
      </c>
      <c r="C107" s="332"/>
      <c r="D107" s="153"/>
      <c r="E107" s="150"/>
      <c r="F107" s="225"/>
      <c r="G107" s="225"/>
      <c r="H107" s="225"/>
      <c r="I107" s="225"/>
      <c r="J107" s="225"/>
      <c r="K107" s="152"/>
      <c r="L107" s="152"/>
      <c r="M107" s="152"/>
      <c r="N107" s="322"/>
      <c r="O107" s="153"/>
      <c r="P107" s="149"/>
      <c r="Q107" s="147" t="s">
        <v>144</v>
      </c>
      <c r="R107" s="148"/>
      <c r="S107" s="716">
        <f t="shared" ref="S107:X107" si="48">SUM(S104:S106)</f>
        <v>0</v>
      </c>
      <c r="T107" s="716">
        <f t="shared" si="48"/>
        <v>0</v>
      </c>
      <c r="U107" s="716">
        <f t="shared" si="48"/>
        <v>0</v>
      </c>
      <c r="V107" s="716">
        <f t="shared" si="48"/>
        <v>0</v>
      </c>
      <c r="W107" s="716">
        <f t="shared" si="48"/>
        <v>0</v>
      </c>
      <c r="X107" s="716">
        <f t="shared" si="48"/>
        <v>0</v>
      </c>
      <c r="Y107" s="354">
        <f>IFERROR(S107*$AJ$170/('製造(P)'!$K$190+'貯蔵・輸送(ST)'!$K$190+'供給(D)'!$K$190),"")</f>
        <v>0</v>
      </c>
      <c r="Z107" s="354">
        <f>IFERROR(T107*$AJ$170/('製造(P)'!$K$190+'貯蔵・輸送(ST)'!$K$190+'供給(D)'!$K$190),"")</f>
        <v>0</v>
      </c>
      <c r="AA107" s="354">
        <f>IFERROR(U107*$AJ$170/('製造(P)'!$K$190+'貯蔵・輸送(ST)'!$K$190+'供給(D)'!$K$190),"")</f>
        <v>0</v>
      </c>
      <c r="AB107" s="354">
        <f>IFERROR(V107*$AJ$170/('製造(P)'!$K$190+'貯蔵・輸送(ST)'!$K$190+'供給(D)'!$K$190),"")</f>
        <v>0</v>
      </c>
      <c r="AC107" s="354">
        <f>IFERROR(W107*$AJ$170/('製造(P)'!$K$190+'貯蔵・輸送(ST)'!$K$190+'供給(D)'!$K$190),"")</f>
        <v>0</v>
      </c>
      <c r="AD107" s="354">
        <f>IFERROR(X107*$AJ$170/('製造(P)'!$K$190+'貯蔵・輸送(ST)'!$K$190+'供給(D)'!$K$190),"")</f>
        <v>0</v>
      </c>
      <c r="AE107" s="806"/>
      <c r="AF107" s="806"/>
      <c r="AG107" s="207"/>
      <c r="AH107" s="207"/>
      <c r="AI107" s="207"/>
      <c r="AJ107" s="534"/>
      <c r="AK107" s="212"/>
      <c r="AL107" s="59"/>
      <c r="AM107" s="59"/>
    </row>
    <row r="108" spans="2:39" s="149" customFormat="1">
      <c r="F108" s="220"/>
      <c r="G108" s="220"/>
      <c r="H108" s="220"/>
      <c r="I108" s="220"/>
      <c r="J108" s="220"/>
      <c r="N108" s="320"/>
      <c r="S108" s="220"/>
      <c r="T108" s="220"/>
      <c r="U108" s="220"/>
      <c r="V108" s="220"/>
      <c r="W108" s="220"/>
      <c r="X108" s="220"/>
      <c r="Y108" s="355"/>
      <c r="Z108" s="355"/>
      <c r="AA108" s="355"/>
      <c r="AB108" s="355"/>
      <c r="AC108" s="355"/>
      <c r="AD108" s="355"/>
      <c r="AE108" s="805"/>
      <c r="AF108" s="805"/>
      <c r="AG108" s="207"/>
      <c r="AH108" s="207"/>
      <c r="AI108" s="207"/>
      <c r="AJ108" s="534"/>
      <c r="AK108" s="212"/>
    </row>
    <row r="109" spans="2:39">
      <c r="B109" s="915" t="s">
        <v>7519</v>
      </c>
      <c r="C109" s="915"/>
      <c r="D109" s="915"/>
      <c r="E109" s="915"/>
      <c r="F109" s="915"/>
      <c r="G109" s="915"/>
      <c r="H109" s="915"/>
      <c r="I109" s="915"/>
      <c r="J109" s="915"/>
      <c r="K109" s="915"/>
      <c r="L109" s="915"/>
      <c r="M109" s="915"/>
      <c r="N109" s="915"/>
      <c r="O109" s="915"/>
      <c r="P109" s="149"/>
      <c r="Q109" s="935" t="s">
        <v>7772</v>
      </c>
      <c r="R109" s="935"/>
      <c r="S109" s="935"/>
      <c r="T109" s="935"/>
      <c r="U109" s="935"/>
      <c r="V109" s="935"/>
      <c r="W109" s="935"/>
      <c r="X109" s="935"/>
      <c r="Y109" s="935"/>
      <c r="Z109" s="935"/>
      <c r="AA109" s="935"/>
      <c r="AB109" s="935"/>
      <c r="AC109" s="935"/>
      <c r="AD109" s="935"/>
      <c r="AE109" s="811"/>
      <c r="AF109" s="811"/>
      <c r="AG109" s="207"/>
      <c r="AH109" s="207"/>
      <c r="AI109" s="207"/>
      <c r="AJ109" s="214"/>
      <c r="AK109" s="214"/>
      <c r="AL109" s="59"/>
      <c r="AM109" s="59"/>
    </row>
    <row r="110" spans="2:39" s="149" customFormat="1">
      <c r="F110" s="220"/>
      <c r="G110" s="220"/>
      <c r="H110" s="220"/>
      <c r="I110" s="220"/>
      <c r="J110" s="220"/>
      <c r="N110" s="320"/>
      <c r="S110" s="220"/>
      <c r="T110" s="220"/>
      <c r="U110" s="220"/>
      <c r="V110" s="220"/>
      <c r="W110" s="220"/>
      <c r="X110" s="220"/>
      <c r="Y110" s="355"/>
      <c r="Z110" s="355"/>
      <c r="AA110" s="355"/>
      <c r="AB110" s="355"/>
      <c r="AC110" s="355"/>
      <c r="AD110" s="355"/>
      <c r="AE110" s="805"/>
      <c r="AF110" s="805"/>
      <c r="AG110" s="207"/>
      <c r="AH110" s="207"/>
      <c r="AI110" s="207"/>
      <c r="AJ110" s="534"/>
      <c r="AK110" s="212"/>
    </row>
    <row r="111" spans="2:39" s="149" customFormat="1" ht="14.25" customHeight="1">
      <c r="B111" s="1005"/>
      <c r="C111" s="1005"/>
      <c r="D111" s="1005"/>
      <c r="E111" s="1005"/>
      <c r="F111" s="1006"/>
      <c r="G111" s="1007"/>
      <c r="H111" s="1007"/>
      <c r="I111" s="1007"/>
      <c r="J111" s="1007"/>
      <c r="K111" s="1007"/>
      <c r="L111" s="1008"/>
      <c r="M111" s="1009"/>
      <c r="N111" s="1009"/>
      <c r="O111" s="1009"/>
      <c r="Q111" s="971" t="s">
        <v>6974</v>
      </c>
      <c r="R111" s="972"/>
      <c r="S111" s="933" t="s">
        <v>7666</v>
      </c>
      <c r="T111" s="934"/>
      <c r="U111" s="934"/>
      <c r="V111" s="934"/>
      <c r="W111" s="934"/>
      <c r="X111" s="934"/>
      <c r="Y111" s="955" t="s">
        <v>7543</v>
      </c>
      <c r="Z111" s="956"/>
      <c r="AA111" s="956"/>
      <c r="AB111" s="956"/>
      <c r="AC111" s="956"/>
      <c r="AD111" s="956"/>
      <c r="AE111" s="906" t="s">
        <v>7921</v>
      </c>
      <c r="AF111" s="799"/>
      <c r="AG111" s="207"/>
      <c r="AH111" s="207"/>
      <c r="AI111" s="207"/>
      <c r="AJ111" s="535"/>
      <c r="AK111" s="153"/>
    </row>
    <row r="112" spans="2:39" s="149" customFormat="1">
      <c r="B112" s="1005"/>
      <c r="C112" s="1005"/>
      <c r="D112" s="1005"/>
      <c r="E112" s="1005"/>
      <c r="F112" s="363"/>
      <c r="G112" s="363"/>
      <c r="H112" s="363"/>
      <c r="I112" s="363"/>
      <c r="J112" s="363"/>
      <c r="K112" s="364"/>
      <c r="L112" s="1009"/>
      <c r="M112" s="1009"/>
      <c r="N112" s="1009"/>
      <c r="O112" s="1009"/>
      <c r="Q112" s="896"/>
      <c r="R112" s="898"/>
      <c r="S112" s="312" t="s">
        <v>7438</v>
      </c>
      <c r="T112" s="312" t="s">
        <v>7055</v>
      </c>
      <c r="U112" s="312" t="s">
        <v>7056</v>
      </c>
      <c r="V112" s="312" t="s">
        <v>7057</v>
      </c>
      <c r="W112" s="312" t="s">
        <v>7058</v>
      </c>
      <c r="X112" s="369" t="s">
        <v>7520</v>
      </c>
      <c r="Y112" s="383" t="s">
        <v>7544</v>
      </c>
      <c r="Z112" s="383" t="s">
        <v>7055</v>
      </c>
      <c r="AA112" s="383" t="s">
        <v>7056</v>
      </c>
      <c r="AB112" s="383" t="s">
        <v>7057</v>
      </c>
      <c r="AC112" s="383" t="s">
        <v>7058</v>
      </c>
      <c r="AD112" s="384" t="s">
        <v>7004</v>
      </c>
      <c r="AE112" s="906"/>
      <c r="AF112" s="798"/>
      <c r="AG112" s="407" t="s">
        <v>7584</v>
      </c>
      <c r="AH112" s="207"/>
      <c r="AI112" s="207"/>
      <c r="AJ112" s="535"/>
      <c r="AK112" s="153"/>
    </row>
    <row r="113" spans="2:39" s="149" customFormat="1">
      <c r="B113" s="936"/>
      <c r="C113" s="936"/>
      <c r="D113" s="936"/>
      <c r="E113" s="150"/>
      <c r="F113" s="225"/>
      <c r="G113" s="225"/>
      <c r="H113" s="225"/>
      <c r="I113" s="225"/>
      <c r="J113" s="225"/>
      <c r="K113" s="152"/>
      <c r="L113" s="970"/>
      <c r="M113" s="970"/>
      <c r="N113" s="365"/>
      <c r="O113" s="366"/>
      <c r="Q113" s="1057" t="str">
        <f>IFERROR(IF(MAX(資本財!$V$5:$V$30)&lt;1,"",INDEX(資本財!$D$5:$D$30,MATCH(ROW(T1),資本財!$V$5:$V$30,0))),"")</f>
        <v>水素貯蔵タンク</v>
      </c>
      <c r="R113" s="1058"/>
      <c r="S113" s="728">
        <f>IFERROR(IF(INDEX(資本財!$C$5:$C$30,MATCH(ROW(R1),資本財!$V$5:$V$30,0))=S$112,INDEX(資本財!$P$5:$P$30,MATCH(ROW(R1),資本財!$V$5:$V$30,0))*$AG113,0),"")</f>
        <v>30.814086869707516</v>
      </c>
      <c r="T113" s="728">
        <f>IFERROR(IF(INDEX(資本財!$C$5:$C$30,MATCH(ROW(S1),資本財!$V$5:$V$30,0))=T$112,INDEX(資本財!$P$5:$P$30,MATCH(ROW(S1),資本財!$V$5:$V$30,0))*$AG113,0),"")</f>
        <v>0</v>
      </c>
      <c r="U113" s="728">
        <f>IFERROR(IF(INDEX(資本財!$C$5:$C$30,MATCH(ROW(T1),資本財!$V$5:$V$30,0))=U$112,INDEX(資本財!$P$5:$P$30,MATCH(ROW(T1),資本財!$V$5:$V$30,0))*$AG113,0),"")</f>
        <v>0</v>
      </c>
      <c r="V113" s="728">
        <f>IFERROR(IF(INDEX(資本財!$C$5:$C$30,MATCH(ROW(U1),資本財!$V$5:$V$30,0))=V$112,INDEX(資本財!$P$5:$P$30,MATCH(ROW(U1),資本財!$V$5:$V$30,0))*$AG113,0),"")</f>
        <v>0</v>
      </c>
      <c r="W113" s="728">
        <f>IFERROR(IF(INDEX(資本財!$C$5:$C$30,MATCH(ROW(V1),資本財!$V$5:$V$30,0))=W$112,INDEX(資本財!$P$5:$P$30,MATCH(ROW(V1),資本財!$V$5:$V$30,0))*$AG113,0),"")</f>
        <v>0</v>
      </c>
      <c r="X113" s="705">
        <f>SUM(S113:W113)</f>
        <v>30.814086869707516</v>
      </c>
      <c r="Y113" s="354">
        <f>IFERROR(S113*$AJ$170/('製造(P)'!$K$190+'貯蔵・輸送(ST)'!$K$190+'供給(D)'!$K$190),"")</f>
        <v>0.32632920227950851</v>
      </c>
      <c r="Z113" s="354">
        <f>IFERROR(T113*$AJ$170/('製造(P)'!$K$190+'貯蔵・輸送(ST)'!$K$190+'供給(D)'!$K$190),"")</f>
        <v>0</v>
      </c>
      <c r="AA113" s="354">
        <f>IFERROR(U113*$AJ$170/('製造(P)'!$K$190+'貯蔵・輸送(ST)'!$K$190+'供給(D)'!$K$190),"")</f>
        <v>0</v>
      </c>
      <c r="AB113" s="354">
        <f>IFERROR(V113*$AJ$170/('製造(P)'!$K$190+'貯蔵・輸送(ST)'!$K$190+'供給(D)'!$K$190),"")</f>
        <v>0</v>
      </c>
      <c r="AC113" s="354">
        <f>IFERROR(W113*$AJ$170/('製造(P)'!$K$190+'貯蔵・輸送(ST)'!$K$190+'供給(D)'!$K$190),"")</f>
        <v>0</v>
      </c>
      <c r="AD113" s="778">
        <f>IFERROR(IF(X113=0,"",X113*$AJ$170/('製造(P)'!$K$190+'貯蔵・輸送(ST)'!$K$190+'供給(D)'!$K$190)),"")</f>
        <v>0.32632920227950851</v>
      </c>
      <c r="AE113" s="685"/>
      <c r="AF113" s="808"/>
      <c r="AG113" s="408">
        <f>IFERROR(IF(INDEX(資本財!$H$5:$H$30,MATCH(ROW(R1),資本財!$V$5:$V$30,0))="[Nm3]",$D$6,IF(INDEX(資本財!$H$5:$H$30,MATCH(ROW(R1),資本財!$V$5:$V$30,0))="[MJ]",$D$10,IF(INDEX(資本財!$H$5:$H$30,MATCH(ROW(R1),資本財!$V$5:$V$30,0))="[kg]",$D$9,""))),"")</f>
        <v>600</v>
      </c>
      <c r="AH113" s="207"/>
      <c r="AI113" s="207"/>
      <c r="AJ113" s="535"/>
      <c r="AK113" s="153"/>
    </row>
    <row r="114" spans="2:39" s="149" customFormat="1" ht="15" customHeight="1">
      <c r="B114" s="936"/>
      <c r="C114" s="936"/>
      <c r="D114" s="936"/>
      <c r="E114" s="150"/>
      <c r="F114" s="225"/>
      <c r="G114" s="225"/>
      <c r="H114" s="225"/>
      <c r="I114" s="225"/>
      <c r="J114" s="225"/>
      <c r="K114" s="152"/>
      <c r="L114" s="970"/>
      <c r="M114" s="970"/>
      <c r="N114" s="365"/>
      <c r="O114" s="366"/>
      <c r="Q114" s="1057" t="str">
        <f>IFERROR(IF(MAX(資本財!$V$5:$V$30)&lt;1,"",INDEX(資本財!$D$5:$D$30,MATCH(ROW(T2),資本財!$V$5:$V$30,0))),"")</f>
        <v>水素圧縮機</v>
      </c>
      <c r="R114" s="1058"/>
      <c r="S114" s="728">
        <f>IFERROR(IF(INDEX(資本財!$C$5:$C$30,MATCH(ROW(R2),資本財!$V$5:$V$30,0))=S$112,INDEX(資本財!$P$5:$P$30,MATCH(ROW(R2),資本財!$V$5:$V$30,0))*$AG114,0),"")</f>
        <v>6.2363460729980034</v>
      </c>
      <c r="T114" s="728">
        <f>IFERROR(IF(INDEX(資本財!$C$5:$C$30,MATCH(ROW(S2),資本財!$V$5:$V$30,0))=T$112,INDEX(資本財!$P$5:$P$30,MATCH(ROW(S2),資本財!$V$5:$V$30,0))*$AG114,0),"")</f>
        <v>0</v>
      </c>
      <c r="U114" s="728">
        <f>IFERROR(IF(INDEX(資本財!$C$5:$C$30,MATCH(ROW(T2),資本財!$V$5:$V$30,0))=U$112,INDEX(資本財!$P$5:$P$30,MATCH(ROW(T2),資本財!$V$5:$V$30,0))*$AG114,0),"")</f>
        <v>0</v>
      </c>
      <c r="V114" s="728">
        <f>IFERROR(IF(INDEX(資本財!$C$5:$C$30,MATCH(ROW(U2),資本財!$V$5:$V$30,0))=V$112,INDEX(資本財!$P$5:$P$30,MATCH(ROW(U2),資本財!$V$5:$V$30,0))*$AG114,0),"")</f>
        <v>0</v>
      </c>
      <c r="W114" s="728">
        <f>IFERROR(IF(INDEX(資本財!$C$5:$C$30,MATCH(ROW(V2),資本財!$V$5:$V$30,0))=W$112,INDEX(資本財!$P$5:$P$30,MATCH(ROW(V2),資本財!$V$5:$V$30,0))*$AG114,0),"")</f>
        <v>0</v>
      </c>
      <c r="X114" s="705">
        <f t="shared" ref="X114:X122" si="49">SUM(S114:W114)</f>
        <v>6.2363460729980034</v>
      </c>
      <c r="Y114" s="354">
        <f>IFERROR(S114*$AJ$170/('製造(P)'!$K$190+'貯蔵・輸送(ST)'!$K$190+'供給(D)'!$K$190),"")</f>
        <v>6.6044528521824769E-2</v>
      </c>
      <c r="Z114" s="354">
        <f>IFERROR(T114*$AJ$170/('製造(P)'!$K$190+'貯蔵・輸送(ST)'!$K$190+'供給(D)'!$K$190),"")</f>
        <v>0</v>
      </c>
      <c r="AA114" s="354">
        <f>IFERROR(U114*$AJ$170/('製造(P)'!$K$190+'貯蔵・輸送(ST)'!$K$190+'供給(D)'!$K$190),"")</f>
        <v>0</v>
      </c>
      <c r="AB114" s="354">
        <f>IFERROR(V114*$AJ$170/('製造(P)'!$K$190+'貯蔵・輸送(ST)'!$K$190+'供給(D)'!$K$190),"")</f>
        <v>0</v>
      </c>
      <c r="AC114" s="354">
        <f>IFERROR(W114*$AJ$170/('製造(P)'!$K$190+'貯蔵・輸送(ST)'!$K$190+'供給(D)'!$K$190),"")</f>
        <v>0</v>
      </c>
      <c r="AD114" s="778">
        <f>IFERROR(IF(X114=0,"",X114*$AJ$170/('製造(P)'!$K$190+'貯蔵・輸送(ST)'!$K$190+'供給(D)'!$K$190)),"")</f>
        <v>6.6044528521824769E-2</v>
      </c>
      <c r="AE114" s="685"/>
      <c r="AF114" s="808"/>
      <c r="AG114" s="408">
        <f>IFERROR(IF(INDEX(資本財!$H$5:$H$30,MATCH(ROW(R2),資本財!$V$5:$V$30,0))="[Nm3]",$D$6,IF(INDEX(資本財!$H$5:$H$30,MATCH(ROW(R2),資本財!$V$5:$V$30,0))="[MJ]",$D$10,IF(INDEX(資本財!$H$5:$H$30,MATCH(ROW(R2),資本財!$V$5:$V$30,0))="[kg]",$D$9,""))),"")</f>
        <v>600</v>
      </c>
      <c r="AH114" s="207"/>
      <c r="AI114" s="207"/>
      <c r="AJ114" s="535"/>
      <c r="AK114" s="153"/>
    </row>
    <row r="115" spans="2:39" s="149" customFormat="1" ht="15" customHeight="1">
      <c r="B115" s="936"/>
      <c r="C115" s="936"/>
      <c r="D115" s="936"/>
      <c r="E115" s="150"/>
      <c r="F115" s="225"/>
      <c r="G115" s="225"/>
      <c r="H115" s="225"/>
      <c r="I115" s="225"/>
      <c r="J115" s="225"/>
      <c r="K115" s="152"/>
      <c r="L115" s="970"/>
      <c r="M115" s="970"/>
      <c r="N115" s="365"/>
      <c r="O115" s="366"/>
      <c r="Q115" s="1057" t="str">
        <f>IFERROR(IF(MAX(資本財!$V$5:$V$30)&lt;1,"",INDEX(資本財!$D$5:$D$30,MATCH(ROW(T3),資本財!$V$5:$V$30,0))),"")</f>
        <v/>
      </c>
      <c r="R115" s="1058"/>
      <c r="S115" s="728" t="str">
        <f>IFERROR(IF(INDEX(資本財!$C$5:$C$30,MATCH(ROW(R3),資本財!$V$5:$V$30,0))=S$112,INDEX(資本財!$P$5:$P$30,MATCH(ROW(R3),資本財!$V$5:$V$30,0))*$AG115,0),"")</f>
        <v/>
      </c>
      <c r="T115" s="728" t="str">
        <f>IFERROR(IF(INDEX(資本財!$C$5:$C$30,MATCH(ROW(S3),資本財!$V$5:$V$30,0))=T$112,INDEX(資本財!$P$5:$P$30,MATCH(ROW(S3),資本財!$V$5:$V$30,0))*$AG115,0),"")</f>
        <v/>
      </c>
      <c r="U115" s="728" t="str">
        <f>IFERROR(IF(INDEX(資本財!$C$5:$C$30,MATCH(ROW(T3),資本財!$V$5:$V$30,0))=U$112,INDEX(資本財!$P$5:$P$30,MATCH(ROW(T3),資本財!$V$5:$V$30,0))*$AG115,0),"")</f>
        <v/>
      </c>
      <c r="V115" s="728" t="str">
        <f>IFERROR(IF(INDEX(資本財!$C$5:$C$30,MATCH(ROW(U3),資本財!$V$5:$V$30,0))=V$112,INDEX(資本財!$P$5:$P$30,MATCH(ROW(U3),資本財!$V$5:$V$30,0))*$AG115,0),"")</f>
        <v/>
      </c>
      <c r="W115" s="728" t="str">
        <f>IFERROR(IF(INDEX(資本財!$C$5:$C$30,MATCH(ROW(V3),資本財!$V$5:$V$30,0))=W$112,INDEX(資本財!$P$5:$P$30,MATCH(ROW(V3),資本財!$V$5:$V$30,0))*$AG115,0),"")</f>
        <v/>
      </c>
      <c r="X115" s="705">
        <f t="shared" si="49"/>
        <v>0</v>
      </c>
      <c r="Y115" s="354" t="str">
        <f>IFERROR(S115*$AJ$170/('製造(P)'!$K$190+'貯蔵・輸送(ST)'!$K$190+'供給(D)'!$K$190),"")</f>
        <v/>
      </c>
      <c r="Z115" s="354" t="str">
        <f>IFERROR(T115*$AJ$170/('製造(P)'!$K$190+'貯蔵・輸送(ST)'!$K$190+'供給(D)'!$K$190),"")</f>
        <v/>
      </c>
      <c r="AA115" s="354" t="str">
        <f>IFERROR(U115*$AJ$170/('製造(P)'!$K$190+'貯蔵・輸送(ST)'!$K$190+'供給(D)'!$K$190),"")</f>
        <v/>
      </c>
      <c r="AB115" s="354" t="str">
        <f>IFERROR(V115*$AJ$170/('製造(P)'!$K$190+'貯蔵・輸送(ST)'!$K$190+'供給(D)'!$K$190),"")</f>
        <v/>
      </c>
      <c r="AC115" s="354" t="str">
        <f>IFERROR(W115*$AJ$170/('製造(P)'!$K$190+'貯蔵・輸送(ST)'!$K$190+'供給(D)'!$K$190),"")</f>
        <v/>
      </c>
      <c r="AD115" s="778" t="str">
        <f>IFERROR(IF(X115=0,"",X115*$AJ$170/('製造(P)'!$K$190+'貯蔵・輸送(ST)'!$K$190+'供給(D)'!$K$190)),"")</f>
        <v/>
      </c>
      <c r="AE115" s="685"/>
      <c r="AF115" s="808"/>
      <c r="AG115" s="408" t="str">
        <f>IFERROR(IF(INDEX(資本財!$H$5:$H$30,MATCH(ROW(R3),資本財!$V$5:$V$30,0))="[Nm3]",$D$6,IF(INDEX(資本財!$H$5:$H$30,MATCH(ROW(R3),資本財!$V$5:$V$30,0))="[MJ]",$D$10,IF(INDEX(資本財!$H$5:$H$30,MATCH(ROW(R3),資本財!$V$5:$V$30,0))="[kg]",$D$9,""))),"")</f>
        <v/>
      </c>
      <c r="AH115" s="207"/>
      <c r="AI115" s="207"/>
      <c r="AJ115" s="535"/>
      <c r="AK115" s="153"/>
    </row>
    <row r="116" spans="2:39" s="149" customFormat="1" ht="15" customHeight="1">
      <c r="B116" s="936"/>
      <c r="C116" s="936"/>
      <c r="D116" s="936"/>
      <c r="E116" s="150"/>
      <c r="F116" s="225"/>
      <c r="G116" s="225"/>
      <c r="H116" s="225"/>
      <c r="I116" s="225"/>
      <c r="J116" s="225"/>
      <c r="K116" s="152"/>
      <c r="L116" s="970"/>
      <c r="M116" s="970"/>
      <c r="N116" s="365"/>
      <c r="O116" s="366"/>
      <c r="Q116" s="1057" t="str">
        <f>IFERROR(IF(MAX(資本財!$V$5:$V$30)&lt;1,"",INDEX(資本財!$D$5:$D$30,MATCH(ROW(T4),資本財!$V$5:$V$30,0))),"")</f>
        <v/>
      </c>
      <c r="R116" s="1058"/>
      <c r="S116" s="728" t="str">
        <f>IFERROR(IF(INDEX(資本財!$C$5:$C$30,MATCH(ROW(R4),資本財!$V$5:$V$30,0))=S$112,INDEX(資本財!$P$5:$P$30,MATCH(ROW(R4),資本財!$V$5:$V$30,0))*$AG116,0),"")</f>
        <v/>
      </c>
      <c r="T116" s="728" t="str">
        <f>IFERROR(IF(INDEX(資本財!$C$5:$C$30,MATCH(ROW(S4),資本財!$V$5:$V$30,0))=T$112,INDEX(資本財!$P$5:$P$30,MATCH(ROW(S4),資本財!$V$5:$V$30,0))*$AG116,0),"")</f>
        <v/>
      </c>
      <c r="U116" s="728" t="str">
        <f>IFERROR(IF(INDEX(資本財!$C$5:$C$30,MATCH(ROW(T4),資本財!$V$5:$V$30,0))=U$112,INDEX(資本財!$P$5:$P$30,MATCH(ROW(T4),資本財!$V$5:$V$30,0))*$AG116,0),"")</f>
        <v/>
      </c>
      <c r="V116" s="728" t="str">
        <f>IFERROR(IF(INDEX(資本財!$C$5:$C$30,MATCH(ROW(U4),資本財!$V$5:$V$30,0))=V$112,INDEX(資本財!$P$5:$P$30,MATCH(ROW(U4),資本財!$V$5:$V$30,0))*$AG116,0),"")</f>
        <v/>
      </c>
      <c r="W116" s="728" t="str">
        <f>IFERROR(IF(INDEX(資本財!$C$5:$C$30,MATCH(ROW(V4),資本財!$V$5:$V$30,0))=W$112,INDEX(資本財!$P$5:$P$30,MATCH(ROW(V4),資本財!$V$5:$V$30,0))*$AG116,0),"")</f>
        <v/>
      </c>
      <c r="X116" s="705">
        <f t="shared" si="49"/>
        <v>0</v>
      </c>
      <c r="Y116" s="354" t="str">
        <f>IFERROR(S116*$AJ$170/('製造(P)'!$K$190+'貯蔵・輸送(ST)'!$K$190+'供給(D)'!$K$190),"")</f>
        <v/>
      </c>
      <c r="Z116" s="354" t="str">
        <f>IFERROR(T116*$AJ$170/('製造(P)'!$K$190+'貯蔵・輸送(ST)'!$K$190+'供給(D)'!$K$190),"")</f>
        <v/>
      </c>
      <c r="AA116" s="354" t="str">
        <f>IFERROR(U116*$AJ$170/('製造(P)'!$K$190+'貯蔵・輸送(ST)'!$K$190+'供給(D)'!$K$190),"")</f>
        <v/>
      </c>
      <c r="AB116" s="354" t="str">
        <f>IFERROR(V116*$AJ$170/('製造(P)'!$K$190+'貯蔵・輸送(ST)'!$K$190+'供給(D)'!$K$190),"")</f>
        <v/>
      </c>
      <c r="AC116" s="354" t="str">
        <f>IFERROR(W116*$AJ$170/('製造(P)'!$K$190+'貯蔵・輸送(ST)'!$K$190+'供給(D)'!$K$190),"")</f>
        <v/>
      </c>
      <c r="AD116" s="778" t="str">
        <f>IFERROR(IF(X116=0,"",X116*$AJ$170/('製造(P)'!$K$190+'貯蔵・輸送(ST)'!$K$190+'供給(D)'!$K$190)),"")</f>
        <v/>
      </c>
      <c r="AE116" s="685"/>
      <c r="AF116" s="808"/>
      <c r="AG116" s="408" t="str">
        <f>IFERROR(IF(INDEX(資本財!$H$5:$H$30,MATCH(ROW(R4),資本財!$V$5:$V$30,0))="[Nm3]",$D$6,IF(INDEX(資本財!$H$5:$H$30,MATCH(ROW(R4),資本財!$V$5:$V$30,0))="[MJ]",$D$10,IF(INDEX(資本財!$H$5:$H$30,MATCH(ROW(R4),資本財!$V$5:$V$30,0))="[kg]",$D$9,""))),"")</f>
        <v/>
      </c>
      <c r="AH116" s="207"/>
      <c r="AI116" s="207"/>
      <c r="AJ116" s="535"/>
      <c r="AK116" s="153"/>
    </row>
    <row r="117" spans="2:39" s="149" customFormat="1" ht="15" customHeight="1">
      <c r="B117" s="936"/>
      <c r="C117" s="936"/>
      <c r="D117" s="936"/>
      <c r="E117" s="150"/>
      <c r="F117" s="225"/>
      <c r="G117" s="225"/>
      <c r="H117" s="225"/>
      <c r="I117" s="225"/>
      <c r="J117" s="225"/>
      <c r="K117" s="152"/>
      <c r="L117" s="970"/>
      <c r="M117" s="970"/>
      <c r="N117" s="365"/>
      <c r="O117" s="366"/>
      <c r="Q117" s="1057" t="str">
        <f>IFERROR(IF(MAX(資本財!$V$5:$V$30)&lt;1,"",INDEX(資本財!$D$5:$D$30,MATCH(ROW(T5),資本財!$V$5:$V$30,0))),"")</f>
        <v/>
      </c>
      <c r="R117" s="1058"/>
      <c r="S117" s="728" t="str">
        <f>IFERROR(IF(INDEX(資本財!$C$5:$C$30,MATCH(ROW(R5),資本財!$V$5:$V$30,0))=S$112,INDEX(資本財!$P$5:$P$30,MATCH(ROW(R5),資本財!$V$5:$V$30,0))*$AG117,0),"")</f>
        <v/>
      </c>
      <c r="T117" s="728" t="str">
        <f>IFERROR(IF(INDEX(資本財!$C$5:$C$30,MATCH(ROW(S5),資本財!$V$5:$V$30,0))=T$112,INDEX(資本財!$P$5:$P$30,MATCH(ROW(S5),資本財!$V$5:$V$30,0))*$AG117,0),"")</f>
        <v/>
      </c>
      <c r="U117" s="728" t="str">
        <f>IFERROR(IF(INDEX(資本財!$C$5:$C$30,MATCH(ROW(T5),資本財!$V$5:$V$30,0))=U$112,INDEX(資本財!$P$5:$P$30,MATCH(ROW(T5),資本財!$V$5:$V$30,0))*$AG117,0),"")</f>
        <v/>
      </c>
      <c r="V117" s="728" t="str">
        <f>IFERROR(IF(INDEX(資本財!$C$5:$C$30,MATCH(ROW(U5),資本財!$V$5:$V$30,0))=V$112,INDEX(資本財!$P$5:$P$30,MATCH(ROW(U5),資本財!$V$5:$V$30,0))*$AG117,0),"")</f>
        <v/>
      </c>
      <c r="W117" s="728" t="str">
        <f>IFERROR(IF(INDEX(資本財!$C$5:$C$30,MATCH(ROW(V5),資本財!$V$5:$V$30,0))=W$112,INDEX(資本財!$P$5:$P$30,MATCH(ROW(V5),資本財!$V$5:$V$30,0))*$AG117,0),"")</f>
        <v/>
      </c>
      <c r="X117" s="705">
        <f t="shared" si="49"/>
        <v>0</v>
      </c>
      <c r="Y117" s="354" t="str">
        <f>IFERROR(S117*$AJ$170/('製造(P)'!$K$190+'貯蔵・輸送(ST)'!$K$190+'供給(D)'!$K$190),"")</f>
        <v/>
      </c>
      <c r="Z117" s="354" t="str">
        <f>IFERROR(T117*$AJ$170/('製造(P)'!$K$190+'貯蔵・輸送(ST)'!$K$190+'供給(D)'!$K$190),"")</f>
        <v/>
      </c>
      <c r="AA117" s="354" t="str">
        <f>IFERROR(U117*$AJ$170/('製造(P)'!$K$190+'貯蔵・輸送(ST)'!$K$190+'供給(D)'!$K$190),"")</f>
        <v/>
      </c>
      <c r="AB117" s="354" t="str">
        <f>IFERROR(V117*$AJ$170/('製造(P)'!$K$190+'貯蔵・輸送(ST)'!$K$190+'供給(D)'!$K$190),"")</f>
        <v/>
      </c>
      <c r="AC117" s="354" t="str">
        <f>IFERROR(W117*$AJ$170/('製造(P)'!$K$190+'貯蔵・輸送(ST)'!$K$190+'供給(D)'!$K$190),"")</f>
        <v/>
      </c>
      <c r="AD117" s="778" t="str">
        <f>IFERROR(IF(X117=0,"",X117*$AJ$170/('製造(P)'!$K$190+'貯蔵・輸送(ST)'!$K$190+'供給(D)'!$K$190)),"")</f>
        <v/>
      </c>
      <c r="AE117" s="685"/>
      <c r="AF117" s="808"/>
      <c r="AG117" s="408" t="str">
        <f>IFERROR(IF(INDEX(資本財!$H$5:$H$30,MATCH(ROW(R5),資本財!$V$5:$V$30,0))="[Nm3]",$D$6,IF(INDEX(資本財!$H$5:$H$30,MATCH(ROW(R5),資本財!$V$5:$V$30,0))="[MJ]",$D$10,IF(INDEX(資本財!$H$5:$H$30,MATCH(ROW(R5),資本財!$V$5:$V$30,0))="[kg]",$D$9,""))),"")</f>
        <v/>
      </c>
      <c r="AH117" s="207"/>
      <c r="AI117" s="207"/>
      <c r="AJ117" s="535"/>
      <c r="AK117" s="153"/>
    </row>
    <row r="118" spans="2:39" s="149" customFormat="1" ht="15" customHeight="1">
      <c r="B118" s="936"/>
      <c r="C118" s="936"/>
      <c r="D118" s="936"/>
      <c r="E118" s="150"/>
      <c r="F118" s="225"/>
      <c r="G118" s="225"/>
      <c r="H118" s="225"/>
      <c r="I118" s="225"/>
      <c r="J118" s="225"/>
      <c r="K118" s="152"/>
      <c r="L118" s="367"/>
      <c r="M118" s="367"/>
      <c r="N118" s="365"/>
      <c r="O118" s="366"/>
      <c r="Q118" s="1057" t="str">
        <f>IFERROR(IF(MAX(資本財!$V$5:$V$30)&lt;1,"",INDEX(資本財!$D$5:$D$30,MATCH(ROW(#REF!),資本財!$V$5:$V$30,0))),"")</f>
        <v/>
      </c>
      <c r="R118" s="1058"/>
      <c r="S118" s="728" t="str">
        <f>IFERROR(IF(INDEX(資本財!$C$5:$C$30,MATCH(ROW(R6),資本財!$V$5:$V$30,0))=S$112,INDEX(資本財!$P$5:$P$30,MATCH(ROW(R6),資本財!$V$5:$V$30,0))*$AG118,0),"")</f>
        <v/>
      </c>
      <c r="T118" s="728" t="str">
        <f>IFERROR(IF(INDEX(資本財!$C$5:$C$30,MATCH(ROW(S6),資本財!$V$5:$V$30,0))=T$112,INDEX(資本財!$P$5:$P$30,MATCH(ROW(S6),資本財!$V$5:$V$30,0))*$AG118,0),"")</f>
        <v/>
      </c>
      <c r="U118" s="728" t="str">
        <f>IFERROR(IF(INDEX(資本財!$C$5:$C$30,MATCH(ROW(T6),資本財!$V$5:$V$30,0))=U$112,INDEX(資本財!$P$5:$P$30,MATCH(ROW(T6),資本財!$V$5:$V$30,0))*$AG118,0),"")</f>
        <v/>
      </c>
      <c r="V118" s="728" t="str">
        <f>IFERROR(IF(INDEX(資本財!$C$5:$C$30,MATCH(ROW(U6),資本財!$V$5:$V$30,0))=V$112,INDEX(資本財!$P$5:$P$30,MATCH(ROW(U6),資本財!$V$5:$V$30,0))*$AG118,0),"")</f>
        <v/>
      </c>
      <c r="W118" s="728" t="str">
        <f>IFERROR(IF(INDEX(資本財!$C$5:$C$30,MATCH(ROW(V6),資本財!$V$5:$V$30,0))=W$112,INDEX(資本財!$P$5:$P$30,MATCH(ROW(V6),資本財!$V$5:$V$30,0))*$AG118,0),"")</f>
        <v/>
      </c>
      <c r="X118" s="705">
        <f t="shared" si="49"/>
        <v>0</v>
      </c>
      <c r="Y118" s="354" t="str">
        <f>IFERROR(S118*$AJ$170/('製造(P)'!$K$190+'貯蔵・輸送(ST)'!$K$190+'供給(D)'!$K$190),"")</f>
        <v/>
      </c>
      <c r="Z118" s="354" t="str">
        <f>IFERROR(T118*$AJ$170/('製造(P)'!$K$190+'貯蔵・輸送(ST)'!$K$190+'供給(D)'!$K$190),"")</f>
        <v/>
      </c>
      <c r="AA118" s="354" t="str">
        <f>IFERROR(U118*$AJ$170/('製造(P)'!$K$190+'貯蔵・輸送(ST)'!$K$190+'供給(D)'!$K$190),"")</f>
        <v/>
      </c>
      <c r="AB118" s="354" t="str">
        <f>IFERROR(V118*$AJ$170/('製造(P)'!$K$190+'貯蔵・輸送(ST)'!$K$190+'供給(D)'!$K$190),"")</f>
        <v/>
      </c>
      <c r="AC118" s="354" t="str">
        <f>IFERROR(W118*$AJ$170/('製造(P)'!$K$190+'貯蔵・輸送(ST)'!$K$190+'供給(D)'!$K$190),"")</f>
        <v/>
      </c>
      <c r="AD118" s="778" t="str">
        <f>IFERROR(IF(X118=0,"",X118*$AJ$170/('製造(P)'!$K$190+'貯蔵・輸送(ST)'!$K$190+'供給(D)'!$K$190)),"")</f>
        <v/>
      </c>
      <c r="AE118" s="685"/>
      <c r="AF118" s="808"/>
      <c r="AG118" s="408" t="str">
        <f>IFERROR(IF(INDEX(資本財!$H$5:$H$30,MATCH(ROW(R6),資本財!$V$5:$V$30,0))="[Nm3]",$D$6,IF(INDEX(資本財!$H$5:$H$30,MATCH(ROW(R6),資本財!$V$5:$V$30,0))="[MJ]",$D$10,IF(INDEX(資本財!$H$5:$H$30,MATCH(ROW(R6),資本財!$V$5:$V$30,0))="[kg]",$D$9,""))),"")</f>
        <v/>
      </c>
      <c r="AH118" s="207"/>
      <c r="AI118" s="207"/>
      <c r="AJ118" s="535"/>
      <c r="AK118" s="153"/>
    </row>
    <row r="119" spans="2:39" s="149" customFormat="1" ht="15" customHeight="1">
      <c r="B119" s="936"/>
      <c r="C119" s="936"/>
      <c r="D119" s="936"/>
      <c r="E119" s="150"/>
      <c r="F119" s="225"/>
      <c r="G119" s="225"/>
      <c r="H119" s="225"/>
      <c r="I119" s="225"/>
      <c r="J119" s="225"/>
      <c r="K119" s="152"/>
      <c r="L119" s="367"/>
      <c r="M119" s="367"/>
      <c r="N119" s="365"/>
      <c r="O119" s="366"/>
      <c r="Q119" s="1057" t="str">
        <f>IFERROR(IF(MAX(資本財!$V$5:$V$30)&lt;1,"",INDEX(資本財!$D$5:$D$30,MATCH(ROW(T6),資本財!$V$5:$V$30,0))),"")</f>
        <v/>
      </c>
      <c r="R119" s="1058"/>
      <c r="S119" s="728" t="str">
        <f>IFERROR(IF(INDEX(資本財!$C$5:$C$30,MATCH(ROW(R7),資本財!$V$5:$V$30,0))=S$112,INDEX(資本財!$P$5:$P$30,MATCH(ROW(R7),資本財!$V$5:$V$30,0))*$AG119,0),"")</f>
        <v/>
      </c>
      <c r="T119" s="728" t="str">
        <f>IFERROR(IF(INDEX(資本財!$C$5:$C$30,MATCH(ROW(S7),資本財!$V$5:$V$30,0))=T$112,INDEX(資本財!$P$5:$P$30,MATCH(ROW(S7),資本財!$V$5:$V$30,0))*$AG119,0),"")</f>
        <v/>
      </c>
      <c r="U119" s="728" t="str">
        <f>IFERROR(IF(INDEX(資本財!$C$5:$C$30,MATCH(ROW(T7),資本財!$V$5:$V$30,0))=U$112,INDEX(資本財!$P$5:$P$30,MATCH(ROW(T7),資本財!$V$5:$V$30,0))*$AG119,0),"")</f>
        <v/>
      </c>
      <c r="V119" s="728" t="str">
        <f>IFERROR(IF(INDEX(資本財!$C$5:$C$30,MATCH(ROW(U7),資本財!$V$5:$V$30,0))=V$112,INDEX(資本財!$P$5:$P$30,MATCH(ROW(U7),資本財!$V$5:$V$30,0))*$AG119,0),"")</f>
        <v/>
      </c>
      <c r="W119" s="728" t="str">
        <f>IFERROR(IF(INDEX(資本財!$C$5:$C$30,MATCH(ROW(V7),資本財!$V$5:$V$30,0))=W$112,INDEX(資本財!$P$5:$P$30,MATCH(ROW(V7),資本財!$V$5:$V$30,0))*$AG119,0),"")</f>
        <v/>
      </c>
      <c r="X119" s="705">
        <f t="shared" si="49"/>
        <v>0</v>
      </c>
      <c r="Y119" s="354" t="str">
        <f>IFERROR(S119*$AJ$170/('製造(P)'!$K$190+'貯蔵・輸送(ST)'!$K$190+'供給(D)'!$K$190),"")</f>
        <v/>
      </c>
      <c r="Z119" s="354" t="str">
        <f>IFERROR(T119*$AJ$170/('製造(P)'!$K$190+'貯蔵・輸送(ST)'!$K$190+'供給(D)'!$K$190),"")</f>
        <v/>
      </c>
      <c r="AA119" s="354" t="str">
        <f>IFERROR(U119*$AJ$170/('製造(P)'!$K$190+'貯蔵・輸送(ST)'!$K$190+'供給(D)'!$K$190),"")</f>
        <v/>
      </c>
      <c r="AB119" s="354" t="str">
        <f>IFERROR(V119*$AJ$170/('製造(P)'!$K$190+'貯蔵・輸送(ST)'!$K$190+'供給(D)'!$K$190),"")</f>
        <v/>
      </c>
      <c r="AC119" s="354" t="str">
        <f>IFERROR(W119*$AJ$170/('製造(P)'!$K$190+'貯蔵・輸送(ST)'!$K$190+'供給(D)'!$K$190),"")</f>
        <v/>
      </c>
      <c r="AD119" s="778" t="str">
        <f>IFERROR(IF(X119=0,"",X119*$AJ$170/('製造(P)'!$K$190+'貯蔵・輸送(ST)'!$K$190+'供給(D)'!$K$190)),"")</f>
        <v/>
      </c>
      <c r="AE119" s="685"/>
      <c r="AF119" s="808"/>
      <c r="AG119" s="408" t="str">
        <f>IFERROR(IF(INDEX(資本財!$H$5:$H$30,MATCH(ROW(R7),資本財!$V$5:$V$30,0))="[Nm3]",$D$6,IF(INDEX(資本財!$H$5:$H$30,MATCH(ROW(R7),資本財!$V$5:$V$30,0))="[MJ]",$D$10,IF(INDEX(資本財!$H$5:$H$30,MATCH(ROW(R7),資本財!$V$5:$V$30,0))="[kg]",$D$9,""))),"")</f>
        <v/>
      </c>
      <c r="AH119" s="207"/>
      <c r="AI119" s="207"/>
      <c r="AJ119" s="535"/>
      <c r="AK119" s="153"/>
    </row>
    <row r="120" spans="2:39" s="149" customFormat="1" ht="15" customHeight="1">
      <c r="B120" s="936"/>
      <c r="C120" s="936"/>
      <c r="D120" s="936"/>
      <c r="E120" s="150"/>
      <c r="F120" s="225"/>
      <c r="G120" s="225"/>
      <c r="H120" s="225"/>
      <c r="I120" s="225"/>
      <c r="J120" s="225"/>
      <c r="K120" s="152"/>
      <c r="L120" s="367"/>
      <c r="M120" s="367"/>
      <c r="N120" s="365"/>
      <c r="O120" s="366"/>
      <c r="Q120" s="1057" t="str">
        <f>IFERROR(IF(MAX(資本財!$V$5:$V$30)&lt;1,"",INDEX(資本財!$D$5:$D$30,MATCH(ROW(T7),資本財!$V$5:$V$30,0))),"")</f>
        <v/>
      </c>
      <c r="R120" s="1058"/>
      <c r="S120" s="728" t="str">
        <f>IFERROR(IF(INDEX(資本財!$C$5:$C$30,MATCH(ROW(R8),資本財!$V$5:$V$30,0))=S$112,INDEX(資本財!$P$5:$P$30,MATCH(ROW(R8),資本財!$V$5:$V$30,0))*$AG120,0),"")</f>
        <v/>
      </c>
      <c r="T120" s="728" t="str">
        <f>IFERROR(IF(INDEX(資本財!$C$5:$C$30,MATCH(ROW(S8),資本財!$V$5:$V$30,0))=T$112,INDEX(資本財!$P$5:$P$30,MATCH(ROW(S8),資本財!$V$5:$V$30,0))*$AG120,0),"")</f>
        <v/>
      </c>
      <c r="U120" s="728" t="str">
        <f>IFERROR(IF(INDEX(資本財!$C$5:$C$30,MATCH(ROW(T8),資本財!$V$5:$V$30,0))=U$112,INDEX(資本財!$P$5:$P$30,MATCH(ROW(T8),資本財!$V$5:$V$30,0))*$AG120,0),"")</f>
        <v/>
      </c>
      <c r="V120" s="728" t="str">
        <f>IFERROR(IF(INDEX(資本財!$C$5:$C$30,MATCH(ROW(U8),資本財!$V$5:$V$30,0))=V$112,INDEX(資本財!$P$5:$P$30,MATCH(ROW(U8),資本財!$V$5:$V$30,0))*$AG120,0),"")</f>
        <v/>
      </c>
      <c r="W120" s="728" t="str">
        <f>IFERROR(IF(INDEX(資本財!$C$5:$C$30,MATCH(ROW(V8),資本財!$V$5:$V$30,0))=W$112,INDEX(資本財!$P$5:$P$30,MATCH(ROW(V8),資本財!$V$5:$V$30,0))*$AG120,0),"")</f>
        <v/>
      </c>
      <c r="X120" s="705">
        <f t="shared" si="49"/>
        <v>0</v>
      </c>
      <c r="Y120" s="354" t="str">
        <f>IFERROR(S120*$AJ$170/('製造(P)'!$K$190+'貯蔵・輸送(ST)'!$K$190+'供給(D)'!$K$190),"")</f>
        <v/>
      </c>
      <c r="Z120" s="354" t="str">
        <f>IFERROR(T120*$AJ$170/('製造(P)'!$K$190+'貯蔵・輸送(ST)'!$K$190+'供給(D)'!$K$190),"")</f>
        <v/>
      </c>
      <c r="AA120" s="354" t="str">
        <f>IFERROR(U120*$AJ$170/('製造(P)'!$K$190+'貯蔵・輸送(ST)'!$K$190+'供給(D)'!$K$190),"")</f>
        <v/>
      </c>
      <c r="AB120" s="354" t="str">
        <f>IFERROR(V120*$AJ$170/('製造(P)'!$K$190+'貯蔵・輸送(ST)'!$K$190+'供給(D)'!$K$190),"")</f>
        <v/>
      </c>
      <c r="AC120" s="354" t="str">
        <f>IFERROR(W120*$AJ$170/('製造(P)'!$K$190+'貯蔵・輸送(ST)'!$K$190+'供給(D)'!$K$190),"")</f>
        <v/>
      </c>
      <c r="AD120" s="778" t="str">
        <f>IFERROR(IF(X120=0,"",X120*$AJ$170/('製造(P)'!$K$190+'貯蔵・輸送(ST)'!$K$190+'供給(D)'!$K$190)),"")</f>
        <v/>
      </c>
      <c r="AE120" s="685"/>
      <c r="AF120" s="808"/>
      <c r="AG120" s="408" t="str">
        <f>IFERROR(IF(INDEX(資本財!$H$5:$H$30,MATCH(ROW(R8),資本財!$V$5:$V$30,0))="[Nm3]",$D$6,IF(INDEX(資本財!$H$5:$H$30,MATCH(ROW(R8),資本財!$V$5:$V$30,0))="[MJ]",$D$10,IF(INDEX(資本財!$H$5:$H$30,MATCH(ROW(R8),資本財!$V$5:$V$30,0))="[kg]",$D$9,""))),"")</f>
        <v/>
      </c>
      <c r="AH120" s="207"/>
      <c r="AI120" s="207"/>
      <c r="AJ120" s="535"/>
      <c r="AK120" s="153"/>
    </row>
    <row r="121" spans="2:39" s="149" customFormat="1" ht="15" customHeight="1">
      <c r="B121" s="936"/>
      <c r="C121" s="936"/>
      <c r="D121" s="936"/>
      <c r="E121" s="150"/>
      <c r="F121" s="225"/>
      <c r="G121" s="225"/>
      <c r="H121" s="225"/>
      <c r="I121" s="225"/>
      <c r="J121" s="225"/>
      <c r="K121" s="152"/>
      <c r="L121" s="367"/>
      <c r="M121" s="367"/>
      <c r="N121" s="365"/>
      <c r="O121" s="366"/>
      <c r="Q121" s="1057" t="str">
        <f>IFERROR(IF(MAX(資本財!$V$5:$V$30)&lt;1,"",INDEX(資本財!$D$5:$D$30,MATCH(ROW(S8),資本財!$V$5:$V$30,0))),"")</f>
        <v/>
      </c>
      <c r="R121" s="1058"/>
      <c r="S121" s="728" t="str">
        <f>IFERROR(IF(INDEX(資本財!$C$5:$C$30,MATCH(ROW(R9),資本財!$V$5:$V$30,0))=S$112,INDEX(資本財!$P$5:$P$30,MATCH(ROW(R9),資本財!$V$5:$V$30,0))*$AG121,0),"")</f>
        <v/>
      </c>
      <c r="T121" s="728" t="str">
        <f>IFERROR(IF(INDEX(資本財!$C$5:$C$30,MATCH(ROW(S9),資本財!$V$5:$V$30,0))=T$112,INDEX(資本財!$P$5:$P$30,MATCH(ROW(S9),資本財!$V$5:$V$30,0))*$AG121,0),"")</f>
        <v/>
      </c>
      <c r="U121" s="728" t="str">
        <f>IFERROR(IF(INDEX(資本財!$C$5:$C$30,MATCH(ROW(T9),資本財!$V$5:$V$30,0))=U$112,INDEX(資本財!$P$5:$P$30,MATCH(ROW(T9),資本財!$V$5:$V$30,0))*$AG121,0),"")</f>
        <v/>
      </c>
      <c r="V121" s="728" t="str">
        <f>IFERROR(IF(INDEX(資本財!$C$5:$C$30,MATCH(ROW(U9),資本財!$V$5:$V$30,0))=V$112,INDEX(資本財!$P$5:$P$30,MATCH(ROW(U9),資本財!$V$5:$V$30,0))*$AG121,0),"")</f>
        <v/>
      </c>
      <c r="W121" s="728" t="str">
        <f>IFERROR(IF(INDEX(資本財!$C$5:$C$30,MATCH(ROW(V9),資本財!$V$5:$V$30,0))=W$112,INDEX(資本財!$P$5:$P$30,MATCH(ROW(V9),資本財!$V$5:$V$30,0))*$AG121,0),"")</f>
        <v/>
      </c>
      <c r="X121" s="705">
        <f t="shared" si="49"/>
        <v>0</v>
      </c>
      <c r="Y121" s="354" t="str">
        <f>IFERROR(S121*$AJ$170/('製造(P)'!$K$190+'貯蔵・輸送(ST)'!$K$190+'供給(D)'!$K$190),"")</f>
        <v/>
      </c>
      <c r="Z121" s="354" t="str">
        <f>IFERROR(T121*$AJ$170/('製造(P)'!$K$190+'貯蔵・輸送(ST)'!$K$190+'供給(D)'!$K$190),"")</f>
        <v/>
      </c>
      <c r="AA121" s="354" t="str">
        <f>IFERROR(U121*$AJ$170/('製造(P)'!$K$190+'貯蔵・輸送(ST)'!$K$190+'供給(D)'!$K$190),"")</f>
        <v/>
      </c>
      <c r="AB121" s="354" t="str">
        <f>IFERROR(V121*$AJ$170/('製造(P)'!$K$190+'貯蔵・輸送(ST)'!$K$190+'供給(D)'!$K$190),"")</f>
        <v/>
      </c>
      <c r="AC121" s="354" t="str">
        <f>IFERROR(W121*$AJ$170/('製造(P)'!$K$190+'貯蔵・輸送(ST)'!$K$190+'供給(D)'!$K$190),"")</f>
        <v/>
      </c>
      <c r="AD121" s="778" t="str">
        <f>IFERROR(IF(X121=0,"",X121*$AJ$170/('製造(P)'!$K$190+'貯蔵・輸送(ST)'!$K$190+'供給(D)'!$K$190)),"")</f>
        <v/>
      </c>
      <c r="AE121" s="685"/>
      <c r="AF121" s="808"/>
      <c r="AG121" s="408" t="str">
        <f>IFERROR(IF(INDEX(資本財!$H$5:$H$30,MATCH(ROW(R9),資本財!$V$5:$V$30,0))="[Nm3]",$D$6,IF(INDEX(資本財!$H$5:$H$30,MATCH(ROW(R9),資本財!$V$5:$V$30,0))="[MJ]",$D$10,IF(INDEX(資本財!$H$5:$H$30,MATCH(ROW(R9),資本財!$V$5:$V$30,0))="[kg]",$D$9,""))),"")</f>
        <v/>
      </c>
      <c r="AH121" s="207"/>
      <c r="AI121" s="207"/>
      <c r="AJ121" s="535"/>
      <c r="AK121" s="153"/>
    </row>
    <row r="122" spans="2:39" s="149" customFormat="1" ht="15" customHeight="1">
      <c r="B122" s="936"/>
      <c r="C122" s="936"/>
      <c r="D122" s="936"/>
      <c r="E122" s="150"/>
      <c r="F122" s="225"/>
      <c r="G122" s="225"/>
      <c r="H122" s="225"/>
      <c r="I122" s="225"/>
      <c r="J122" s="225"/>
      <c r="K122" s="152"/>
      <c r="L122" s="367"/>
      <c r="M122" s="367"/>
      <c r="N122" s="365"/>
      <c r="O122" s="366"/>
      <c r="Q122" s="1057" t="str">
        <f>IFERROR(IF(MAX(資本財!$V$5:$V$30)&lt;1,"",INDEX(資本財!$D$5:$D$30,MATCH(ROW(S9),資本財!$V$5:$V$30,0))),"")</f>
        <v/>
      </c>
      <c r="R122" s="1058"/>
      <c r="S122" s="728" t="str">
        <f>IFERROR(IF(INDEX(資本財!$C$5:$C$30,MATCH(ROW(R10),資本財!$V$5:$V$30,0))=S$112,INDEX(資本財!$P$5:$P$30,MATCH(ROW(R10),資本財!$V$5:$V$30,0))*$AG122,0),"")</f>
        <v/>
      </c>
      <c r="T122" s="728" t="str">
        <f>IFERROR(IF(INDEX(資本財!$C$5:$C$30,MATCH(ROW(S10),資本財!$V$5:$V$30,0))=T$112,INDEX(資本財!$P$5:$P$30,MATCH(ROW(S10),資本財!$V$5:$V$30,0))*$AG122,0),"")</f>
        <v/>
      </c>
      <c r="U122" s="728" t="str">
        <f>IFERROR(IF(INDEX(資本財!$C$5:$C$30,MATCH(ROW(T10),資本財!$V$5:$V$30,0))=U$112,INDEX(資本財!$P$5:$P$30,MATCH(ROW(T10),資本財!$V$5:$V$30,0))*$AG122,0),"")</f>
        <v/>
      </c>
      <c r="V122" s="728" t="str">
        <f>IFERROR(IF(INDEX(資本財!$C$5:$C$30,MATCH(ROW(U10),資本財!$V$5:$V$30,0))=V$112,INDEX(資本財!$P$5:$P$30,MATCH(ROW(U10),資本財!$V$5:$V$30,0))*$AG122,0),"")</f>
        <v/>
      </c>
      <c r="W122" s="728" t="str">
        <f>IFERROR(IF(INDEX(資本財!$C$5:$C$30,MATCH(ROW(V10),資本財!$V$5:$V$30,0))=W$112,INDEX(資本財!$P$5:$P$30,MATCH(ROW(V10),資本財!$V$5:$V$30,0))*$AG122,0),"")</f>
        <v/>
      </c>
      <c r="X122" s="705">
        <f t="shared" si="49"/>
        <v>0</v>
      </c>
      <c r="Y122" s="354" t="str">
        <f>IFERROR(S122*$AJ$170/('製造(P)'!$K$190+'貯蔵・輸送(ST)'!$K$190+'供給(D)'!$K$190),"")</f>
        <v/>
      </c>
      <c r="Z122" s="354" t="str">
        <f>IFERROR(T122*$AJ$170/('製造(P)'!$K$190+'貯蔵・輸送(ST)'!$K$190+'供給(D)'!$K$190),"")</f>
        <v/>
      </c>
      <c r="AA122" s="354" t="str">
        <f>IFERROR(U122*$AJ$170/('製造(P)'!$K$190+'貯蔵・輸送(ST)'!$K$190+'供給(D)'!$K$190),"")</f>
        <v/>
      </c>
      <c r="AB122" s="354" t="str">
        <f>IFERROR(V122*$AJ$170/('製造(P)'!$K$190+'貯蔵・輸送(ST)'!$K$190+'供給(D)'!$K$190),"")</f>
        <v/>
      </c>
      <c r="AC122" s="354" t="str">
        <f>IFERROR(W122*$AJ$170/('製造(P)'!$K$190+'貯蔵・輸送(ST)'!$K$190+'供給(D)'!$K$190),"")</f>
        <v/>
      </c>
      <c r="AD122" s="778" t="str">
        <f>IFERROR(IF(X122=0,"",X122*$AJ$170/('製造(P)'!$K$190+'貯蔵・輸送(ST)'!$K$190+'供給(D)'!$K$190)),"")</f>
        <v/>
      </c>
      <c r="AE122" s="685"/>
      <c r="AF122" s="808"/>
      <c r="AG122" s="408" t="str">
        <f>IFERROR(IF(INDEX(資本財!$H$5:$H$30,MATCH(ROW(R10),資本財!$V$5:$V$30,0))="[Nm3]",$D$6,IF(INDEX(資本財!$H$5:$H$30,MATCH(ROW(R10),資本財!$V$5:$V$30,0))="[MJ]",$D$10,IF(INDEX(資本財!$H$5:$H$30,MATCH(ROW(R10),資本財!$V$5:$V$30,0))="[kg]",$D$9,""))),"")</f>
        <v/>
      </c>
      <c r="AH122" s="207"/>
      <c r="AI122" s="207"/>
      <c r="AJ122" s="535"/>
      <c r="AK122" s="153"/>
    </row>
    <row r="123" spans="2:39" s="149" customFormat="1" ht="15" customHeight="1">
      <c r="B123" s="368"/>
      <c r="C123" s="368"/>
      <c r="D123" s="368"/>
      <c r="E123" s="150"/>
      <c r="F123" s="225"/>
      <c r="G123" s="225"/>
      <c r="H123" s="225"/>
      <c r="I123" s="225"/>
      <c r="J123" s="225"/>
      <c r="K123" s="152"/>
      <c r="L123" s="367"/>
      <c r="M123" s="367"/>
      <c r="N123" s="365"/>
      <c r="O123" s="366"/>
      <c r="Q123" s="147" t="s">
        <v>144</v>
      </c>
      <c r="R123" s="148"/>
      <c r="S123" s="716">
        <f>SUM(S113:S122)</f>
        <v>37.05043294270552</v>
      </c>
      <c r="T123" s="716">
        <f t="shared" ref="T123:X123" si="50">SUM(T113:T122)</f>
        <v>0</v>
      </c>
      <c r="U123" s="716">
        <f t="shared" si="50"/>
        <v>0</v>
      </c>
      <c r="V123" s="716">
        <f t="shared" si="50"/>
        <v>0</v>
      </c>
      <c r="W123" s="716">
        <f t="shared" si="50"/>
        <v>0</v>
      </c>
      <c r="X123" s="716">
        <f t="shared" si="50"/>
        <v>37.05043294270552</v>
      </c>
      <c r="Y123" s="354">
        <f>IFERROR(S123*$AJ$170/('製造(P)'!$K$190+'貯蔵・輸送(ST)'!$K$190+'供給(D)'!$K$190),"")</f>
        <v>0.39237373080133331</v>
      </c>
      <c r="Z123" s="354">
        <f>IFERROR(T123*$AJ$170/('製造(P)'!$K$190+'貯蔵・輸送(ST)'!$K$190+'供給(D)'!$K$190),"")</f>
        <v>0</v>
      </c>
      <c r="AA123" s="354">
        <f>IFERROR(U123*$AJ$170/('製造(P)'!$K$190+'貯蔵・輸送(ST)'!$K$190+'供給(D)'!$K$190),"")</f>
        <v>0</v>
      </c>
      <c r="AB123" s="354">
        <f>IFERROR(V123*$AJ$170/('製造(P)'!$K$190+'貯蔵・輸送(ST)'!$K$190+'供給(D)'!$K$190),"")</f>
        <v>0</v>
      </c>
      <c r="AC123" s="354">
        <f>IFERROR(W123*$AJ$170/('製造(P)'!$K$190+'貯蔵・輸送(ST)'!$K$190+'供給(D)'!$K$190),"")</f>
        <v>0</v>
      </c>
      <c r="AD123" s="354">
        <f>IFERROR(X123*$AJ$170/('製造(P)'!$K$190+'貯蔵・輸送(ST)'!$K$190+'供給(D)'!$K$190),"")</f>
        <v>0.39237373080133331</v>
      </c>
      <c r="AE123" s="796"/>
      <c r="AF123" s="796"/>
      <c r="AG123" s="408" t="str">
        <f>IFERROR(IF(INDEX(資本財!$H$5:$H$30,MATCH(ROW(R11),資本財!$V$5:$V$30,0))="[Nm3]",$D$6,IF(INDEX(資本財!$H$5:$H$30,MATCH(ROW(R11),資本財!$V$5:$V$30,0))="[MJ]",$D$10,IF(INDEX(資本財!$H$5:$H$30,MATCH(ROW(R11),資本財!$V$5:$V$30,0))="[kg]",$D$9,""))),"")</f>
        <v/>
      </c>
      <c r="AH123" s="207"/>
      <c r="AI123" s="207"/>
      <c r="AJ123" s="535"/>
      <c r="AK123" s="153"/>
    </row>
    <row r="124" spans="2:39" s="149" customFormat="1">
      <c r="F124" s="220"/>
      <c r="G124" s="220"/>
      <c r="H124" s="220"/>
      <c r="I124" s="220"/>
      <c r="J124" s="220"/>
      <c r="N124" s="320"/>
      <c r="S124" s="220"/>
      <c r="T124" s="220"/>
      <c r="U124" s="220"/>
      <c r="V124" s="220"/>
      <c r="W124" s="220"/>
      <c r="X124" s="220"/>
      <c r="Y124" s="222"/>
      <c r="Z124" s="222"/>
      <c r="AA124" s="222"/>
      <c r="AB124" s="222"/>
      <c r="AC124" s="222"/>
      <c r="AD124" s="222"/>
      <c r="AE124" s="222"/>
      <c r="AF124" s="222"/>
      <c r="AG124" s="207"/>
      <c r="AH124" s="207"/>
      <c r="AI124" s="153"/>
      <c r="AJ124" s="535"/>
      <c r="AK124" s="153"/>
      <c r="AL124" s="153"/>
      <c r="AM124" s="153"/>
    </row>
    <row r="125" spans="2:39" ht="14.1" customHeight="1">
      <c r="B125" s="890" t="s">
        <v>7526</v>
      </c>
      <c r="C125" s="937"/>
      <c r="D125" s="891"/>
      <c r="E125" s="892"/>
      <c r="F125" s="1069" t="s">
        <v>7670</v>
      </c>
      <c r="G125" s="939"/>
      <c r="H125" s="939"/>
      <c r="I125" s="939"/>
      <c r="J125" s="939"/>
      <c r="K125" s="940"/>
      <c r="L125" s="941" t="s">
        <v>136</v>
      </c>
      <c r="M125" s="943" t="s">
        <v>210</v>
      </c>
      <c r="N125" s="944"/>
      <c r="O125" s="945"/>
      <c r="P125" s="149"/>
      <c r="Q125" s="890" t="s">
        <v>7797</v>
      </c>
      <c r="R125" s="892"/>
      <c r="S125" s="933" t="s">
        <v>7666</v>
      </c>
      <c r="T125" s="934"/>
      <c r="U125" s="934"/>
      <c r="V125" s="934"/>
      <c r="W125" s="934"/>
      <c r="X125" s="934"/>
      <c r="Y125" s="955" t="s">
        <v>7543</v>
      </c>
      <c r="Z125" s="956"/>
      <c r="AA125" s="956"/>
      <c r="AB125" s="956"/>
      <c r="AC125" s="956"/>
      <c r="AD125" s="956"/>
      <c r="AE125" s="810"/>
      <c r="AF125" s="810"/>
      <c r="AG125" s="207"/>
      <c r="AH125" s="207"/>
      <c r="AI125" s="59"/>
      <c r="AJ125" s="1026" t="s">
        <v>210</v>
      </c>
      <c r="AK125" s="1026"/>
      <c r="AL125" s="59"/>
      <c r="AM125" s="59"/>
    </row>
    <row r="126" spans="2:39">
      <c r="B126" s="893"/>
      <c r="C126" s="894"/>
      <c r="D126" s="894"/>
      <c r="E126" s="895"/>
      <c r="F126" s="312" t="s">
        <v>7426</v>
      </c>
      <c r="G126" s="312" t="s">
        <v>7427</v>
      </c>
      <c r="H126" s="312" t="s">
        <v>7428</v>
      </c>
      <c r="I126" s="312" t="s">
        <v>7429</v>
      </c>
      <c r="J126" s="312" t="s">
        <v>7430</v>
      </c>
      <c r="K126" s="313" t="s">
        <v>7431</v>
      </c>
      <c r="L126" s="942"/>
      <c r="M126" s="946"/>
      <c r="N126" s="947"/>
      <c r="O126" s="948"/>
      <c r="P126" s="149"/>
      <c r="Q126" s="896"/>
      <c r="R126" s="898"/>
      <c r="S126" s="312" t="s">
        <v>7438</v>
      </c>
      <c r="T126" s="312" t="s">
        <v>7055</v>
      </c>
      <c r="U126" s="312" t="s">
        <v>7056</v>
      </c>
      <c r="V126" s="312" t="s">
        <v>7057</v>
      </c>
      <c r="W126" s="312" t="s">
        <v>7058</v>
      </c>
      <c r="X126" s="369" t="s">
        <v>7520</v>
      </c>
      <c r="Y126" s="383" t="s">
        <v>7544</v>
      </c>
      <c r="Z126" s="383" t="s">
        <v>7055</v>
      </c>
      <c r="AA126" s="383" t="s">
        <v>7056</v>
      </c>
      <c r="AB126" s="383" t="s">
        <v>7057</v>
      </c>
      <c r="AC126" s="383" t="s">
        <v>7058</v>
      </c>
      <c r="AD126" s="790" t="s">
        <v>7004</v>
      </c>
      <c r="AE126" s="364"/>
      <c r="AF126" s="364"/>
      <c r="AG126" s="207"/>
      <c r="AH126" s="207"/>
      <c r="AI126" s="59"/>
      <c r="AJ126" s="1019"/>
      <c r="AK126" s="1019"/>
      <c r="AL126" s="59"/>
      <c r="AM126" s="59"/>
    </row>
    <row r="127" spans="2:39" ht="15" customHeight="1">
      <c r="B127" s="932" t="str">
        <f>IF(B57="","",B57)</f>
        <v>風力発電陸上（1,000kW級）</v>
      </c>
      <c r="C127" s="932"/>
      <c r="D127" s="932"/>
      <c r="E127" s="373" t="s">
        <v>7530</v>
      </c>
      <c r="F127" s="703">
        <f>F57</f>
        <v>200</v>
      </c>
      <c r="G127" s="703">
        <f t="shared" ref="G127:J127" si="51">G57</f>
        <v>0</v>
      </c>
      <c r="H127" s="703">
        <f t="shared" si="51"/>
        <v>0</v>
      </c>
      <c r="I127" s="703">
        <f t="shared" si="51"/>
        <v>0</v>
      </c>
      <c r="J127" s="703">
        <f t="shared" si="51"/>
        <v>0</v>
      </c>
      <c r="K127" s="726">
        <f t="shared" ref="K127:K129" si="52">SUM(F127:J127)</f>
        <v>200</v>
      </c>
      <c r="L127" s="654" t="s">
        <v>192</v>
      </c>
      <c r="M127" s="479"/>
      <c r="N127" s="479">
        <f>IFERROR(VLOOKUP($B127,共通データ!$B$32:$P$37,14,FALSE),"")</f>
        <v>1.7600000000000001E-2</v>
      </c>
      <c r="O127" s="489" t="str">
        <f>IF(B127="","","[kg-CO2/kWh] ")</f>
        <v xml:space="preserve">[kg-CO2/kWh] </v>
      </c>
      <c r="P127" s="149"/>
      <c r="Q127" s="910" t="str">
        <f>B127</f>
        <v>風力発電陸上（1,000kW級）</v>
      </c>
      <c r="R127" s="911"/>
      <c r="S127" s="715">
        <f>IFERROR(F127*$N127,0)</f>
        <v>3.52</v>
      </c>
      <c r="T127" s="715">
        <f t="shared" ref="T127:W129" si="53">IFERROR(G127*$N127,0)</f>
        <v>0</v>
      </c>
      <c r="U127" s="715">
        <f t="shared" si="53"/>
        <v>0</v>
      </c>
      <c r="V127" s="715">
        <f t="shared" si="53"/>
        <v>0</v>
      </c>
      <c r="W127" s="715">
        <f t="shared" si="53"/>
        <v>0</v>
      </c>
      <c r="X127" s="717">
        <f t="shared" ref="X127:X128" si="54">SUM(S127:W127)</f>
        <v>3.52</v>
      </c>
      <c r="Y127" s="354">
        <f>IFERROR(IF(S127=0,"",S127*$AJ$170/('製造(P)'!$K$190+'貯蔵・輸送(ST)'!$K$190+'供給(D)'!$K$190)),"")</f>
        <v>3.7277716418496393E-2</v>
      </c>
      <c r="Z127" s="354" t="str">
        <f>IFERROR(IF(T127=0,"",T127*$AJ$170/('製造(P)'!$K$190+'貯蔵・輸送(ST)'!$K$190+'供給(D)'!$K$190)),"")</f>
        <v/>
      </c>
      <c r="AA127" s="354" t="str">
        <f>IFERROR(IF(U127=0,"",U127*$AJ$170/('製造(P)'!$K$190+'貯蔵・輸送(ST)'!$K$190+'供給(D)'!$K$190)),"")</f>
        <v/>
      </c>
      <c r="AB127" s="354" t="str">
        <f>IFERROR(IF(V127=0,"",V127*$AJ$170/('製造(P)'!$K$190+'貯蔵・輸送(ST)'!$K$190+'供給(D)'!$K$190)),"")</f>
        <v/>
      </c>
      <c r="AC127" s="354" t="str">
        <f>IFERROR(IF(W127=0,"",W127*$AJ$170/('製造(P)'!$K$190+'貯蔵・輸送(ST)'!$K$190+'供給(D)'!$K$190)),"")</f>
        <v/>
      </c>
      <c r="AD127" s="778">
        <f>IFERROR(IF(X127=0,"",X127*$AJ$170/('製造(P)'!$K$190+'貯蔵・輸送(ST)'!$K$190+'供給(D)'!$K$190)),"")</f>
        <v>3.7277716418496393E-2</v>
      </c>
      <c r="AE127" s="806"/>
      <c r="AF127" s="806"/>
      <c r="AG127" s="207" t="s">
        <v>6940</v>
      </c>
      <c r="AH127" s="207">
        <v>172411000</v>
      </c>
      <c r="AI127" s="59"/>
      <c r="AJ127" s="538">
        <f>VLOOKUP($AH127,IDEAv2原単位!$A$3:$F$4021,6,FALSE)</f>
        <v>1.2378879008784885E-2</v>
      </c>
      <c r="AK127" s="213" t="s">
        <v>54</v>
      </c>
      <c r="AL127" s="59"/>
      <c r="AM127" s="59"/>
    </row>
    <row r="128" spans="2:39" ht="15" customHeight="1">
      <c r="B128" s="932" t="str">
        <f t="shared" ref="B128:B129" si="55">IF(B58="","",B58)</f>
        <v/>
      </c>
      <c r="C128" s="932"/>
      <c r="D128" s="932"/>
      <c r="E128" s="373" t="s">
        <v>7530</v>
      </c>
      <c r="F128" s="703">
        <f t="shared" ref="F128:J129" si="56">F58</f>
        <v>0</v>
      </c>
      <c r="G128" s="703">
        <f t="shared" si="56"/>
        <v>0</v>
      </c>
      <c r="H128" s="703">
        <f t="shared" si="56"/>
        <v>0</v>
      </c>
      <c r="I128" s="703">
        <f t="shared" si="56"/>
        <v>0</v>
      </c>
      <c r="J128" s="703">
        <f t="shared" si="56"/>
        <v>0</v>
      </c>
      <c r="K128" s="726">
        <f t="shared" si="52"/>
        <v>0</v>
      </c>
      <c r="L128" s="654" t="s">
        <v>192</v>
      </c>
      <c r="M128" s="479"/>
      <c r="N128" s="479" t="str">
        <f>IFERROR(VLOOKUP($B128,共通データ!$B$32:$P$37,14,FALSE),"")</f>
        <v/>
      </c>
      <c r="O128" s="489" t="str">
        <f t="shared" ref="O128:O129" si="57">IF(B128="","","[kg-CO2/kWh] ")</f>
        <v/>
      </c>
      <c r="P128" s="149"/>
      <c r="Q128" s="910" t="str">
        <f t="shared" ref="Q128:Q129" si="58">B128</f>
        <v/>
      </c>
      <c r="R128" s="911"/>
      <c r="S128" s="715">
        <f t="shared" ref="S128:S129" si="59">IFERROR(F128*$N128,0)</f>
        <v>0</v>
      </c>
      <c r="T128" s="715">
        <f t="shared" si="53"/>
        <v>0</v>
      </c>
      <c r="U128" s="715">
        <f t="shared" si="53"/>
        <v>0</v>
      </c>
      <c r="V128" s="715">
        <f t="shared" si="53"/>
        <v>0</v>
      </c>
      <c r="W128" s="715">
        <f t="shared" si="53"/>
        <v>0</v>
      </c>
      <c r="X128" s="717">
        <f t="shared" si="54"/>
        <v>0</v>
      </c>
      <c r="Y128" s="354" t="str">
        <f>IFERROR(IF(S128=0,"",S128*$AJ$170/('製造(P)'!$K$190+'貯蔵・輸送(ST)'!$K$190+'供給(D)'!$K$190)),"")</f>
        <v/>
      </c>
      <c r="Z128" s="354" t="str">
        <f>IFERROR(IF(T128=0,"",T128*$AJ$170/('製造(P)'!$K$190+'貯蔵・輸送(ST)'!$K$190+'供給(D)'!$K$190)),"")</f>
        <v/>
      </c>
      <c r="AA128" s="354" t="str">
        <f>IFERROR(IF(U128=0,"",U128*$AJ$170/('製造(P)'!$K$190+'貯蔵・輸送(ST)'!$K$190+'供給(D)'!$K$190)),"")</f>
        <v/>
      </c>
      <c r="AB128" s="354" t="str">
        <f>IFERROR(IF(V128=0,"",V128*$AJ$170/('製造(P)'!$K$190+'貯蔵・輸送(ST)'!$K$190+'供給(D)'!$K$190)),"")</f>
        <v/>
      </c>
      <c r="AC128" s="354" t="str">
        <f>IFERROR(IF(W128=0,"",W128*$AJ$170/('製造(P)'!$K$190+'貯蔵・輸送(ST)'!$K$190+'供給(D)'!$K$190)),"")</f>
        <v/>
      </c>
      <c r="AD128" s="778" t="str">
        <f>IFERROR(IF(X128=0,"",X128*$AJ$170/('製造(P)'!$K$190+'貯蔵・輸送(ST)'!$K$190+'供給(D)'!$K$190)),"")</f>
        <v/>
      </c>
      <c r="AE128" s="806"/>
      <c r="AF128" s="806"/>
      <c r="AG128" s="207" t="s">
        <v>6937</v>
      </c>
      <c r="AH128" s="207">
        <v>362111000</v>
      </c>
      <c r="AI128" s="59"/>
      <c r="AJ128" s="538">
        <f>VLOOKUP($AH128,IDEAv2原単位!$A$3:$F$4021,6,FALSE)</f>
        <v>0.14873753178233792</v>
      </c>
      <c r="AK128" s="213" t="s">
        <v>140</v>
      </c>
      <c r="AL128" s="59"/>
      <c r="AM128" s="59"/>
    </row>
    <row r="129" spans="1:39" ht="15" customHeight="1">
      <c r="B129" s="932" t="str">
        <f t="shared" si="55"/>
        <v/>
      </c>
      <c r="C129" s="932"/>
      <c r="D129" s="932"/>
      <c r="E129" s="373" t="s">
        <v>7530</v>
      </c>
      <c r="F129" s="703">
        <f t="shared" si="56"/>
        <v>0</v>
      </c>
      <c r="G129" s="703">
        <f t="shared" si="56"/>
        <v>0</v>
      </c>
      <c r="H129" s="703">
        <f t="shared" si="56"/>
        <v>0</v>
      </c>
      <c r="I129" s="703">
        <f t="shared" si="56"/>
        <v>0</v>
      </c>
      <c r="J129" s="703">
        <f t="shared" si="56"/>
        <v>0</v>
      </c>
      <c r="K129" s="726">
        <f t="shared" si="52"/>
        <v>0</v>
      </c>
      <c r="L129" s="654" t="s">
        <v>192</v>
      </c>
      <c r="M129" s="479"/>
      <c r="N129" s="479" t="str">
        <f>IFERROR(VLOOKUP($B129,共通データ!$B$32:$P$37,14,FALSE),"")</f>
        <v/>
      </c>
      <c r="O129" s="489" t="str">
        <f t="shared" si="57"/>
        <v/>
      </c>
      <c r="P129" s="149"/>
      <c r="Q129" s="910" t="str">
        <f t="shared" si="58"/>
        <v/>
      </c>
      <c r="R129" s="911"/>
      <c r="S129" s="715">
        <f t="shared" si="59"/>
        <v>0</v>
      </c>
      <c r="T129" s="715">
        <f t="shared" si="53"/>
        <v>0</v>
      </c>
      <c r="U129" s="715">
        <f t="shared" si="53"/>
        <v>0</v>
      </c>
      <c r="V129" s="715">
        <f t="shared" si="53"/>
        <v>0</v>
      </c>
      <c r="W129" s="715">
        <f t="shared" si="53"/>
        <v>0</v>
      </c>
      <c r="X129" s="717">
        <f t="shared" ref="X129" si="60">SUM(S129:W129)</f>
        <v>0</v>
      </c>
      <c r="Y129" s="354" t="str">
        <f>IFERROR(IF(S129=0,"",S129*$AJ$170/('製造(P)'!$K$190+'貯蔵・輸送(ST)'!$K$190+'供給(D)'!$K$190)),"")</f>
        <v/>
      </c>
      <c r="Z129" s="354" t="str">
        <f>IFERROR(IF(T129=0,"",T129*$AJ$170/('製造(P)'!$K$190+'貯蔵・輸送(ST)'!$K$190+'供給(D)'!$K$190)),"")</f>
        <v/>
      </c>
      <c r="AA129" s="354" t="str">
        <f>IFERROR(IF(U129=0,"",U129*$AJ$170/('製造(P)'!$K$190+'貯蔵・輸送(ST)'!$K$190+'供給(D)'!$K$190)),"")</f>
        <v/>
      </c>
      <c r="AB129" s="354" t="str">
        <f>IFERROR(IF(V129=0,"",V129*$AJ$170/('製造(P)'!$K$190+'貯蔵・輸送(ST)'!$K$190+'供給(D)'!$K$190)),"")</f>
        <v/>
      </c>
      <c r="AC129" s="354" t="str">
        <f>IFERROR(IF(W129=0,"",W129*$AJ$170/('製造(P)'!$K$190+'貯蔵・輸送(ST)'!$K$190+'供給(D)'!$K$190)),"")</f>
        <v/>
      </c>
      <c r="AD129" s="778" t="str">
        <f>IFERROR(IF(X129=0,"",X129*$AJ$170/('製造(P)'!$K$190+'貯蔵・輸送(ST)'!$K$190+'供給(D)'!$K$190)),"")</f>
        <v/>
      </c>
      <c r="AE129" s="806"/>
      <c r="AF129" s="806"/>
      <c r="AG129" s="207"/>
      <c r="AH129" s="207"/>
      <c r="AI129" s="59"/>
      <c r="AJ129" s="540"/>
      <c r="AK129" s="371"/>
      <c r="AL129" s="59"/>
      <c r="AM129" s="59"/>
    </row>
    <row r="130" spans="1:39">
      <c r="B130" s="150"/>
      <c r="C130" s="150"/>
      <c r="D130" s="151"/>
      <c r="E130" s="151"/>
      <c r="F130" s="225"/>
      <c r="G130" s="225"/>
      <c r="H130" s="225"/>
      <c r="I130" s="225"/>
      <c r="J130" s="225"/>
      <c r="K130" s="152"/>
      <c r="L130" s="152"/>
      <c r="M130" s="152"/>
      <c r="N130" s="322"/>
      <c r="O130" s="153"/>
      <c r="P130" s="149"/>
      <c r="Q130" s="147" t="s">
        <v>144</v>
      </c>
      <c r="R130" s="148"/>
      <c r="S130" s="715">
        <f t="shared" ref="S130:X130" si="61">SUM(S127:S128)</f>
        <v>3.52</v>
      </c>
      <c r="T130" s="715">
        <f t="shared" si="61"/>
        <v>0</v>
      </c>
      <c r="U130" s="715">
        <f t="shared" si="61"/>
        <v>0</v>
      </c>
      <c r="V130" s="715">
        <f t="shared" si="61"/>
        <v>0</v>
      </c>
      <c r="W130" s="715">
        <f t="shared" si="61"/>
        <v>0</v>
      </c>
      <c r="X130" s="715">
        <f t="shared" si="61"/>
        <v>3.52</v>
      </c>
      <c r="Y130" s="354">
        <f>IFERROR(S130*$AJ$170/('製造(P)'!$K$190+'貯蔵・輸送(ST)'!$K$190+'供給(D)'!$K$190),"")</f>
        <v>3.7277716418496393E-2</v>
      </c>
      <c r="Z130" s="354">
        <f>IFERROR(T130*$AJ$170/('製造(P)'!$K$190+'貯蔵・輸送(ST)'!$K$190+'供給(D)'!$K$190),"")</f>
        <v>0</v>
      </c>
      <c r="AA130" s="354">
        <f>IFERROR(U130*$AJ$170/('製造(P)'!$K$190+'貯蔵・輸送(ST)'!$K$190+'供給(D)'!$K$190),"")</f>
        <v>0</v>
      </c>
      <c r="AB130" s="354">
        <f>IFERROR(V130*$AJ$170/('製造(P)'!$K$190+'貯蔵・輸送(ST)'!$K$190+'供給(D)'!$K$190),"")</f>
        <v>0</v>
      </c>
      <c r="AC130" s="354">
        <f>IFERROR(W130*$AJ$170/('製造(P)'!$K$190+'貯蔵・輸送(ST)'!$K$190+'供給(D)'!$K$190),"")</f>
        <v>0</v>
      </c>
      <c r="AD130" s="354">
        <f>IFERROR(X130*$AJ$170/('製造(P)'!$K$190+'貯蔵・輸送(ST)'!$K$190+'供給(D)'!$K$190),"")</f>
        <v>3.7277716418496393E-2</v>
      </c>
      <c r="AE130" s="806"/>
      <c r="AF130" s="806"/>
      <c r="AG130" s="59"/>
      <c r="AH130" s="59"/>
      <c r="AI130" s="59"/>
      <c r="AJ130" s="534"/>
      <c r="AK130" s="212"/>
      <c r="AL130" s="59"/>
      <c r="AM130" s="59"/>
    </row>
    <row r="131" spans="1:39">
      <c r="B131" s="149"/>
      <c r="C131" s="149"/>
      <c r="D131" s="149"/>
      <c r="E131" s="149"/>
      <c r="F131" s="220"/>
      <c r="G131" s="220"/>
      <c r="H131" s="220"/>
      <c r="I131" s="220"/>
      <c r="J131" s="220"/>
      <c r="K131" s="149"/>
      <c r="L131" s="149"/>
      <c r="M131" s="149"/>
      <c r="N131" s="320"/>
      <c r="O131" s="149"/>
      <c r="P131" s="149"/>
      <c r="Q131" s="149"/>
      <c r="R131" s="149"/>
      <c r="S131" s="220"/>
      <c r="T131" s="220"/>
      <c r="U131" s="220"/>
      <c r="V131" s="220"/>
      <c r="W131" s="220"/>
      <c r="X131" s="220"/>
      <c r="Y131" s="355"/>
      <c r="Z131" s="355"/>
      <c r="AA131" s="355"/>
      <c r="AB131" s="355"/>
      <c r="AC131" s="355"/>
      <c r="AD131" s="355"/>
      <c r="AE131" s="805"/>
      <c r="AF131" s="805"/>
      <c r="AG131" s="59"/>
      <c r="AH131" s="59"/>
      <c r="AI131" s="59"/>
      <c r="AJ131" s="534"/>
      <c r="AK131" s="212"/>
      <c r="AL131" s="59"/>
      <c r="AM131" s="59"/>
    </row>
    <row r="132" spans="1:39">
      <c r="B132" s="915" t="s">
        <v>7775</v>
      </c>
      <c r="C132" s="915"/>
      <c r="D132" s="915"/>
      <c r="E132" s="915"/>
      <c r="F132" s="915"/>
      <c r="G132" s="915"/>
      <c r="H132" s="915"/>
      <c r="I132" s="915"/>
      <c r="J132" s="915"/>
      <c r="K132" s="915"/>
      <c r="L132" s="915"/>
      <c r="M132" s="915"/>
      <c r="N132" s="915"/>
      <c r="O132" s="915"/>
      <c r="P132" s="149"/>
      <c r="Q132" s="935" t="s">
        <v>7773</v>
      </c>
      <c r="R132" s="935"/>
      <c r="S132" s="935"/>
      <c r="T132" s="935"/>
      <c r="U132" s="935"/>
      <c r="V132" s="935"/>
      <c r="W132" s="935"/>
      <c r="X132" s="935"/>
      <c r="Y132" s="223"/>
      <c r="Z132" s="223"/>
      <c r="AA132" s="223"/>
      <c r="AB132" s="223"/>
      <c r="AC132" s="223"/>
      <c r="AD132" s="223"/>
      <c r="AE132" s="803"/>
      <c r="AF132" s="803"/>
      <c r="AG132" s="207"/>
      <c r="AH132" s="207"/>
      <c r="AI132" s="207"/>
      <c r="AJ132" s="214"/>
      <c r="AK132" s="214"/>
      <c r="AL132" s="59"/>
      <c r="AM132" s="59"/>
    </row>
    <row r="133" spans="1:39" s="149" customFormat="1">
      <c r="F133" s="220"/>
      <c r="G133" s="220"/>
      <c r="H133" s="220"/>
      <c r="I133" s="220"/>
      <c r="J133" s="220"/>
      <c r="N133" s="320"/>
      <c r="S133" s="220"/>
      <c r="T133" s="220"/>
      <c r="U133" s="220"/>
      <c r="V133" s="220"/>
      <c r="W133" s="220"/>
      <c r="X133" s="220"/>
      <c r="Y133" s="222"/>
      <c r="Z133" s="222"/>
      <c r="AA133" s="222"/>
      <c r="AB133" s="222"/>
      <c r="AC133" s="222"/>
      <c r="AD133" s="222"/>
      <c r="AE133" s="222"/>
      <c r="AF133" s="222"/>
      <c r="AG133" s="207"/>
      <c r="AH133" s="207"/>
      <c r="AI133" s="207"/>
      <c r="AJ133" s="541"/>
      <c r="AK133" s="234"/>
    </row>
    <row r="134" spans="1:39" s="149" customFormat="1" ht="13.8" thickBot="1">
      <c r="B134" s="67" t="s">
        <v>172</v>
      </c>
      <c r="F134" s="220"/>
      <c r="G134" s="220"/>
      <c r="H134" s="220"/>
      <c r="I134" s="220"/>
      <c r="J134" s="220"/>
      <c r="N134" s="320"/>
      <c r="S134" s="220"/>
      <c r="T134" s="220"/>
      <c r="U134" s="220"/>
      <c r="V134" s="220"/>
      <c r="W134" s="220"/>
      <c r="X134" s="220"/>
      <c r="AE134" s="222"/>
      <c r="AF134" s="222"/>
      <c r="AG134" s="207"/>
      <c r="AH134" s="207"/>
      <c r="AI134" s="207"/>
      <c r="AJ134" s="535"/>
      <c r="AK134" s="153"/>
    </row>
    <row r="135" spans="1:39" s="149" customFormat="1" ht="13.8" thickBot="1">
      <c r="B135" s="649" t="s">
        <v>7455</v>
      </c>
      <c r="F135" s="220"/>
      <c r="G135" s="220"/>
      <c r="H135" s="220"/>
      <c r="I135" s="220"/>
      <c r="J135" s="220"/>
      <c r="N135" s="320"/>
      <c r="S135" s="220"/>
      <c r="T135" s="220"/>
      <c r="U135" s="220"/>
      <c r="V135" s="220"/>
      <c r="W135" s="220"/>
      <c r="X135" s="220"/>
      <c r="AE135" s="222"/>
      <c r="AF135" s="222"/>
      <c r="AG135" s="207"/>
      <c r="AH135" s="207"/>
      <c r="AI135" s="207"/>
      <c r="AJ135" s="535"/>
      <c r="AK135" s="153"/>
    </row>
    <row r="136" spans="1:39" s="149" customFormat="1">
      <c r="F136" s="220"/>
      <c r="G136" s="220"/>
      <c r="H136" s="220"/>
      <c r="I136" s="220"/>
      <c r="J136" s="220"/>
      <c r="N136" s="320"/>
      <c r="S136" s="220"/>
      <c r="T136" s="220"/>
      <c r="U136" s="220"/>
      <c r="V136" s="220"/>
      <c r="W136" s="220"/>
      <c r="X136" s="220"/>
      <c r="AE136" s="222"/>
      <c r="AF136" s="222"/>
      <c r="AG136" s="207"/>
      <c r="AH136" s="207"/>
      <c r="AI136" s="207"/>
      <c r="AJ136" s="535"/>
      <c r="AK136" s="153"/>
    </row>
    <row r="137" spans="1:39" ht="14.1" customHeight="1">
      <c r="B137" s="1039" t="s">
        <v>7674</v>
      </c>
      <c r="C137" s="1040"/>
      <c r="D137" s="1040"/>
      <c r="E137" s="1041"/>
      <c r="F137" s="997" t="s">
        <v>7671</v>
      </c>
      <c r="G137" s="998"/>
      <c r="H137" s="998"/>
      <c r="I137" s="998"/>
      <c r="J137" s="998"/>
      <c r="K137" s="999"/>
      <c r="L137" s="1038" t="s">
        <v>136</v>
      </c>
      <c r="M137" s="1036" t="s">
        <v>6946</v>
      </c>
      <c r="N137" s="1042" t="s">
        <v>7456</v>
      </c>
      <c r="O137" s="1036" t="s">
        <v>6945</v>
      </c>
      <c r="P137" s="149"/>
      <c r="Q137" s="1059" t="s">
        <v>166</v>
      </c>
      <c r="R137" s="1060"/>
      <c r="S137" s="1061" t="s">
        <v>7666</v>
      </c>
      <c r="T137" s="1062"/>
      <c r="U137" s="1062"/>
      <c r="V137" s="1062"/>
      <c r="W137" s="1062"/>
      <c r="X137" s="1063"/>
      <c r="Y137" s="149"/>
      <c r="Z137" s="149"/>
      <c r="AA137" s="149"/>
      <c r="AB137" s="149"/>
      <c r="AC137" s="149"/>
      <c r="AD137" s="149"/>
      <c r="AE137" s="238"/>
      <c r="AF137" s="238"/>
      <c r="AG137" s="207"/>
      <c r="AH137" s="207"/>
      <c r="AI137" s="207"/>
      <c r="AJ137" s="207"/>
      <c r="AK137" s="207"/>
    </row>
    <row r="138" spans="1:39" ht="43.5" customHeight="1" thickBot="1">
      <c r="B138" s="349"/>
      <c r="C138" s="349" t="s">
        <v>7439</v>
      </c>
      <c r="D138" s="349" t="s">
        <v>7440</v>
      </c>
      <c r="E138" s="349" t="s">
        <v>7467</v>
      </c>
      <c r="F138" s="312" t="s">
        <v>6999</v>
      </c>
      <c r="G138" s="312" t="s">
        <v>7000</v>
      </c>
      <c r="H138" s="312" t="s">
        <v>7056</v>
      </c>
      <c r="I138" s="312" t="s">
        <v>7057</v>
      </c>
      <c r="J138" s="312" t="s">
        <v>7058</v>
      </c>
      <c r="K138" s="313" t="s">
        <v>7520</v>
      </c>
      <c r="L138" s="1000"/>
      <c r="M138" s="1037"/>
      <c r="N138" s="1043"/>
      <c r="O138" s="1037"/>
      <c r="P138" s="149"/>
      <c r="Q138" s="896"/>
      <c r="R138" s="898"/>
      <c r="S138" s="312" t="s">
        <v>6999</v>
      </c>
      <c r="T138" s="312" t="s">
        <v>7851</v>
      </c>
      <c r="U138" s="312" t="s">
        <v>7056</v>
      </c>
      <c r="V138" s="312" t="s">
        <v>7057</v>
      </c>
      <c r="W138" s="312" t="s">
        <v>7058</v>
      </c>
      <c r="X138" s="314" t="s">
        <v>7520</v>
      </c>
      <c r="Y138" s="149"/>
      <c r="Z138" s="149"/>
      <c r="AA138" s="149"/>
      <c r="AB138" s="153"/>
      <c r="AC138" s="149"/>
      <c r="AD138" s="149"/>
      <c r="AE138" s="231"/>
      <c r="AF138" s="231"/>
      <c r="AG138" s="207"/>
      <c r="AH138" s="207"/>
      <c r="AI138" s="207"/>
      <c r="AJ138" s="207"/>
      <c r="AK138" s="207"/>
    </row>
    <row r="139" spans="1:39" ht="15" customHeight="1" thickBot="1">
      <c r="B139" s="650"/>
      <c r="C139" s="706"/>
      <c r="D139" s="707"/>
      <c r="E139" s="708"/>
      <c r="F139" s="704">
        <v>0</v>
      </c>
      <c r="G139" s="704">
        <v>0</v>
      </c>
      <c r="H139" s="704">
        <v>0</v>
      </c>
      <c r="I139" s="704">
        <v>0</v>
      </c>
      <c r="J139" s="704">
        <v>0</v>
      </c>
      <c r="K139" s="705">
        <f>SUM(F139:J139)</f>
        <v>0</v>
      </c>
      <c r="L139" s="639" t="s">
        <v>192</v>
      </c>
      <c r="M139" s="651"/>
      <c r="N139" s="651"/>
      <c r="O139" s="651"/>
      <c r="P139" s="149"/>
      <c r="Q139" s="1054" t="str">
        <f>IF(B139=0,"",B139)</f>
        <v/>
      </c>
      <c r="R139" s="68" t="s">
        <v>169</v>
      </c>
      <c r="S139" s="722">
        <f>F139</f>
        <v>0</v>
      </c>
      <c r="T139" s="722">
        <f t="shared" ref="T139:W139" si="62">G139</f>
        <v>0</v>
      </c>
      <c r="U139" s="722">
        <f t="shared" si="62"/>
        <v>0</v>
      </c>
      <c r="V139" s="722">
        <f t="shared" si="62"/>
        <v>0</v>
      </c>
      <c r="W139" s="722">
        <f t="shared" si="62"/>
        <v>0</v>
      </c>
      <c r="X139" s="719">
        <f t="shared" ref="X139:X150" si="63">SUM(S139:W139)</f>
        <v>0</v>
      </c>
      <c r="Y139" s="149"/>
      <c r="Z139" s="149"/>
      <c r="AA139" s="149"/>
      <c r="AB139" s="153"/>
      <c r="AC139" s="149"/>
      <c r="AD139" s="149"/>
      <c r="AE139" s="240"/>
      <c r="AF139" s="240"/>
      <c r="AG139" s="207"/>
      <c r="AH139" s="207"/>
      <c r="AI139" s="207"/>
      <c r="AJ139" s="535"/>
      <c r="AK139" s="236"/>
    </row>
    <row r="140" spans="1:39" ht="13.8" thickBot="1">
      <c r="B140" s="650"/>
      <c r="C140" s="706"/>
      <c r="D140" s="707"/>
      <c r="E140" s="708"/>
      <c r="F140" s="704">
        <v>0</v>
      </c>
      <c r="G140" s="704">
        <v>0</v>
      </c>
      <c r="H140" s="704">
        <v>0</v>
      </c>
      <c r="I140" s="704">
        <v>0</v>
      </c>
      <c r="J140" s="704">
        <v>0</v>
      </c>
      <c r="K140" s="705">
        <f>SUM(F140:J140)</f>
        <v>0</v>
      </c>
      <c r="L140" s="639" t="s">
        <v>192</v>
      </c>
      <c r="M140" s="651"/>
      <c r="N140" s="651"/>
      <c r="O140" s="651"/>
      <c r="P140" s="149"/>
      <c r="Q140" s="993"/>
      <c r="R140" s="68" t="s">
        <v>167</v>
      </c>
      <c r="S140" s="723">
        <f>F139*$C$139</f>
        <v>0</v>
      </c>
      <c r="T140" s="723">
        <f t="shared" ref="T140:W140" si="64">G139*$C$139</f>
        <v>0</v>
      </c>
      <c r="U140" s="723">
        <f t="shared" si="64"/>
        <v>0</v>
      </c>
      <c r="V140" s="723">
        <f t="shared" si="64"/>
        <v>0</v>
      </c>
      <c r="W140" s="723">
        <f t="shared" si="64"/>
        <v>0</v>
      </c>
      <c r="X140" s="719">
        <f t="shared" si="63"/>
        <v>0</v>
      </c>
      <c r="Y140" s="149"/>
      <c r="Z140" s="149"/>
      <c r="AA140" s="149"/>
      <c r="AB140" s="153"/>
      <c r="AC140" s="149"/>
      <c r="AD140" s="149"/>
      <c r="AE140" s="240"/>
      <c r="AF140" s="240"/>
      <c r="AJ140" s="535"/>
      <c r="AK140" s="236"/>
    </row>
    <row r="141" spans="1:39" ht="13.8" thickBot="1">
      <c r="B141" s="650"/>
      <c r="C141" s="706"/>
      <c r="D141" s="707"/>
      <c r="E141" s="707"/>
      <c r="F141" s="704">
        <v>0</v>
      </c>
      <c r="G141" s="704">
        <v>0</v>
      </c>
      <c r="H141" s="704">
        <v>0</v>
      </c>
      <c r="I141" s="704">
        <v>0</v>
      </c>
      <c r="J141" s="704">
        <v>0</v>
      </c>
      <c r="K141" s="705">
        <f>SUM(F141:J141)</f>
        <v>0</v>
      </c>
      <c r="L141" s="639" t="s">
        <v>7850</v>
      </c>
      <c r="M141" s="651"/>
      <c r="N141" s="651"/>
      <c r="O141" s="651"/>
      <c r="P141" s="149"/>
      <c r="Q141" s="993"/>
      <c r="R141" s="72" t="s">
        <v>168</v>
      </c>
      <c r="S141" s="723">
        <f>F139*$D$139</f>
        <v>0</v>
      </c>
      <c r="T141" s="723">
        <f t="shared" ref="T141:W141" si="65">G139*$D$139</f>
        <v>0</v>
      </c>
      <c r="U141" s="723">
        <f t="shared" si="65"/>
        <v>0</v>
      </c>
      <c r="V141" s="723">
        <f t="shared" si="65"/>
        <v>0</v>
      </c>
      <c r="W141" s="723">
        <f t="shared" si="65"/>
        <v>0</v>
      </c>
      <c r="X141" s="719">
        <f t="shared" si="63"/>
        <v>0</v>
      </c>
      <c r="Y141" s="149"/>
      <c r="Z141" s="149"/>
      <c r="AA141" s="149"/>
      <c r="AB141" s="153"/>
      <c r="AC141" s="149"/>
      <c r="AD141" s="149"/>
      <c r="AE141" s="240"/>
      <c r="AF141" s="240"/>
      <c r="AJ141" s="535"/>
      <c r="AK141" s="236"/>
    </row>
    <row r="142" spans="1:39">
      <c r="A142" s="149"/>
      <c r="B142" s="149"/>
      <c r="C142" s="149"/>
      <c r="D142" s="149"/>
      <c r="E142" s="149"/>
      <c r="F142" s="220"/>
      <c r="G142" s="220"/>
      <c r="H142" s="220"/>
      <c r="I142" s="220"/>
      <c r="J142" s="220"/>
      <c r="K142" s="149"/>
      <c r="L142" s="149"/>
      <c r="M142" s="149"/>
      <c r="N142" s="320"/>
      <c r="O142" s="149"/>
      <c r="P142" s="149"/>
      <c r="Q142" s="994"/>
      <c r="R142" s="72" t="s">
        <v>7468</v>
      </c>
      <c r="S142" s="723">
        <f>F139*$E$139</f>
        <v>0</v>
      </c>
      <c r="T142" s="723">
        <f t="shared" ref="T142:W142" si="66">G139*$E$139</f>
        <v>0</v>
      </c>
      <c r="U142" s="723">
        <f t="shared" si="66"/>
        <v>0</v>
      </c>
      <c r="V142" s="723">
        <f t="shared" si="66"/>
        <v>0</v>
      </c>
      <c r="W142" s="723">
        <f t="shared" si="66"/>
        <v>0</v>
      </c>
      <c r="X142" s="719">
        <f t="shared" si="63"/>
        <v>0</v>
      </c>
      <c r="Y142" s="149"/>
      <c r="Z142" s="149"/>
      <c r="AA142" s="149"/>
      <c r="AB142" s="153"/>
      <c r="AC142" s="149"/>
      <c r="AD142" s="149"/>
      <c r="AE142" s="240"/>
      <c r="AF142" s="240"/>
      <c r="AJ142" s="535"/>
      <c r="AK142" s="236"/>
    </row>
    <row r="143" spans="1:39" ht="13.8" thickBot="1">
      <c r="A143" s="149"/>
      <c r="B143" s="149"/>
      <c r="C143" s="149"/>
      <c r="D143" s="149"/>
      <c r="E143" s="149"/>
      <c r="F143" s="220"/>
      <c r="G143" s="220"/>
      <c r="H143" s="220"/>
      <c r="I143" s="220"/>
      <c r="J143" s="220"/>
      <c r="K143" s="149"/>
      <c r="L143" s="149"/>
      <c r="M143" s="149"/>
      <c r="N143" s="320"/>
      <c r="O143" s="149"/>
      <c r="P143" s="149"/>
      <c r="Q143" s="1054" t="str">
        <f>IF(B140=0,"",B140)</f>
        <v/>
      </c>
      <c r="R143" s="68" t="s">
        <v>169</v>
      </c>
      <c r="S143" s="722">
        <f>F140</f>
        <v>0</v>
      </c>
      <c r="T143" s="722">
        <f t="shared" ref="T143:W143" si="67">G140</f>
        <v>0</v>
      </c>
      <c r="U143" s="722">
        <f t="shared" si="67"/>
        <v>0</v>
      </c>
      <c r="V143" s="722">
        <f t="shared" si="67"/>
        <v>0</v>
      </c>
      <c r="W143" s="722">
        <f t="shared" si="67"/>
        <v>0</v>
      </c>
      <c r="X143" s="719">
        <f t="shared" si="63"/>
        <v>0</v>
      </c>
      <c r="Y143" s="149"/>
      <c r="Z143" s="149"/>
      <c r="AA143" s="149"/>
      <c r="AB143" s="153"/>
      <c r="AC143" s="149"/>
      <c r="AD143" s="149"/>
      <c r="AE143" s="240"/>
      <c r="AF143" s="240"/>
      <c r="AJ143" s="535"/>
      <c r="AK143" s="153"/>
    </row>
    <row r="144" spans="1:39" ht="13.8" thickBot="1">
      <c r="A144" s="149"/>
      <c r="B144" s="1044" t="s">
        <v>7619</v>
      </c>
      <c r="C144" s="1045"/>
      <c r="D144" s="1046"/>
      <c r="E144" s="709"/>
      <c r="F144" s="638" t="s">
        <v>170</v>
      </c>
      <c r="G144" s="392" t="s">
        <v>7443</v>
      </c>
      <c r="H144" s="1047" t="s">
        <v>7552</v>
      </c>
      <c r="I144" s="1048"/>
      <c r="J144" s="710">
        <f>IFERROR(IF(F144=Color!$G$4,D9*E144,D11*E144),"")</f>
        <v>0</v>
      </c>
      <c r="K144" s="149"/>
      <c r="L144" s="149"/>
      <c r="M144" s="149"/>
      <c r="N144" s="320"/>
      <c r="O144" s="149"/>
      <c r="P144" s="149"/>
      <c r="Q144" s="993"/>
      <c r="R144" s="68" t="s">
        <v>7877</v>
      </c>
      <c r="S144" s="723">
        <f>F140*$C$140</f>
        <v>0</v>
      </c>
      <c r="T144" s="723">
        <f t="shared" ref="T144:W144" si="68">G140*$C$140</f>
        <v>0</v>
      </c>
      <c r="U144" s="723">
        <f t="shared" si="68"/>
        <v>0</v>
      </c>
      <c r="V144" s="723">
        <f t="shared" si="68"/>
        <v>0</v>
      </c>
      <c r="W144" s="723">
        <f t="shared" si="68"/>
        <v>0</v>
      </c>
      <c r="X144" s="719">
        <f t="shared" si="63"/>
        <v>0</v>
      </c>
      <c r="Y144" s="149"/>
      <c r="Z144" s="149"/>
      <c r="AA144" s="149"/>
      <c r="AB144" s="153"/>
      <c r="AC144" s="149"/>
      <c r="AD144" s="149"/>
      <c r="AE144" s="240"/>
      <c r="AF144" s="240"/>
      <c r="AJ144" s="535"/>
      <c r="AK144" s="153"/>
    </row>
    <row r="145" spans="1:51">
      <c r="A145" s="149"/>
      <c r="B145" s="149"/>
      <c r="C145" s="149"/>
      <c r="D145" s="149"/>
      <c r="E145" s="149"/>
      <c r="F145" s="220"/>
      <c r="G145" s="220"/>
      <c r="H145" s="220"/>
      <c r="I145" s="220"/>
      <c r="J145" s="220"/>
      <c r="K145" s="149"/>
      <c r="L145" s="149"/>
      <c r="M145" s="149"/>
      <c r="N145" s="320"/>
      <c r="O145" s="149"/>
      <c r="P145" s="149"/>
      <c r="Q145" s="993"/>
      <c r="R145" s="72" t="s">
        <v>168</v>
      </c>
      <c r="S145" s="723">
        <f>F140*$D$140</f>
        <v>0</v>
      </c>
      <c r="T145" s="723">
        <f t="shared" ref="T145:W145" si="69">G140*$D$140</f>
        <v>0</v>
      </c>
      <c r="U145" s="723">
        <f t="shared" si="69"/>
        <v>0</v>
      </c>
      <c r="V145" s="723">
        <f t="shared" si="69"/>
        <v>0</v>
      </c>
      <c r="W145" s="723">
        <f t="shared" si="69"/>
        <v>0</v>
      </c>
      <c r="X145" s="719">
        <f t="shared" si="63"/>
        <v>0</v>
      </c>
      <c r="Y145" s="149"/>
      <c r="Z145" s="149"/>
      <c r="AA145" s="149"/>
      <c r="AB145" s="153"/>
      <c r="AC145" s="149"/>
      <c r="AD145" s="149"/>
      <c r="AE145" s="240"/>
      <c r="AF145" s="240"/>
      <c r="AJ145" s="535"/>
      <c r="AK145" s="153"/>
    </row>
    <row r="146" spans="1:51">
      <c r="A146" s="149"/>
      <c r="B146" s="149"/>
      <c r="C146" s="149"/>
      <c r="D146" s="149"/>
      <c r="E146" s="149"/>
      <c r="F146" s="220"/>
      <c r="G146" s="220"/>
      <c r="H146" s="220"/>
      <c r="I146" s="220"/>
      <c r="J146" s="220"/>
      <c r="K146" s="149"/>
      <c r="L146" s="149"/>
      <c r="M146" s="149"/>
      <c r="N146" s="320"/>
      <c r="O146" s="149"/>
      <c r="P146" s="149"/>
      <c r="Q146" s="994"/>
      <c r="R146" s="72" t="s">
        <v>7878</v>
      </c>
      <c r="S146" s="723">
        <f>F140*$E$140</f>
        <v>0</v>
      </c>
      <c r="T146" s="723">
        <f t="shared" ref="T146:W146" si="70">G140*$E$140</f>
        <v>0</v>
      </c>
      <c r="U146" s="723">
        <f t="shared" si="70"/>
        <v>0</v>
      </c>
      <c r="V146" s="723">
        <f t="shared" si="70"/>
        <v>0</v>
      </c>
      <c r="W146" s="723">
        <f t="shared" si="70"/>
        <v>0</v>
      </c>
      <c r="X146" s="719">
        <f t="shared" si="63"/>
        <v>0</v>
      </c>
      <c r="Y146" s="149"/>
      <c r="Z146" s="149"/>
      <c r="AA146" s="149"/>
      <c r="AB146" s="149"/>
      <c r="AC146" s="149"/>
      <c r="AD146" s="149"/>
      <c r="AE146" s="240"/>
      <c r="AF146" s="240"/>
      <c r="AJ146" s="535"/>
      <c r="AK146" s="153"/>
    </row>
    <row r="147" spans="1:51">
      <c r="A147" s="149"/>
      <c r="B147" s="149"/>
      <c r="C147" s="149"/>
      <c r="D147" s="149"/>
      <c r="E147" s="149"/>
      <c r="F147" s="220"/>
      <c r="G147" s="220"/>
      <c r="H147" s="220"/>
      <c r="I147" s="220"/>
      <c r="J147" s="220"/>
      <c r="K147" s="149"/>
      <c r="L147" s="149"/>
      <c r="M147" s="149"/>
      <c r="N147" s="320"/>
      <c r="O147" s="149"/>
      <c r="P147" s="149"/>
      <c r="Q147" s="1055" t="str">
        <f>IF(B141=0,"",B141)</f>
        <v/>
      </c>
      <c r="R147" s="68" t="s">
        <v>169</v>
      </c>
      <c r="S147" s="722">
        <f>F141</f>
        <v>0</v>
      </c>
      <c r="T147" s="722">
        <f t="shared" ref="T147:W147" si="71">G141</f>
        <v>0</v>
      </c>
      <c r="U147" s="722">
        <f t="shared" si="71"/>
        <v>0</v>
      </c>
      <c r="V147" s="722">
        <f t="shared" si="71"/>
        <v>0</v>
      </c>
      <c r="W147" s="722">
        <f t="shared" si="71"/>
        <v>0</v>
      </c>
      <c r="X147" s="719">
        <f t="shared" si="63"/>
        <v>0</v>
      </c>
      <c r="Y147" s="149"/>
      <c r="Z147" s="149"/>
      <c r="AA147" s="149"/>
      <c r="AB147" s="149"/>
      <c r="AC147" s="149"/>
      <c r="AD147" s="149"/>
      <c r="AE147" s="240"/>
      <c r="AF147" s="240"/>
      <c r="AJ147" s="535"/>
      <c r="AK147" s="153"/>
    </row>
    <row r="148" spans="1:51">
      <c r="A148" s="149"/>
      <c r="B148" s="149"/>
      <c r="C148" s="149"/>
      <c r="D148" s="149"/>
      <c r="E148" s="149"/>
      <c r="F148" s="220"/>
      <c r="G148" s="220"/>
      <c r="H148" s="220"/>
      <c r="I148" s="220"/>
      <c r="J148" s="220"/>
      <c r="K148" s="149"/>
      <c r="L148" s="149"/>
      <c r="M148" s="149"/>
      <c r="N148" s="320"/>
      <c r="O148" s="149"/>
      <c r="P148" s="149"/>
      <c r="Q148" s="1056"/>
      <c r="R148" s="68" t="s">
        <v>167</v>
      </c>
      <c r="S148" s="723">
        <f>F141*$C$141</f>
        <v>0</v>
      </c>
      <c r="T148" s="723">
        <f t="shared" ref="T148:W148" si="72">G141*$C$141</f>
        <v>0</v>
      </c>
      <c r="U148" s="723">
        <f t="shared" si="72"/>
        <v>0</v>
      </c>
      <c r="V148" s="723">
        <f t="shared" si="72"/>
        <v>0</v>
      </c>
      <c r="W148" s="723">
        <f t="shared" si="72"/>
        <v>0</v>
      </c>
      <c r="X148" s="719">
        <f t="shared" si="63"/>
        <v>0</v>
      </c>
      <c r="Y148" s="149"/>
      <c r="Z148" s="149"/>
      <c r="AA148" s="149"/>
      <c r="AB148" s="149"/>
      <c r="AC148" s="149"/>
      <c r="AD148" s="149"/>
      <c r="AE148" s="240"/>
      <c r="AF148" s="240"/>
      <c r="AJ148" s="535"/>
      <c r="AK148" s="153"/>
    </row>
    <row r="149" spans="1:51">
      <c r="A149" s="149"/>
      <c r="B149" s="149"/>
      <c r="C149" s="149"/>
      <c r="D149" s="149"/>
      <c r="E149" s="149"/>
      <c r="F149" s="220"/>
      <c r="G149" s="220"/>
      <c r="H149" s="220"/>
      <c r="I149" s="220"/>
      <c r="J149" s="220"/>
      <c r="K149" s="149"/>
      <c r="L149" s="149"/>
      <c r="M149" s="149"/>
      <c r="N149" s="320"/>
      <c r="O149" s="149"/>
      <c r="P149" s="149"/>
      <c r="Q149" s="1056"/>
      <c r="R149" s="72" t="s">
        <v>168</v>
      </c>
      <c r="S149" s="723">
        <f>F141*$D$141</f>
        <v>0</v>
      </c>
      <c r="T149" s="723">
        <f t="shared" ref="T149:W149" si="73">G141*$D$141</f>
        <v>0</v>
      </c>
      <c r="U149" s="723">
        <f t="shared" si="73"/>
        <v>0</v>
      </c>
      <c r="V149" s="723">
        <f t="shared" si="73"/>
        <v>0</v>
      </c>
      <c r="W149" s="723">
        <f t="shared" si="73"/>
        <v>0</v>
      </c>
      <c r="X149" s="719">
        <f t="shared" si="63"/>
        <v>0</v>
      </c>
      <c r="Y149" s="149"/>
      <c r="Z149" s="149"/>
      <c r="AA149" s="149"/>
      <c r="AB149" s="149"/>
      <c r="AC149" s="149"/>
      <c r="AD149" s="149"/>
      <c r="AE149" s="240"/>
      <c r="AF149" s="240"/>
      <c r="AJ149" s="535"/>
      <c r="AK149" s="153"/>
    </row>
    <row r="150" spans="1:51" s="149" customFormat="1">
      <c r="N150" s="320"/>
      <c r="Q150" s="1056"/>
      <c r="R150" s="72" t="s">
        <v>7878</v>
      </c>
      <c r="S150" s="723">
        <f>F141*$E$141</f>
        <v>0</v>
      </c>
      <c r="T150" s="723">
        <f t="shared" ref="T150:W150" si="74">G141*$E$141</f>
        <v>0</v>
      </c>
      <c r="U150" s="723">
        <f t="shared" si="74"/>
        <v>0</v>
      </c>
      <c r="V150" s="723">
        <f t="shared" si="74"/>
        <v>0</v>
      </c>
      <c r="W150" s="723">
        <f t="shared" si="74"/>
        <v>0</v>
      </c>
      <c r="X150" s="719">
        <f t="shared" si="63"/>
        <v>0</v>
      </c>
      <c r="AE150" s="240"/>
      <c r="AF150" s="240"/>
      <c r="AG150" s="235"/>
      <c r="AH150" s="235"/>
      <c r="AI150" s="235"/>
      <c r="AJ150" s="535"/>
      <c r="AK150" s="153"/>
      <c r="AL150" s="235"/>
      <c r="AM150" s="235"/>
      <c r="AN150" s="59"/>
      <c r="AO150" s="59"/>
      <c r="AP150" s="59"/>
    </row>
    <row r="151" spans="1:51">
      <c r="A151" s="149"/>
      <c r="B151" s="149"/>
      <c r="C151" s="149"/>
      <c r="D151" s="143"/>
      <c r="E151" s="143"/>
      <c r="F151" s="385"/>
      <c r="G151" s="385"/>
      <c r="H151" s="385"/>
      <c r="I151" s="385"/>
      <c r="J151" s="385"/>
      <c r="K151" s="143"/>
      <c r="L151" s="149"/>
      <c r="M151" s="149"/>
      <c r="N151" s="325"/>
      <c r="O151" s="149"/>
      <c r="P151" s="149"/>
      <c r="Q151" s="149"/>
      <c r="R151" s="149"/>
      <c r="S151" s="220"/>
      <c r="T151" s="220"/>
      <c r="U151" s="220"/>
      <c r="V151" s="220"/>
      <c r="W151" s="220"/>
      <c r="X151" s="220"/>
      <c r="Y151" s="149"/>
      <c r="Z151" s="149"/>
      <c r="AA151" s="143"/>
      <c r="AB151" s="143"/>
      <c r="AC151" s="385"/>
      <c r="AD151" s="385"/>
      <c r="AE151" s="231"/>
      <c r="AF151" s="231"/>
      <c r="AG151" s="149"/>
      <c r="AH151" s="149"/>
      <c r="AI151" s="149"/>
      <c r="AJ151" s="333" t="s">
        <v>7452</v>
      </c>
      <c r="AK151" s="153"/>
    </row>
    <row r="152" spans="1:51">
      <c r="A152" s="149"/>
      <c r="B152" s="149"/>
      <c r="C152" s="149"/>
      <c r="D152" s="143"/>
      <c r="E152" s="143"/>
      <c r="F152" s="143"/>
      <c r="G152" s="143"/>
      <c r="H152" s="385"/>
      <c r="I152" s="385"/>
      <c r="J152" s="385"/>
      <c r="K152" s="385"/>
      <c r="L152" s="220"/>
      <c r="M152" s="149"/>
      <c r="N152" s="320"/>
      <c r="O152" s="149"/>
      <c r="P152" s="149"/>
      <c r="Q152" s="935" t="s">
        <v>7774</v>
      </c>
      <c r="R152" s="935"/>
      <c r="S152" s="935"/>
      <c r="T152" s="935"/>
      <c r="U152" s="935"/>
      <c r="V152" s="935"/>
      <c r="W152" s="935"/>
      <c r="X152" s="935"/>
      <c r="Y152" s="149"/>
      <c r="Z152" s="149"/>
      <c r="AA152" s="143"/>
      <c r="AB152" s="143"/>
      <c r="AC152" s="143"/>
      <c r="AD152" s="143"/>
      <c r="AE152" s="794"/>
      <c r="AF152" s="804"/>
      <c r="AG152" s="251" t="s">
        <v>7454</v>
      </c>
      <c r="AH152" s="252" t="str">
        <f>$Q$139</f>
        <v/>
      </c>
      <c r="AI152" s="253" t="str">
        <f t="shared" ref="AI152:AI167" si="75">AG152&amp;AH152</f>
        <v>金額配分</v>
      </c>
      <c r="AJ152" s="254" t="e">
        <f>$X$141/($J$144+$X$141+$X$145+$X$149)</f>
        <v>#DIV/0!</v>
      </c>
      <c r="AK152" s="153"/>
    </row>
    <row r="153" spans="1:51">
      <c r="A153" s="149"/>
      <c r="B153" s="149"/>
      <c r="C153" s="149"/>
      <c r="D153" s="143"/>
      <c r="E153" s="143"/>
      <c r="F153" s="143"/>
      <c r="G153" s="143"/>
      <c r="H153" s="385"/>
      <c r="I153" s="385"/>
      <c r="J153" s="385"/>
      <c r="K153" s="385"/>
      <c r="L153" s="220"/>
      <c r="M153" s="149"/>
      <c r="N153" s="320"/>
      <c r="O153" s="149"/>
      <c r="P153" s="149"/>
      <c r="Q153" s="149"/>
      <c r="R153" s="149"/>
      <c r="S153" s="220"/>
      <c r="T153" s="220"/>
      <c r="U153" s="220"/>
      <c r="V153" s="220"/>
      <c r="W153" s="220"/>
      <c r="X153" s="220"/>
      <c r="Y153" s="149"/>
      <c r="Z153" s="149"/>
      <c r="AA153" s="143"/>
      <c r="AB153" s="143"/>
      <c r="AC153" s="143"/>
      <c r="AD153" s="143"/>
      <c r="AE153" s="231"/>
      <c r="AF153" s="231"/>
      <c r="AG153" s="255" t="s">
        <v>7454</v>
      </c>
      <c r="AH153" s="252" t="str">
        <f>$Q$147</f>
        <v/>
      </c>
      <c r="AI153" s="253" t="str">
        <f t="shared" si="75"/>
        <v>金額配分</v>
      </c>
      <c r="AJ153" s="254" t="e">
        <f>$X$149/($J$144+$X$141+$X$145+$X$149)</f>
        <v>#DIV/0!</v>
      </c>
      <c r="AK153" s="153"/>
      <c r="AL153" s="153"/>
      <c r="AN153" s="235"/>
    </row>
    <row r="154" spans="1:51" ht="13.5" customHeight="1">
      <c r="A154" s="149"/>
      <c r="B154" s="149"/>
      <c r="C154" s="149"/>
      <c r="D154" s="143"/>
      <c r="E154" s="143"/>
      <c r="F154" s="143"/>
      <c r="G154" s="143"/>
      <c r="H154" s="143"/>
      <c r="I154" s="385"/>
      <c r="J154" s="385"/>
      <c r="K154" s="385"/>
      <c r="L154" s="220"/>
      <c r="M154" s="149"/>
      <c r="N154" s="320"/>
      <c r="O154" s="149"/>
      <c r="P154" s="149"/>
      <c r="Q154" s="1059" t="s">
        <v>173</v>
      </c>
      <c r="R154" s="1060"/>
      <c r="S154" s="997" t="s">
        <v>7666</v>
      </c>
      <c r="T154" s="998"/>
      <c r="U154" s="998"/>
      <c r="V154" s="998"/>
      <c r="W154" s="998"/>
      <c r="X154" s="999"/>
      <c r="Y154" s="149"/>
      <c r="Z154" s="149"/>
      <c r="AA154" s="143"/>
      <c r="AB154" s="143"/>
      <c r="AC154" s="143"/>
      <c r="AD154" s="143"/>
      <c r="AE154" s="149"/>
      <c r="AF154" s="149"/>
      <c r="AG154" s="255" t="s">
        <v>7454</v>
      </c>
      <c r="AH154" s="252" t="str">
        <f>$Q$143</f>
        <v/>
      </c>
      <c r="AI154" s="253" t="str">
        <f t="shared" si="75"/>
        <v>金額配分</v>
      </c>
      <c r="AJ154" s="254" t="e">
        <f>$X$145/($J$144+$X$141+$X$145+$X$149)</f>
        <v>#DIV/0!</v>
      </c>
      <c r="AK154" s="59"/>
      <c r="AL154" s="59"/>
      <c r="AM154" s="59"/>
    </row>
    <row r="155" spans="1:51">
      <c r="A155" s="149"/>
      <c r="B155" s="149"/>
      <c r="C155" s="149"/>
      <c r="D155" s="143"/>
      <c r="E155" s="143"/>
      <c r="F155" s="143"/>
      <c r="G155" s="143"/>
      <c r="H155" s="143"/>
      <c r="I155" s="385"/>
      <c r="J155" s="385"/>
      <c r="K155" s="385"/>
      <c r="L155" s="220"/>
      <c r="M155" s="149"/>
      <c r="N155" s="320"/>
      <c r="O155" s="149"/>
      <c r="P155" s="149"/>
      <c r="Q155" s="896"/>
      <c r="R155" s="898"/>
      <c r="S155" s="312" t="s">
        <v>6999</v>
      </c>
      <c r="T155" s="312" t="s">
        <v>7000</v>
      </c>
      <c r="U155" s="312" t="s">
        <v>7056</v>
      </c>
      <c r="V155" s="312" t="s">
        <v>7057</v>
      </c>
      <c r="W155" s="312" t="s">
        <v>7058</v>
      </c>
      <c r="X155" s="314" t="s">
        <v>7520</v>
      </c>
      <c r="Y155" s="149"/>
      <c r="Z155" s="149"/>
      <c r="AA155" s="143"/>
      <c r="AB155" s="143"/>
      <c r="AC155" s="143"/>
      <c r="AD155" s="143"/>
      <c r="AE155" s="149"/>
      <c r="AF155" s="149"/>
      <c r="AG155" s="256" t="s">
        <v>7454</v>
      </c>
      <c r="AH155" s="252" t="s">
        <v>145</v>
      </c>
      <c r="AI155" s="253" t="str">
        <f t="shared" si="75"/>
        <v>金額配分水素</v>
      </c>
      <c r="AJ155" s="254" t="e">
        <f>$J$144/($J$144+$X$141+$X$145+$X$149)</f>
        <v>#DIV/0!</v>
      </c>
      <c r="AK155" s="59"/>
      <c r="AL155" s="59"/>
      <c r="AM155" s="59"/>
      <c r="AT155" s="683"/>
      <c r="AU155" s="683"/>
      <c r="AV155" s="683"/>
      <c r="AW155" s="683"/>
      <c r="AX155" s="683"/>
      <c r="AY155" s="683"/>
    </row>
    <row r="156" spans="1:51">
      <c r="A156" s="149"/>
      <c r="B156" s="149"/>
      <c r="C156" s="149"/>
      <c r="D156" s="143"/>
      <c r="E156" s="143"/>
      <c r="F156" s="143"/>
      <c r="G156" s="143"/>
      <c r="H156" s="143"/>
      <c r="I156" s="385"/>
      <c r="J156" s="385"/>
      <c r="K156" s="385"/>
      <c r="L156" s="220"/>
      <c r="M156" s="149"/>
      <c r="N156" s="320"/>
      <c r="O156" s="149"/>
      <c r="P156" s="149"/>
      <c r="Q156" s="1052" t="s">
        <v>6979</v>
      </c>
      <c r="R156" s="1053"/>
      <c r="S156" s="690">
        <f>IFERROR(S$33+S$53+S60+S$71+S$88+S$98+S$107+S$123+S$130,"")</f>
        <v>41.990432942705525</v>
      </c>
      <c r="T156" s="690">
        <f>IFERROR(T$33+T$53+T60+T$71+T$88+T$98+T$107+T$123+T$130,"")</f>
        <v>0</v>
      </c>
      <c r="U156" s="690">
        <f>IFERROR(U$33+U$53+U60+U$71+U$88+U$98+U$107+U$123+U$130,"")</f>
        <v>0</v>
      </c>
      <c r="V156" s="690">
        <f>IFERROR(V$33+V$53+V60+V$71+V$88+V$98+V$107+V$123+V$130,"")</f>
        <v>0</v>
      </c>
      <c r="W156" s="690">
        <f>IFERROR(W$33+W$53+W60+W$71+W$88+W$98+W$107+W$123+W$130,"")</f>
        <v>0</v>
      </c>
      <c r="X156" s="724">
        <f t="shared" ref="X156:X172" si="76">SUM(S156:W156)</f>
        <v>41.990432942705525</v>
      </c>
      <c r="Y156" s="149"/>
      <c r="Z156" s="149"/>
      <c r="AA156" s="143"/>
      <c r="AB156" s="143"/>
      <c r="AC156" s="143"/>
      <c r="AD156" s="143"/>
      <c r="AE156" s="149"/>
      <c r="AF156" s="149"/>
      <c r="AG156" s="251" t="s">
        <v>7453</v>
      </c>
      <c r="AH156" s="252" t="str">
        <f>$Q$139</f>
        <v/>
      </c>
      <c r="AI156" s="253" t="str">
        <f t="shared" si="75"/>
        <v>重量配分</v>
      </c>
      <c r="AJ156" s="254">
        <f>$X$139/($D$9+$X$139+$X$143+$X$147)</f>
        <v>0</v>
      </c>
      <c r="AK156" s="59"/>
      <c r="AL156" s="59"/>
      <c r="AM156" s="59"/>
      <c r="AT156" s="683"/>
      <c r="AU156" s="683" t="str">
        <f>Q157</f>
        <v>重量配分</v>
      </c>
      <c r="AV156" s="683" t="str">
        <f>Q161</f>
        <v>熱量配分</v>
      </c>
      <c r="AW156" s="683" t="str">
        <f>Q165</f>
        <v>金額配分</v>
      </c>
      <c r="AX156" s="683" t="str">
        <f>Q169</f>
        <v>体積配分</v>
      </c>
      <c r="AY156" s="683" t="str">
        <f>Q173</f>
        <v>代替</v>
      </c>
    </row>
    <row r="157" spans="1:51">
      <c r="A157" s="149"/>
      <c r="B157" s="149"/>
      <c r="C157" s="149"/>
      <c r="D157" s="143"/>
      <c r="E157" s="143"/>
      <c r="F157" s="143"/>
      <c r="G157" s="143"/>
      <c r="H157" s="143"/>
      <c r="I157" s="385"/>
      <c r="J157" s="385"/>
      <c r="K157" s="385"/>
      <c r="L157" s="220"/>
      <c r="M157" s="149"/>
      <c r="N157" s="320"/>
      <c r="O157" s="149"/>
      <c r="P157" s="149"/>
      <c r="Q157" s="77" t="s">
        <v>7453</v>
      </c>
      <c r="R157" s="76" t="s">
        <v>145</v>
      </c>
      <c r="S157" s="690">
        <f>IFERROR(S$156*$D$9/($D$9+$X$139+$X$143+$X$147),"")</f>
        <v>41.990432942705525</v>
      </c>
      <c r="T157" s="690">
        <f>IFERROR(T$156*$D$9/($D$9+$X$139+$X$143+$X$147),"")</f>
        <v>0</v>
      </c>
      <c r="U157" s="690">
        <f>IFERROR(U$156*$D$9/($D$9+$X$139+$X$143+$X$147),"")</f>
        <v>0</v>
      </c>
      <c r="V157" s="690">
        <f>IFERROR(V$156*$D$9/($D$9+$X$139+$X$143+$X$147),"")</f>
        <v>0</v>
      </c>
      <c r="W157" s="690">
        <f>IFERROR(W$156*$D$9/($D$9+$X$139+$X$143+$X$147),"")</f>
        <v>0</v>
      </c>
      <c r="X157" s="724">
        <f t="shared" si="76"/>
        <v>41.990432942705525</v>
      </c>
      <c r="Y157" s="149"/>
      <c r="Z157" s="149"/>
      <c r="AA157" s="143"/>
      <c r="AB157" s="143"/>
      <c r="AC157" s="143"/>
      <c r="AD157" s="143"/>
      <c r="AE157" s="153"/>
      <c r="AF157" s="153"/>
      <c r="AG157" s="255" t="s">
        <v>7453</v>
      </c>
      <c r="AH157" s="252" t="str">
        <f>$Q$147</f>
        <v/>
      </c>
      <c r="AI157" s="253" t="str">
        <f t="shared" si="75"/>
        <v>重量配分</v>
      </c>
      <c r="AJ157" s="254">
        <f>$X$147/($D$9+$X$139+$X$143+$X$147)</f>
        <v>0</v>
      </c>
      <c r="AK157" s="59"/>
      <c r="AL157" s="59"/>
      <c r="AM157" s="59"/>
      <c r="AT157" s="683" t="str">
        <f>R157</f>
        <v>水素</v>
      </c>
      <c r="AU157" s="684">
        <f>X157</f>
        <v>41.990432942705525</v>
      </c>
      <c r="AV157" s="684">
        <f>X161</f>
        <v>41.990432942705525</v>
      </c>
      <c r="AW157" s="684">
        <f>X165</f>
        <v>0</v>
      </c>
      <c r="AX157" s="684">
        <f>X169</f>
        <v>41.990432942705525</v>
      </c>
      <c r="AY157" s="684">
        <f>X176</f>
        <v>41.990432942705525</v>
      </c>
    </row>
    <row r="158" spans="1:51">
      <c r="A158" s="149"/>
      <c r="B158" s="149"/>
      <c r="C158" s="149"/>
      <c r="D158" s="143"/>
      <c r="E158" s="143"/>
      <c r="F158" s="143"/>
      <c r="G158" s="143"/>
      <c r="H158" s="143"/>
      <c r="I158" s="385"/>
      <c r="J158" s="385"/>
      <c r="K158" s="385"/>
      <c r="L158" s="220"/>
      <c r="M158" s="149"/>
      <c r="N158" s="320"/>
      <c r="O158" s="149"/>
      <c r="P158" s="149"/>
      <c r="Q158" s="78" t="s">
        <v>7453</v>
      </c>
      <c r="R158" s="68" t="str">
        <f>$Q$139</f>
        <v/>
      </c>
      <c r="S158" s="690">
        <f>IFERROR(S$156*$X$139/($D$9+$X$139+$X$143+$X$147),"")</f>
        <v>0</v>
      </c>
      <c r="T158" s="690">
        <f>IFERROR(T$156*$X$139/($D$9+$X$139+$X$143+$X$147),"")</f>
        <v>0</v>
      </c>
      <c r="U158" s="690">
        <f>IFERROR(U$156*$X$139/($D$9+$X$139+$X$143+$X$147),"")</f>
        <v>0</v>
      </c>
      <c r="V158" s="690">
        <f>IFERROR(V$156*$X$139/($D$9+$X$139+$X$143+$X$147),"")</f>
        <v>0</v>
      </c>
      <c r="W158" s="690">
        <f>IFERROR(W$156*$X$139/($D$9+$X$139+$X$143+$X$147),"")</f>
        <v>0</v>
      </c>
      <c r="X158" s="724">
        <f t="shared" si="76"/>
        <v>0</v>
      </c>
      <c r="Y158" s="149"/>
      <c r="Z158" s="149"/>
      <c r="AA158" s="143"/>
      <c r="AB158" s="143"/>
      <c r="AC158" s="143"/>
      <c r="AD158" s="143"/>
      <c r="AE158" s="153"/>
      <c r="AF158" s="153"/>
      <c r="AG158" s="255" t="s">
        <v>7453</v>
      </c>
      <c r="AH158" s="252" t="str">
        <f>$Q$143</f>
        <v/>
      </c>
      <c r="AI158" s="253" t="str">
        <f t="shared" si="75"/>
        <v>重量配分</v>
      </c>
      <c r="AJ158" s="254">
        <f>$X$143/($D$9+$X$139+$X$143+$X$147)</f>
        <v>0</v>
      </c>
      <c r="AK158" s="59"/>
      <c r="AL158" s="59"/>
      <c r="AM158" s="59"/>
      <c r="AT158" s="683" t="str">
        <f>R158</f>
        <v/>
      </c>
      <c r="AU158" s="684">
        <f>X158</f>
        <v>0</v>
      </c>
      <c r="AV158" s="684">
        <f>X162</f>
        <v>0</v>
      </c>
      <c r="AW158" s="684">
        <f>X166</f>
        <v>0</v>
      </c>
      <c r="AX158" s="684">
        <f>X170</f>
        <v>0</v>
      </c>
      <c r="AY158" s="684">
        <f>X173</f>
        <v>0</v>
      </c>
    </row>
    <row r="159" spans="1:51">
      <c r="A159" s="149"/>
      <c r="B159" s="149"/>
      <c r="C159" s="149"/>
      <c r="D159" s="143"/>
      <c r="E159" s="143"/>
      <c r="F159" s="143"/>
      <c r="G159" s="143"/>
      <c r="H159" s="143"/>
      <c r="I159" s="385"/>
      <c r="J159" s="385"/>
      <c r="K159" s="385"/>
      <c r="L159" s="220"/>
      <c r="M159" s="149"/>
      <c r="N159" s="320"/>
      <c r="O159" s="149"/>
      <c r="P159" s="149"/>
      <c r="Q159" s="79" t="s">
        <v>7453</v>
      </c>
      <c r="R159" s="68" t="str">
        <f>$Q$143</f>
        <v/>
      </c>
      <c r="S159" s="690">
        <f>IFERROR(S$156*$X$143/($D$9+$X$139+$X$143+$X$147),"")</f>
        <v>0</v>
      </c>
      <c r="T159" s="690">
        <f>IFERROR(T$156*$X$143/($D$9+$X$139+$X$143+$X$147),"")</f>
        <v>0</v>
      </c>
      <c r="U159" s="690">
        <f>IFERROR(U$156*$X$143/($D$9+$X$139+$X$143+$X$147),"")</f>
        <v>0</v>
      </c>
      <c r="V159" s="690">
        <f>IFERROR(V$156*$X$143/($D$9+$X$139+$X$143+$X$147),"")</f>
        <v>0</v>
      </c>
      <c r="W159" s="690">
        <f>IFERROR(W$156*$X$143/($D$9+$X$139+$X$143+$X$147),"")</f>
        <v>0</v>
      </c>
      <c r="X159" s="724">
        <f t="shared" si="76"/>
        <v>0</v>
      </c>
      <c r="Y159" s="149"/>
      <c r="Z159" s="149"/>
      <c r="AA159" s="143"/>
      <c r="AB159" s="143"/>
      <c r="AC159" s="143"/>
      <c r="AD159" s="143"/>
      <c r="AE159" s="153"/>
      <c r="AF159" s="153"/>
      <c r="AG159" s="256" t="s">
        <v>7453</v>
      </c>
      <c r="AH159" s="252" t="s">
        <v>145</v>
      </c>
      <c r="AI159" s="253" t="str">
        <f t="shared" si="75"/>
        <v>重量配分水素</v>
      </c>
      <c r="AJ159" s="254">
        <f>$D$9/($D$9+$X$139+$X$143+$X$147)</f>
        <v>1</v>
      </c>
      <c r="AK159" s="59"/>
      <c r="AL159" s="59"/>
      <c r="AM159" s="59"/>
      <c r="AT159" s="683" t="str">
        <f>R159</f>
        <v/>
      </c>
      <c r="AU159" s="684">
        <f>X159</f>
        <v>0</v>
      </c>
      <c r="AV159" s="684">
        <f>X163</f>
        <v>0</v>
      </c>
      <c r="AW159" s="684">
        <f>X167</f>
        <v>0</v>
      </c>
      <c r="AX159" s="684">
        <f>X171</f>
        <v>0</v>
      </c>
      <c r="AY159" s="684">
        <f>X174</f>
        <v>0</v>
      </c>
    </row>
    <row r="160" spans="1:51">
      <c r="A160" s="149"/>
      <c r="B160" s="149"/>
      <c r="C160" s="149"/>
      <c r="D160" s="143"/>
      <c r="E160" s="143"/>
      <c r="F160" s="143"/>
      <c r="G160" s="143"/>
      <c r="H160" s="143"/>
      <c r="I160" s="385"/>
      <c r="J160" s="385"/>
      <c r="K160" s="385"/>
      <c r="L160" s="220"/>
      <c r="M160" s="149"/>
      <c r="N160" s="320"/>
      <c r="O160" s="149"/>
      <c r="P160" s="149"/>
      <c r="Q160" s="80" t="s">
        <v>7453</v>
      </c>
      <c r="R160" s="68" t="str">
        <f>$Q$147</f>
        <v/>
      </c>
      <c r="S160" s="690">
        <f>IFERROR(S$156*$X$147/($D$9+$X$139+$X$143+$X$147),"")</f>
        <v>0</v>
      </c>
      <c r="T160" s="690">
        <f>IFERROR(T$156*$X$147/($D$9+$X$139+$X$143+$X$147),"")</f>
        <v>0</v>
      </c>
      <c r="U160" s="690">
        <f>IFERROR(U$156*$X$147/($D$9+$X$139+$X$143+$X$147),"")</f>
        <v>0</v>
      </c>
      <c r="V160" s="690">
        <f>IFERROR(V$156*$X$147/($D$9+$X$139+$X$143+$X$147),"")</f>
        <v>0</v>
      </c>
      <c r="W160" s="690">
        <f>IFERROR(W$156*$X$147/($D$9+$X$139+$X$143+$X$147),"")</f>
        <v>0</v>
      </c>
      <c r="X160" s="724">
        <f t="shared" si="76"/>
        <v>0</v>
      </c>
      <c r="Y160" s="149"/>
      <c r="Z160" s="149"/>
      <c r="AA160" s="143"/>
      <c r="AB160" s="143"/>
      <c r="AC160" s="143"/>
      <c r="AD160" s="143"/>
      <c r="AE160" s="153"/>
      <c r="AF160" s="153"/>
      <c r="AG160" s="251" t="s">
        <v>7455</v>
      </c>
      <c r="AH160" s="252" t="str">
        <f>$Q$139</f>
        <v/>
      </c>
      <c r="AI160" s="253" t="str">
        <f t="shared" si="75"/>
        <v>熱量配分</v>
      </c>
      <c r="AJ160" s="254">
        <f>$X$140/($D$10+$X$140+$X$144+$X$148)</f>
        <v>0</v>
      </c>
      <c r="AK160" s="59"/>
      <c r="AL160" s="59"/>
      <c r="AM160" s="59"/>
      <c r="AT160" s="683" t="str">
        <f>R160</f>
        <v/>
      </c>
      <c r="AU160" s="684">
        <f>X160</f>
        <v>0</v>
      </c>
      <c r="AV160" s="684">
        <f>X164</f>
        <v>0</v>
      </c>
      <c r="AW160" s="684">
        <f>X168</f>
        <v>0</v>
      </c>
      <c r="AX160" s="684">
        <f>X172</f>
        <v>0</v>
      </c>
      <c r="AY160" s="684">
        <f>X175</f>
        <v>0</v>
      </c>
    </row>
    <row r="161" spans="1:51">
      <c r="A161" s="149"/>
      <c r="B161" s="149"/>
      <c r="C161" s="149"/>
      <c r="D161" s="143"/>
      <c r="E161" s="143"/>
      <c r="F161" s="143"/>
      <c r="G161" s="143"/>
      <c r="H161" s="143"/>
      <c r="I161" s="385"/>
      <c r="J161" s="385"/>
      <c r="K161" s="385"/>
      <c r="L161" s="220"/>
      <c r="M161" s="149"/>
      <c r="N161" s="320"/>
      <c r="O161" s="149"/>
      <c r="P161" s="149"/>
      <c r="Q161" s="77" t="s">
        <v>7455</v>
      </c>
      <c r="R161" s="76" t="s">
        <v>145</v>
      </c>
      <c r="S161" s="690">
        <f>IFERROR(S$156*$D$10/($D$10+$X$140+$X$144+$X$148),"")</f>
        <v>41.990432942705525</v>
      </c>
      <c r="T161" s="690">
        <f>IFERROR(T$156*$D$10/($D$10+$X$140+$X$144+$X$148),"")</f>
        <v>0</v>
      </c>
      <c r="U161" s="690">
        <f>IFERROR(U$156*$D$10/($D$10+$X$140+$X$144+$X$148),"")</f>
        <v>0</v>
      </c>
      <c r="V161" s="690">
        <f>IFERROR(V$156*$D$10/($D$10+$X$140+$X$144+$X$148),"")</f>
        <v>0</v>
      </c>
      <c r="W161" s="690">
        <f>IFERROR(W$156*$D$10/($D$10+$X$140+$X$144+$X$148),"")</f>
        <v>0</v>
      </c>
      <c r="X161" s="724">
        <f t="shared" si="76"/>
        <v>41.990432942705525</v>
      </c>
      <c r="Y161" s="149"/>
      <c r="Z161" s="149"/>
      <c r="AA161" s="143"/>
      <c r="AB161" s="143"/>
      <c r="AC161" s="143"/>
      <c r="AD161" s="143"/>
      <c r="AE161" s="153"/>
      <c r="AF161" s="153"/>
      <c r="AG161" s="255" t="s">
        <v>7455</v>
      </c>
      <c r="AH161" s="252" t="str">
        <f>$Q$147</f>
        <v/>
      </c>
      <c r="AI161" s="253" t="str">
        <f t="shared" si="75"/>
        <v>熱量配分</v>
      </c>
      <c r="AJ161" s="254">
        <f>$X$148/($D$10+$X$140+$X$144+$X$148)</f>
        <v>0</v>
      </c>
      <c r="AK161" s="59"/>
      <c r="AL161" s="59"/>
      <c r="AM161" s="59"/>
      <c r="AT161" s="683"/>
      <c r="AU161" s="683"/>
      <c r="AV161" s="683"/>
      <c r="AW161" s="683"/>
      <c r="AX161" s="683"/>
      <c r="AY161" s="683"/>
    </row>
    <row r="162" spans="1:51">
      <c r="A162" s="149"/>
      <c r="B162" s="149"/>
      <c r="C162" s="149"/>
      <c r="D162" s="143"/>
      <c r="E162" s="143"/>
      <c r="F162" s="143"/>
      <c r="G162" s="143"/>
      <c r="H162" s="143"/>
      <c r="I162" s="385"/>
      <c r="J162" s="385"/>
      <c r="K162" s="385"/>
      <c r="L162" s="220"/>
      <c r="M162" s="149"/>
      <c r="N162" s="320"/>
      <c r="O162" s="149"/>
      <c r="P162" s="149"/>
      <c r="Q162" s="79" t="s">
        <v>7455</v>
      </c>
      <c r="R162" s="68" t="str">
        <f>Q139</f>
        <v/>
      </c>
      <c r="S162" s="690">
        <f>IFERROR(S$156*$X$140/($D$10+$X$140+$X$144+$X$148),"")</f>
        <v>0</v>
      </c>
      <c r="T162" s="690">
        <f>IFERROR(T$156*$X$140/($D$10+$X$140+$X$144+$X$148),"")</f>
        <v>0</v>
      </c>
      <c r="U162" s="690">
        <f>IFERROR(U$156*$X$140/($D$10+$X$140+$X$144+$X$148),"")</f>
        <v>0</v>
      </c>
      <c r="V162" s="690">
        <f>IFERROR(V$156*$X$140/($D$10+$X$140+$X$144+$X$148),"")</f>
        <v>0</v>
      </c>
      <c r="W162" s="690">
        <f>IFERROR(W$156*$X$140/($D$10+$X$140+$X$144+$X$148),"")</f>
        <v>0</v>
      </c>
      <c r="X162" s="724">
        <f t="shared" si="76"/>
        <v>0</v>
      </c>
      <c r="Y162" s="149"/>
      <c r="Z162" s="149"/>
      <c r="AA162" s="143"/>
      <c r="AB162" s="143"/>
      <c r="AC162" s="143"/>
      <c r="AD162" s="143"/>
      <c r="AE162" s="153"/>
      <c r="AF162" s="153"/>
      <c r="AG162" s="255" t="s">
        <v>7455</v>
      </c>
      <c r="AH162" s="252" t="str">
        <f>$Q$143</f>
        <v/>
      </c>
      <c r="AI162" s="253" t="str">
        <f t="shared" si="75"/>
        <v>熱量配分</v>
      </c>
      <c r="AJ162" s="254">
        <f>$X$144/($D$10+$X$140+$X$144+$X$148)</f>
        <v>0</v>
      </c>
      <c r="AK162" s="59"/>
      <c r="AL162" s="59"/>
      <c r="AM162" s="59"/>
      <c r="AT162" s="683"/>
      <c r="AU162" s="683" t="str">
        <f>AU156</f>
        <v>重量配分</v>
      </c>
      <c r="AV162" s="683" t="str">
        <f>AV156</f>
        <v>熱量配分</v>
      </c>
      <c r="AW162" s="683" t="str">
        <f>AW156</f>
        <v>金額配分</v>
      </c>
      <c r="AX162" s="683" t="str">
        <f>AX156</f>
        <v>体積配分</v>
      </c>
      <c r="AY162" s="683" t="str">
        <f>AY156</f>
        <v>代替</v>
      </c>
    </row>
    <row r="163" spans="1:51">
      <c r="A163" s="149"/>
      <c r="B163" s="149"/>
      <c r="C163" s="149"/>
      <c r="D163" s="143"/>
      <c r="E163" s="143"/>
      <c r="F163" s="143"/>
      <c r="G163" s="143"/>
      <c r="H163" s="143"/>
      <c r="I163" s="385"/>
      <c r="J163" s="385"/>
      <c r="K163" s="385"/>
      <c r="L163" s="220"/>
      <c r="M163" s="149"/>
      <c r="N163" s="320"/>
      <c r="O163" s="149"/>
      <c r="P163" s="149"/>
      <c r="Q163" s="79" t="s">
        <v>7455</v>
      </c>
      <c r="R163" s="68" t="str">
        <f>Q143</f>
        <v/>
      </c>
      <c r="S163" s="690">
        <f>IFERROR(S$156*$X$144/($D$10+$X$140+$X$144+$X$148),"")</f>
        <v>0</v>
      </c>
      <c r="T163" s="690">
        <f>IFERROR(T$156*$X$144/($D$10+$X$140+$X$144+$X$148),"")</f>
        <v>0</v>
      </c>
      <c r="U163" s="690">
        <f>IFERROR(U$156*$X$144/($D$10+$X$140+$X$144+$X$148),"")</f>
        <v>0</v>
      </c>
      <c r="V163" s="690">
        <f>IFERROR(V$156*$X$144/($D$10+$X$140+$X$144+$X$148),"")</f>
        <v>0</v>
      </c>
      <c r="W163" s="690">
        <f>IFERROR(W$156*$X$144/($D$10+$X$140+$X$144+$X$148),"")</f>
        <v>0</v>
      </c>
      <c r="X163" s="724">
        <f t="shared" si="76"/>
        <v>0</v>
      </c>
      <c r="Y163" s="149"/>
      <c r="Z163" s="149"/>
      <c r="AA163" s="143"/>
      <c r="AB163" s="143"/>
      <c r="AC163" s="143"/>
      <c r="AD163" s="143"/>
      <c r="AE163" s="153"/>
      <c r="AF163" s="153"/>
      <c r="AG163" s="256" t="s">
        <v>7455</v>
      </c>
      <c r="AH163" s="252" t="s">
        <v>145</v>
      </c>
      <c r="AI163" s="253" t="str">
        <f t="shared" si="75"/>
        <v>熱量配分水素</v>
      </c>
      <c r="AJ163" s="254">
        <f>$D$10/($D$10+$X$140+$X$144+$X$148)</f>
        <v>1</v>
      </c>
      <c r="AK163" s="59"/>
      <c r="AL163" s="59"/>
      <c r="AM163" s="59"/>
      <c r="AT163" s="683" t="str">
        <f>AT157</f>
        <v>水素</v>
      </c>
      <c r="AU163" s="684">
        <f t="shared" ref="AU163:AY166" si="77">AU157/$D$6</f>
        <v>6.9984054904509208E-2</v>
      </c>
      <c r="AV163" s="684">
        <f t="shared" si="77"/>
        <v>6.9984054904509208E-2</v>
      </c>
      <c r="AW163" s="684">
        <f t="shared" si="77"/>
        <v>0</v>
      </c>
      <c r="AX163" s="684">
        <f t="shared" si="77"/>
        <v>6.9984054904509208E-2</v>
      </c>
      <c r="AY163" s="684">
        <f t="shared" si="77"/>
        <v>6.9984054904509208E-2</v>
      </c>
    </row>
    <row r="164" spans="1:51">
      <c r="A164" s="149"/>
      <c r="B164" s="149"/>
      <c r="C164" s="149"/>
      <c r="D164" s="143"/>
      <c r="E164" s="143"/>
      <c r="F164" s="143"/>
      <c r="G164" s="143"/>
      <c r="H164" s="143"/>
      <c r="I164" s="385"/>
      <c r="J164" s="385"/>
      <c r="K164" s="385"/>
      <c r="L164" s="220"/>
      <c r="M164" s="149"/>
      <c r="N164" s="320"/>
      <c r="O164" s="149"/>
      <c r="P164" s="149"/>
      <c r="Q164" s="80" t="s">
        <v>7455</v>
      </c>
      <c r="R164" s="68" t="str">
        <f>Q147</f>
        <v/>
      </c>
      <c r="S164" s="690">
        <f>IFERROR(S$156*$X$148/($D$10+$X$140+$X$144+$X$148),"")</f>
        <v>0</v>
      </c>
      <c r="T164" s="690">
        <f>IFERROR(T$156*$X$148/($D$10+$X$140+$X$144+$X$148),"")</f>
        <v>0</v>
      </c>
      <c r="U164" s="690">
        <f>IFERROR(U$156*$X$148/($D$10+$X$140+$X$144+$X$148),"")</f>
        <v>0</v>
      </c>
      <c r="V164" s="690">
        <f>IFERROR(V$156*$X$148/($D$10+$X$140+$X$144+$X$148),"")</f>
        <v>0</v>
      </c>
      <c r="W164" s="690">
        <f>IFERROR(W$156*$X$148/($D$10+$X$140+$X$144+$X$148),"")</f>
        <v>0</v>
      </c>
      <c r="X164" s="724">
        <f t="shared" si="76"/>
        <v>0</v>
      </c>
      <c r="Y164" s="149"/>
      <c r="Z164" s="149"/>
      <c r="AA164" s="143"/>
      <c r="AB164" s="143"/>
      <c r="AC164" s="143"/>
      <c r="AD164" s="143"/>
      <c r="AE164" s="153"/>
      <c r="AF164" s="153"/>
      <c r="AG164" s="251" t="s">
        <v>7466</v>
      </c>
      <c r="AH164" s="252" t="str">
        <f>$Q$139</f>
        <v/>
      </c>
      <c r="AI164" s="253" t="str">
        <f t="shared" si="75"/>
        <v>体積配分</v>
      </c>
      <c r="AJ164" s="254">
        <f>$X$142/($D$11+$X$142+$X$146+$X$150)</f>
        <v>0</v>
      </c>
      <c r="AK164" s="59"/>
      <c r="AL164" s="59"/>
      <c r="AM164" s="59"/>
      <c r="AT164" s="683" t="str">
        <f>AT158</f>
        <v/>
      </c>
      <c r="AU164" s="684">
        <f t="shared" si="77"/>
        <v>0</v>
      </c>
      <c r="AV164" s="684">
        <f t="shared" si="77"/>
        <v>0</v>
      </c>
      <c r="AW164" s="684">
        <f t="shared" si="77"/>
        <v>0</v>
      </c>
      <c r="AX164" s="684">
        <f t="shared" si="77"/>
        <v>0</v>
      </c>
      <c r="AY164" s="684">
        <f t="shared" si="77"/>
        <v>0</v>
      </c>
    </row>
    <row r="165" spans="1:51">
      <c r="A165" s="149"/>
      <c r="B165" s="149"/>
      <c r="C165" s="149"/>
      <c r="D165" s="143"/>
      <c r="E165" s="143"/>
      <c r="F165" s="143"/>
      <c r="G165" s="143"/>
      <c r="H165" s="143"/>
      <c r="I165" s="385"/>
      <c r="J165" s="385"/>
      <c r="K165" s="385"/>
      <c r="L165" s="220"/>
      <c r="M165" s="149"/>
      <c r="N165" s="320"/>
      <c r="O165" s="149"/>
      <c r="P165" s="193"/>
      <c r="Q165" s="77" t="s">
        <v>7454</v>
      </c>
      <c r="R165" s="76" t="s">
        <v>145</v>
      </c>
      <c r="S165" s="690" t="str">
        <f>IFERROR(S$156*$J$144/($J$144+$X$141+$X$145+$X$149),"")</f>
        <v/>
      </c>
      <c r="T165" s="690" t="str">
        <f>IFERROR(T$156*$J$144/($J$144+$X$141+$X$145+$X$149),"")</f>
        <v/>
      </c>
      <c r="U165" s="690" t="str">
        <f>IFERROR(U$156*$J$144/($J$144+$X$141+$X$145+$X$149),"")</f>
        <v/>
      </c>
      <c r="V165" s="690" t="str">
        <f>IFERROR(V$156*$J$144/($J$144+$X$141+$X$145+$X$149),"")</f>
        <v/>
      </c>
      <c r="W165" s="690" t="str">
        <f>IFERROR(W$156*$J$144/($J$144+$X$141+$X$145+$X$149),"")</f>
        <v/>
      </c>
      <c r="X165" s="724">
        <f t="shared" si="76"/>
        <v>0</v>
      </c>
      <c r="Y165" s="149"/>
      <c r="Z165" s="149"/>
      <c r="AA165" s="143"/>
      <c r="AB165" s="143"/>
      <c r="AC165" s="143"/>
      <c r="AD165" s="143"/>
      <c r="AE165" s="153"/>
      <c r="AF165" s="153"/>
      <c r="AG165" s="251" t="s">
        <v>7466</v>
      </c>
      <c r="AH165" s="252" t="str">
        <f>$Q$147</f>
        <v/>
      </c>
      <c r="AI165" s="253" t="str">
        <f t="shared" si="75"/>
        <v>体積配分</v>
      </c>
      <c r="AJ165" s="254">
        <f>$X$150/($D$11+$X$142+$X$146+$X$150)</f>
        <v>0</v>
      </c>
      <c r="AK165" s="59"/>
      <c r="AL165" s="59"/>
      <c r="AM165" s="59"/>
      <c r="AT165" s="683" t="str">
        <f>AT159</f>
        <v/>
      </c>
      <c r="AU165" s="684">
        <f t="shared" si="77"/>
        <v>0</v>
      </c>
      <c r="AV165" s="684">
        <f t="shared" si="77"/>
        <v>0</v>
      </c>
      <c r="AW165" s="684">
        <f t="shared" si="77"/>
        <v>0</v>
      </c>
      <c r="AX165" s="684">
        <f t="shared" si="77"/>
        <v>0</v>
      </c>
      <c r="AY165" s="684">
        <f t="shared" si="77"/>
        <v>0</v>
      </c>
    </row>
    <row r="166" spans="1:51" ht="14.25" customHeight="1">
      <c r="A166" s="149"/>
      <c r="B166" s="149"/>
      <c r="C166" s="149"/>
      <c r="D166" s="143"/>
      <c r="E166" s="143"/>
      <c r="F166" s="385"/>
      <c r="G166" s="385"/>
      <c r="H166" s="385"/>
      <c r="I166" s="385"/>
      <c r="J166" s="385"/>
      <c r="K166" s="385"/>
      <c r="L166" s="220"/>
      <c r="M166" s="149"/>
      <c r="N166" s="320"/>
      <c r="O166" s="149"/>
      <c r="P166" s="193"/>
      <c r="Q166" s="79" t="s">
        <v>7454</v>
      </c>
      <c r="R166" s="68" t="str">
        <f>Q139</f>
        <v/>
      </c>
      <c r="S166" s="690" t="str">
        <f>IFERROR(S$156*$X$141/($J$144+$X$141+$X$145+$X$149),"")</f>
        <v/>
      </c>
      <c r="T166" s="690" t="str">
        <f>IFERROR(T$156*$X$141/($J$144+$X$141+$X$145+$X$149),"")</f>
        <v/>
      </c>
      <c r="U166" s="690" t="str">
        <f>IFERROR(U$156*$X$141/($J$144+$X$141+$X$145+$X$149),"")</f>
        <v/>
      </c>
      <c r="V166" s="690" t="str">
        <f>IFERROR(V$156*$X$141/($J$144+$X$141+$X$145+$X$149),"")</f>
        <v/>
      </c>
      <c r="W166" s="690" t="str">
        <f>IFERROR(W$156*$X$141/($J$144+$X$141+$X$145+$X$149),"")</f>
        <v/>
      </c>
      <c r="X166" s="724">
        <f t="shared" si="76"/>
        <v>0</v>
      </c>
      <c r="Y166" s="149"/>
      <c r="Z166" s="149"/>
      <c r="AA166" s="143"/>
      <c r="AB166" s="143"/>
      <c r="AC166" s="385"/>
      <c r="AD166" s="385"/>
      <c r="AE166" s="153"/>
      <c r="AF166" s="153"/>
      <c r="AG166" s="251" t="s">
        <v>7466</v>
      </c>
      <c r="AH166" s="252" t="str">
        <f>$Q$143</f>
        <v/>
      </c>
      <c r="AI166" s="253" t="str">
        <f t="shared" si="75"/>
        <v>体積配分</v>
      </c>
      <c r="AJ166" s="254">
        <f>$X$146/($D$11+$X$142+$X$146+$X$150)</f>
        <v>0</v>
      </c>
      <c r="AK166" s="59"/>
      <c r="AL166" s="59"/>
      <c r="AM166" s="59"/>
      <c r="AT166" s="683" t="str">
        <f>AT160</f>
        <v/>
      </c>
      <c r="AU166" s="684">
        <f t="shared" si="77"/>
        <v>0</v>
      </c>
      <c r="AV166" s="684">
        <f t="shared" si="77"/>
        <v>0</v>
      </c>
      <c r="AW166" s="684">
        <f t="shared" si="77"/>
        <v>0</v>
      </c>
      <c r="AX166" s="684">
        <f t="shared" si="77"/>
        <v>0</v>
      </c>
      <c r="AY166" s="684">
        <f t="shared" si="77"/>
        <v>0</v>
      </c>
    </row>
    <row r="167" spans="1:51">
      <c r="A167" s="149"/>
      <c r="B167" s="149"/>
      <c r="C167" s="149"/>
      <c r="D167" s="143"/>
      <c r="E167" s="143"/>
      <c r="F167" s="385"/>
      <c r="G167" s="385"/>
      <c r="H167" s="385"/>
      <c r="I167" s="385"/>
      <c r="J167" s="385"/>
      <c r="K167" s="385"/>
      <c r="L167" s="220"/>
      <c r="M167" s="149"/>
      <c r="N167" s="320"/>
      <c r="O167" s="149"/>
      <c r="P167" s="193"/>
      <c r="Q167" s="79" t="s">
        <v>7454</v>
      </c>
      <c r="R167" s="68" t="str">
        <f>Q143</f>
        <v/>
      </c>
      <c r="S167" s="690" t="str">
        <f>IFERROR(S$156*$X$145/($J$144+$X$141+$X$145+$X$149),"")</f>
        <v/>
      </c>
      <c r="T167" s="690" t="str">
        <f>IFERROR(T$156*$X$145/($J$144+$X$141+$X$145+$X$149),"")</f>
        <v/>
      </c>
      <c r="U167" s="690" t="str">
        <f>IFERROR(U$156*$X$145/($J$144+$X$141+$X$145+$X$149),"")</f>
        <v/>
      </c>
      <c r="V167" s="690" t="str">
        <f>IFERROR(V$156*$X$145/($J$144+$X$141+$X$145+$X$149),"")</f>
        <v/>
      </c>
      <c r="W167" s="690" t="str">
        <f>IFERROR(W$156*$X$145/($J$144+$X$141+$X$145+$X$149),"")</f>
        <v/>
      </c>
      <c r="X167" s="724">
        <f t="shared" si="76"/>
        <v>0</v>
      </c>
      <c r="Y167" s="149"/>
      <c r="Z167" s="149"/>
      <c r="AA167" s="143"/>
      <c r="AB167" s="143"/>
      <c r="AC167" s="385"/>
      <c r="AD167" s="385"/>
      <c r="AE167" s="153"/>
      <c r="AF167" s="153"/>
      <c r="AG167" s="251" t="s">
        <v>7466</v>
      </c>
      <c r="AH167" s="252" t="s">
        <v>145</v>
      </c>
      <c r="AI167" s="253" t="str">
        <f t="shared" si="75"/>
        <v>体積配分水素</v>
      </c>
      <c r="AJ167" s="254">
        <f>$D$11/($D$11+$X$142+$X$146+$X$150)</f>
        <v>1</v>
      </c>
      <c r="AK167" s="59"/>
      <c r="AL167" s="59"/>
      <c r="AM167" s="59"/>
    </row>
    <row r="168" spans="1:51">
      <c r="A168" s="149"/>
      <c r="B168" s="149"/>
      <c r="C168" s="149"/>
      <c r="D168" s="143"/>
      <c r="E168" s="143"/>
      <c r="F168" s="385"/>
      <c r="G168" s="385"/>
      <c r="H168" s="385"/>
      <c r="I168" s="385"/>
      <c r="J168" s="385"/>
      <c r="K168" s="385"/>
      <c r="L168" s="220"/>
      <c r="M168" s="149"/>
      <c r="N168" s="320"/>
      <c r="O168" s="149"/>
      <c r="P168" s="193"/>
      <c r="Q168" s="79" t="s">
        <v>7454</v>
      </c>
      <c r="R168" s="68" t="str">
        <f>Q147</f>
        <v/>
      </c>
      <c r="S168" s="690" t="str">
        <f>IFERROR(S$156*$X$149/($J$144+$X$141+$X$145+$X$149),"")</f>
        <v/>
      </c>
      <c r="T168" s="690" t="str">
        <f>IFERROR(T$156*$X$149/($J$144+$X$141+$X$145+$X$149),"")</f>
        <v/>
      </c>
      <c r="U168" s="690" t="str">
        <f>IFERROR(U$156*$X$149/($J$144+$X$141+$X$145+$X$149),"")</f>
        <v/>
      </c>
      <c r="V168" s="690" t="str">
        <f>IFERROR(V$156*$X$149/($J$144+$X$141+$X$145+$X$149),"")</f>
        <v/>
      </c>
      <c r="W168" s="690" t="str">
        <f>IFERROR(W$156*$X$149/($J$144+$X$141+$X$145+$X$149),"")</f>
        <v/>
      </c>
      <c r="X168" s="724">
        <f t="shared" si="76"/>
        <v>0</v>
      </c>
      <c r="Y168" s="149"/>
      <c r="Z168" s="149"/>
      <c r="AA168" s="143"/>
      <c r="AB168" s="143"/>
      <c r="AC168" s="385"/>
      <c r="AD168" s="385"/>
      <c r="AE168" s="153"/>
      <c r="AF168" s="153"/>
      <c r="AK168" s="59"/>
      <c r="AL168" s="59"/>
      <c r="AM168" s="59"/>
    </row>
    <row r="169" spans="1:51">
      <c r="A169" s="149"/>
      <c r="B169" s="149"/>
      <c r="C169" s="149"/>
      <c r="D169" s="143"/>
      <c r="E169" s="143"/>
      <c r="F169" s="385"/>
      <c r="G169" s="385"/>
      <c r="H169" s="385"/>
      <c r="I169" s="385"/>
      <c r="J169" s="385"/>
      <c r="K169" s="385"/>
      <c r="L169" s="220"/>
      <c r="M169" s="149"/>
      <c r="N169" s="320"/>
      <c r="O169" s="149"/>
      <c r="Q169" s="67" t="s">
        <v>7464</v>
      </c>
      <c r="R169" s="76" t="s">
        <v>145</v>
      </c>
      <c r="S169" s="690">
        <f>IFERROR(S$156*$D$11/($D$11+$X$142+$X$146+$X$150),"")</f>
        <v>41.990432942705525</v>
      </c>
      <c r="T169" s="690">
        <f>IFERROR(T$156*$D$11/($D$11+$X$142+$X$146+$X$150),"")</f>
        <v>0</v>
      </c>
      <c r="U169" s="690">
        <f>IFERROR(U$156*$D$11/($D$11+$X$142+$X$146+$X$150),"")</f>
        <v>0</v>
      </c>
      <c r="V169" s="690">
        <f>IFERROR(V$156*$D$11/($D$11+$X$142+$X$146+$X$150),"")</f>
        <v>0</v>
      </c>
      <c r="W169" s="690">
        <f>IFERROR(W$156*$D$11/($D$11+$X$142+$X$146+$X$150),"")</f>
        <v>0</v>
      </c>
      <c r="X169" s="724">
        <f t="shared" si="76"/>
        <v>41.990432942705525</v>
      </c>
      <c r="Y169" s="149"/>
      <c r="Z169" s="149"/>
      <c r="AA169" s="143"/>
      <c r="AB169" s="143"/>
      <c r="AC169" s="385"/>
      <c r="AD169" s="385"/>
      <c r="AE169" s="153"/>
      <c r="AF169" s="153"/>
      <c r="AK169" s="59"/>
      <c r="AL169" s="59"/>
      <c r="AM169" s="59"/>
    </row>
    <row r="170" spans="1:51" s="149" customFormat="1">
      <c r="D170" s="143"/>
      <c r="E170" s="143"/>
      <c r="F170" s="385"/>
      <c r="G170" s="385"/>
      <c r="H170" s="385"/>
      <c r="I170" s="385"/>
      <c r="J170" s="385"/>
      <c r="K170" s="385"/>
      <c r="L170" s="220"/>
      <c r="N170" s="320"/>
      <c r="Q170" s="79" t="s">
        <v>7464</v>
      </c>
      <c r="R170" s="68" t="str">
        <f>Q139</f>
        <v/>
      </c>
      <c r="S170" s="690">
        <f>IFERROR(S$156*$X$142/($D$11+$X$142+$X$146+$X$150),"")</f>
        <v>0</v>
      </c>
      <c r="T170" s="690">
        <f>IFERROR(T$156*$X$142/($D$11+$X$142+$X$146+$X$150),"")</f>
        <v>0</v>
      </c>
      <c r="U170" s="690">
        <f>IFERROR(U$156*$X$142/($D$11+$X$142+$X$146+$X$150),"")</f>
        <v>0</v>
      </c>
      <c r="V170" s="690">
        <f>IFERROR(V$156*$X$142/($D$11+$X$142+$X$146+$X$150),"")</f>
        <v>0</v>
      </c>
      <c r="W170" s="690">
        <f>IFERROR(W$156*$X$142/($D$11+$X$142+$X$146+$X$150),"")</f>
        <v>0</v>
      </c>
      <c r="X170" s="724">
        <f t="shared" si="76"/>
        <v>0</v>
      </c>
      <c r="AA170" s="143"/>
      <c r="AB170" s="143"/>
      <c r="AC170" s="385"/>
      <c r="AD170" s="385"/>
      <c r="AE170" s="153"/>
      <c r="AF170" s="153"/>
      <c r="AG170" s="762" t="s">
        <v>7916</v>
      </c>
      <c r="AH170" s="763"/>
      <c r="AI170" s="763"/>
      <c r="AJ170" s="764">
        <f>IF($B$135="金額配分",AJ155,IF($B$135="重量配分",AJ159,IF($B$135="熱量配分",AJ163,IF($B$135="体積配分",AJ167,"NA"))))</f>
        <v>1</v>
      </c>
      <c r="AK170" s="59"/>
      <c r="AL170" s="59"/>
      <c r="AM170" s="59"/>
      <c r="AN170" s="59"/>
      <c r="AO170" s="59"/>
      <c r="AP170" s="59"/>
    </row>
    <row r="171" spans="1:51" s="149" customFormat="1">
      <c r="D171" s="143"/>
      <c r="E171" s="143"/>
      <c r="F171" s="385"/>
      <c r="G171" s="385"/>
      <c r="H171" s="385"/>
      <c r="I171" s="385"/>
      <c r="J171" s="143"/>
      <c r="K171" s="143"/>
      <c r="N171" s="320"/>
      <c r="Q171" s="79" t="s">
        <v>7464</v>
      </c>
      <c r="R171" s="68" t="str">
        <f>Q143</f>
        <v/>
      </c>
      <c r="S171" s="690">
        <f>IFERROR(S$156*$X$146/($D$11+$X$142+$X$146+$X$150),"")</f>
        <v>0</v>
      </c>
      <c r="T171" s="690">
        <f>IFERROR(T$156*$X$146/($D$11+$X$142+$X$146+$X$150),"")</f>
        <v>0</v>
      </c>
      <c r="U171" s="690">
        <f>IFERROR(U$156*$X$146/($D$11+$X$142+$X$146+$X$150),"")</f>
        <v>0</v>
      </c>
      <c r="V171" s="690">
        <f>IFERROR(V$156*$X$146/($D$11+$X$142+$X$146+$X$150),"")</f>
        <v>0</v>
      </c>
      <c r="W171" s="690">
        <f>IFERROR(W$156*$X$146/($D$11+$X$142+$X$146+$X$150),"")</f>
        <v>0</v>
      </c>
      <c r="X171" s="724">
        <f t="shared" si="76"/>
        <v>0</v>
      </c>
      <c r="AA171" s="143"/>
      <c r="AB171" s="143"/>
      <c r="AC171" s="385"/>
      <c r="AD171" s="385"/>
      <c r="AE171" s="153"/>
      <c r="AF171" s="153"/>
      <c r="AG171" s="235"/>
      <c r="AH171" s="235"/>
      <c r="AI171" s="235"/>
      <c r="AJ171" s="206"/>
      <c r="AK171" s="59"/>
      <c r="AL171" s="59"/>
      <c r="AM171" s="59"/>
      <c r="AN171" s="59"/>
      <c r="AO171" s="59"/>
      <c r="AP171" s="59"/>
    </row>
    <row r="172" spans="1:51" s="149" customFormat="1">
      <c r="D172" s="143"/>
      <c r="E172" s="143"/>
      <c r="F172" s="385"/>
      <c r="G172" s="385"/>
      <c r="H172" s="385"/>
      <c r="I172" s="385"/>
      <c r="J172" s="143"/>
      <c r="K172" s="143"/>
      <c r="N172" s="320"/>
      <c r="Q172" s="80" t="s">
        <v>7464</v>
      </c>
      <c r="R172" s="68" t="str">
        <f>Q147</f>
        <v/>
      </c>
      <c r="S172" s="690">
        <f>IFERROR(S$156*$X$150/($D$11+$X$142+$X$146+$X$150),"")</f>
        <v>0</v>
      </c>
      <c r="T172" s="690">
        <f>IFERROR(T$156*$X$150/($D$11+$X$142+$X$146+$X$150),"")</f>
        <v>0</v>
      </c>
      <c r="U172" s="690">
        <f>IFERROR(U$156*$X$150/($D$11+$X$142+$X$146+$X$150),"")</f>
        <v>0</v>
      </c>
      <c r="V172" s="690">
        <f>IFERROR(V$156*$X$150/($D$11+$X$142+$X$146+$X$150),"")</f>
        <v>0</v>
      </c>
      <c r="W172" s="690">
        <f>IFERROR(W$156*$X$150/($D$11+$X$142+$X$146+$X$150),"")</f>
        <v>0</v>
      </c>
      <c r="X172" s="724">
        <f t="shared" si="76"/>
        <v>0</v>
      </c>
      <c r="AA172" s="143"/>
      <c r="AB172" s="143"/>
      <c r="AC172" s="385"/>
      <c r="AD172" s="385"/>
      <c r="AE172" s="153"/>
      <c r="AF172" s="153"/>
      <c r="AG172" s="235"/>
      <c r="AH172" s="235"/>
      <c r="AI172" s="235"/>
      <c r="AJ172" s="206"/>
      <c r="AK172" s="59"/>
      <c r="AL172" s="59"/>
      <c r="AM172" s="59"/>
      <c r="AN172" s="59"/>
      <c r="AO172" s="59"/>
      <c r="AP172" s="59"/>
    </row>
    <row r="173" spans="1:51">
      <c r="A173" s="149"/>
      <c r="B173" s="149"/>
      <c r="C173" s="149"/>
      <c r="D173" s="143"/>
      <c r="E173" s="143"/>
      <c r="F173" s="385"/>
      <c r="G173" s="385"/>
      <c r="H173" s="385"/>
      <c r="I173" s="385"/>
      <c r="J173" s="385"/>
      <c r="K173" s="385"/>
      <c r="L173" s="220"/>
      <c r="M173" s="149"/>
      <c r="N173" s="320"/>
      <c r="O173" s="149"/>
      <c r="P173" s="149"/>
      <c r="Q173" s="67" t="s">
        <v>5551</v>
      </c>
      <c r="R173" s="68" t="str">
        <f>Q139</f>
        <v/>
      </c>
      <c r="S173" s="690">
        <f t="shared" ref="S173:W175" si="78">0-F139*$N139*$O139</f>
        <v>0</v>
      </c>
      <c r="T173" s="690">
        <f t="shared" si="78"/>
        <v>0</v>
      </c>
      <c r="U173" s="690">
        <f t="shared" si="78"/>
        <v>0</v>
      </c>
      <c r="V173" s="690">
        <f t="shared" si="78"/>
        <v>0</v>
      </c>
      <c r="W173" s="690">
        <f t="shared" si="78"/>
        <v>0</v>
      </c>
      <c r="X173" s="724">
        <f t="shared" ref="X173:X175" si="79">SUM(S173:W173)</f>
        <v>0</v>
      </c>
      <c r="Y173" s="149"/>
      <c r="Z173" s="149"/>
      <c r="AA173" s="143"/>
      <c r="AB173" s="143"/>
      <c r="AC173" s="385"/>
      <c r="AD173" s="385"/>
      <c r="AE173" s="149"/>
      <c r="AF173" s="149"/>
      <c r="AK173" s="59"/>
      <c r="AL173" s="59"/>
      <c r="AM173" s="59"/>
    </row>
    <row r="174" spans="1:51">
      <c r="A174" s="149"/>
      <c r="B174" s="149"/>
      <c r="C174" s="149"/>
      <c r="D174" s="149"/>
      <c r="E174" s="149"/>
      <c r="F174" s="220"/>
      <c r="G174" s="220"/>
      <c r="H174" s="220"/>
      <c r="I174" s="220"/>
      <c r="J174" s="220"/>
      <c r="K174" s="220"/>
      <c r="L174" s="220"/>
      <c r="M174" s="149"/>
      <c r="N174" s="325"/>
      <c r="O174" s="149"/>
      <c r="P174" s="149"/>
      <c r="Q174" s="79" t="s">
        <v>5551</v>
      </c>
      <c r="R174" s="68" t="str">
        <f>Q143</f>
        <v/>
      </c>
      <c r="S174" s="690">
        <f t="shared" si="78"/>
        <v>0</v>
      </c>
      <c r="T174" s="690">
        <f t="shared" si="78"/>
        <v>0</v>
      </c>
      <c r="U174" s="690">
        <f t="shared" si="78"/>
        <v>0</v>
      </c>
      <c r="V174" s="690">
        <f t="shared" si="78"/>
        <v>0</v>
      </c>
      <c r="W174" s="690">
        <f t="shared" si="78"/>
        <v>0</v>
      </c>
      <c r="X174" s="724">
        <f t="shared" si="79"/>
        <v>0</v>
      </c>
      <c r="Y174" s="149"/>
      <c r="Z174" s="149"/>
      <c r="AA174" s="149"/>
      <c r="AB174" s="149"/>
      <c r="AC174" s="220"/>
      <c r="AD174" s="220"/>
      <c r="AE174" s="149"/>
      <c r="AF174" s="149"/>
      <c r="AG174" s="149"/>
      <c r="AH174" s="149"/>
      <c r="AI174" s="153"/>
      <c r="AJ174" s="535"/>
      <c r="AK174" s="153"/>
      <c r="AL174" s="153"/>
      <c r="AM174" s="153"/>
      <c r="AN174" s="149"/>
      <c r="AO174" s="149"/>
      <c r="AP174" s="149"/>
    </row>
    <row r="175" spans="1:51">
      <c r="A175" s="149"/>
      <c r="B175" s="149"/>
      <c r="C175" s="149"/>
      <c r="D175" s="220"/>
      <c r="E175" s="149"/>
      <c r="F175" s="220"/>
      <c r="G175" s="220"/>
      <c r="H175" s="220"/>
      <c r="I175" s="220"/>
      <c r="J175" s="220"/>
      <c r="K175" s="149"/>
      <c r="L175" s="149"/>
      <c r="M175" s="149"/>
      <c r="N175" s="320"/>
      <c r="O175" s="149"/>
      <c r="P175" s="149"/>
      <c r="Q175" s="79" t="s">
        <v>5551</v>
      </c>
      <c r="R175" s="68" t="str">
        <f>Q147</f>
        <v/>
      </c>
      <c r="S175" s="690">
        <f t="shared" si="78"/>
        <v>0</v>
      </c>
      <c r="T175" s="690">
        <f t="shared" si="78"/>
        <v>0</v>
      </c>
      <c r="U175" s="690">
        <f t="shared" si="78"/>
        <v>0</v>
      </c>
      <c r="V175" s="690">
        <f t="shared" si="78"/>
        <v>0</v>
      </c>
      <c r="W175" s="690">
        <f t="shared" si="78"/>
        <v>0</v>
      </c>
      <c r="X175" s="724">
        <f t="shared" si="79"/>
        <v>0</v>
      </c>
      <c r="Y175" s="149"/>
      <c r="Z175" s="149"/>
      <c r="AA175" s="220"/>
      <c r="AB175" s="149"/>
      <c r="AC175" s="220"/>
      <c r="AD175" s="220"/>
      <c r="AE175" s="149"/>
      <c r="AF175" s="149"/>
      <c r="AG175" s="149"/>
      <c r="AH175" s="149"/>
      <c r="AI175" s="153"/>
      <c r="AJ175" s="535"/>
      <c r="AK175" s="153"/>
      <c r="AL175" s="153"/>
      <c r="AM175" s="153"/>
      <c r="AN175" s="149"/>
      <c r="AO175" s="149"/>
      <c r="AP175" s="149"/>
    </row>
    <row r="176" spans="1:51" ht="13.8" thickBot="1">
      <c r="A176" s="149"/>
      <c r="B176" s="149"/>
      <c r="C176" s="149"/>
      <c r="D176" s="220"/>
      <c r="E176" s="149"/>
      <c r="F176" s="220"/>
      <c r="G176" s="220"/>
      <c r="H176" s="220"/>
      <c r="I176" s="220"/>
      <c r="J176" s="220"/>
      <c r="K176" s="149"/>
      <c r="L176" s="149"/>
      <c r="M176" s="149"/>
      <c r="N176" s="320"/>
      <c r="O176" s="149"/>
      <c r="P176" s="149"/>
      <c r="Q176" s="80" t="s">
        <v>5551</v>
      </c>
      <c r="R176" s="76" t="s">
        <v>145</v>
      </c>
      <c r="S176" s="690">
        <f>SUM(S173:S175)+S156</f>
        <v>41.990432942705525</v>
      </c>
      <c r="T176" s="690">
        <f>SUM(T173:T175)+T156</f>
        <v>0</v>
      </c>
      <c r="U176" s="690">
        <f>SUM(U173:U175)+U156</f>
        <v>0</v>
      </c>
      <c r="V176" s="690">
        <f>SUM(V173:V175)+V156</f>
        <v>0</v>
      </c>
      <c r="W176" s="690">
        <f>SUM(W173:W175)+W156</f>
        <v>0</v>
      </c>
      <c r="X176" s="724">
        <f>SUM(S176:W176)</f>
        <v>41.990432942705525</v>
      </c>
      <c r="Y176" s="149"/>
      <c r="Z176" s="149"/>
      <c r="AA176" s="220"/>
      <c r="AB176" s="149"/>
      <c r="AC176" s="220"/>
      <c r="AD176" s="220"/>
      <c r="AE176" s="149"/>
      <c r="AF176" s="149"/>
      <c r="AG176" s="149"/>
      <c r="AH176" s="149"/>
      <c r="AI176" s="153"/>
      <c r="AJ176" s="535"/>
      <c r="AK176" s="153"/>
      <c r="AL176" s="153"/>
      <c r="AM176" s="153"/>
      <c r="AN176" s="149"/>
      <c r="AO176" s="149"/>
      <c r="AP176" s="149"/>
    </row>
    <row r="177" spans="1:39" ht="15.6" thickTop="1" thickBot="1">
      <c r="A177" s="149"/>
      <c r="B177" s="149"/>
      <c r="C177" s="149"/>
      <c r="D177" s="149"/>
      <c r="E177" s="1003" t="s">
        <v>7450</v>
      </c>
      <c r="F177" s="1004"/>
      <c r="G177" s="143"/>
      <c r="H177" s="143"/>
      <c r="I177" s="143"/>
      <c r="J177" s="143"/>
      <c r="K177" s="211"/>
      <c r="L177" s="220"/>
      <c r="M177" s="149"/>
      <c r="N177" s="149"/>
      <c r="O177" s="149"/>
      <c r="P177" s="149"/>
      <c r="Q177" s="244"/>
      <c r="R177" s="248"/>
      <c r="S177" s="245"/>
      <c r="T177" s="245"/>
      <c r="U177" s="245"/>
      <c r="V177" s="245"/>
      <c r="W177" s="245"/>
      <c r="X177" s="249"/>
      <c r="Y177" s="240"/>
      <c r="Z177" s="149"/>
      <c r="AA177" s="149"/>
      <c r="AB177" s="149"/>
      <c r="AC177" s="149"/>
      <c r="AD177" s="149"/>
      <c r="AE177" s="149"/>
      <c r="AF177" s="149"/>
      <c r="AG177" s="59"/>
      <c r="AH177" s="59"/>
      <c r="AJ177" s="535"/>
      <c r="AK177" s="153"/>
    </row>
    <row r="178" spans="1:39" ht="13.8" thickTop="1">
      <c r="A178" s="149"/>
      <c r="B178" s="149"/>
      <c r="C178" s="149"/>
      <c r="D178" s="149"/>
      <c r="E178" s="143"/>
      <c r="F178" s="143"/>
      <c r="G178" s="143"/>
      <c r="H178" s="143"/>
      <c r="I178" s="143"/>
      <c r="J178" s="143"/>
      <c r="K178" s="211"/>
      <c r="L178" s="220"/>
      <c r="M178" s="149"/>
      <c r="N178" s="149"/>
      <c r="O178" s="149"/>
      <c r="P178" s="149"/>
      <c r="Q178" s="67" t="s">
        <v>172</v>
      </c>
      <c r="R178" s="248"/>
      <c r="S178" s="245"/>
      <c r="T178" s="245"/>
      <c r="U178" s="245"/>
      <c r="V178" s="245"/>
      <c r="W178" s="245"/>
      <c r="X178" s="249"/>
      <c r="Y178" s="240"/>
      <c r="Z178" s="149"/>
      <c r="AA178" s="149"/>
      <c r="AB178" s="149"/>
      <c r="AC178" s="149"/>
      <c r="AD178" s="149"/>
      <c r="AE178" s="149"/>
      <c r="AF178" s="149"/>
      <c r="AG178" s="259" t="s">
        <v>2130</v>
      </c>
      <c r="AH178" s="260" t="s">
        <v>187</v>
      </c>
      <c r="AI178" s="259" t="s">
        <v>2130</v>
      </c>
      <c r="AJ178" s="542" t="str">
        <f>AG178&amp;AI178</f>
        <v>[kg][kg]</v>
      </c>
      <c r="AK178" s="230">
        <f>$F$194</f>
        <v>600</v>
      </c>
    </row>
    <row r="179" spans="1:39">
      <c r="A179" s="149"/>
      <c r="B179" s="149"/>
      <c r="C179" s="149"/>
      <c r="D179" s="149"/>
      <c r="E179" s="966" t="s">
        <v>7668</v>
      </c>
      <c r="F179" s="966"/>
      <c r="G179" s="966"/>
      <c r="H179" s="966"/>
      <c r="I179" s="966"/>
      <c r="J179" s="966"/>
      <c r="K179" s="966"/>
      <c r="L179" s="220"/>
      <c r="M179" s="149"/>
      <c r="N179" s="149"/>
      <c r="O179" s="149"/>
      <c r="P179" s="149"/>
      <c r="Q179" s="487" t="str">
        <f>B135</f>
        <v>熱量配分</v>
      </c>
      <c r="R179" s="248"/>
      <c r="S179" s="245"/>
      <c r="T179" s="245"/>
      <c r="U179" s="245"/>
      <c r="V179" s="245"/>
      <c r="W179" s="245"/>
      <c r="X179" s="249"/>
      <c r="Y179" s="240"/>
      <c r="Z179" s="149"/>
      <c r="AA179" s="149"/>
      <c r="AB179" s="149"/>
      <c r="AC179" s="149"/>
      <c r="AD179" s="149"/>
      <c r="AE179" s="149"/>
      <c r="AF179" s="149"/>
      <c r="AG179" s="259" t="s">
        <v>2130</v>
      </c>
      <c r="AH179" s="260" t="s">
        <v>187</v>
      </c>
      <c r="AI179" s="261" t="s">
        <v>6998</v>
      </c>
      <c r="AJ179" s="542" t="str">
        <f t="shared" ref="AJ179:AJ189" si="80">AG179&amp;AI179</f>
        <v>[kg][MJ]</v>
      </c>
      <c r="AK179" s="262">
        <f>$F$194*製品単位換算2!$E$877/製品単位換算2!$E$876</f>
        <v>85200.000000000015</v>
      </c>
    </row>
    <row r="180" spans="1:39">
      <c r="A180" s="149"/>
      <c r="B180" s="149"/>
      <c r="C180" s="149"/>
      <c r="D180" s="149"/>
      <c r="E180" s="149"/>
      <c r="F180" s="149"/>
      <c r="G180" s="149"/>
      <c r="H180" s="149"/>
      <c r="I180" s="149"/>
      <c r="J180" s="220"/>
      <c r="K180" s="510" t="s">
        <v>7681</v>
      </c>
      <c r="L180" s="149"/>
      <c r="M180" s="149"/>
      <c r="N180" s="149"/>
      <c r="O180" s="149"/>
      <c r="P180" s="149"/>
      <c r="Q180" s="247" t="s">
        <v>6990</v>
      </c>
      <c r="R180" s="149"/>
      <c r="S180" s="220"/>
      <c r="T180" s="220"/>
      <c r="U180" s="220"/>
      <c r="V180" s="220"/>
      <c r="W180" s="220"/>
      <c r="X180" s="220"/>
      <c r="Y180" s="231"/>
      <c r="Z180" s="149"/>
      <c r="AA180" s="149"/>
      <c r="AB180" s="149"/>
      <c r="AC180" s="149"/>
      <c r="AD180" s="149"/>
      <c r="AE180" s="149"/>
      <c r="AF180" s="149"/>
      <c r="AG180" s="259" t="s">
        <v>2130</v>
      </c>
      <c r="AH180" s="260" t="s">
        <v>187</v>
      </c>
      <c r="AI180" s="261" t="s">
        <v>6996</v>
      </c>
      <c r="AJ180" s="542" t="str">
        <f t="shared" si="80"/>
        <v>[kg][Nm3]</v>
      </c>
      <c r="AK180" s="262">
        <f>$F$194/(製品単位換算2!$E$876*共通データ!$E$29/共通データ!$F$29)</f>
        <v>7910.0234828822158</v>
      </c>
    </row>
    <row r="181" spans="1:39">
      <c r="B181" s="149"/>
      <c r="C181" s="149"/>
      <c r="D181" s="149"/>
      <c r="E181" s="466" t="s">
        <v>146</v>
      </c>
      <c r="F181" s="232" t="s">
        <v>7699</v>
      </c>
      <c r="G181" s="232" t="s">
        <v>7700</v>
      </c>
      <c r="H181" s="232" t="s">
        <v>7701</v>
      </c>
      <c r="I181" s="232" t="s">
        <v>7702</v>
      </c>
      <c r="J181" s="232" t="s">
        <v>7703</v>
      </c>
      <c r="K181" s="232" t="s">
        <v>7004</v>
      </c>
      <c r="L181" s="149"/>
      <c r="M181" s="149"/>
      <c r="N181" s="149"/>
      <c r="O181" s="149"/>
      <c r="P181" s="257"/>
      <c r="Q181" s="890" t="s">
        <v>173</v>
      </c>
      <c r="R181" s="892"/>
      <c r="S181" s="1016" t="s">
        <v>7666</v>
      </c>
      <c r="T181" s="1017"/>
      <c r="U181" s="1017"/>
      <c r="V181" s="1017"/>
      <c r="W181" s="1017"/>
      <c r="X181" s="1018"/>
      <c r="Y181" s="238"/>
      <c r="Z181" s="149"/>
      <c r="AA181" s="149"/>
      <c r="AB181" s="149"/>
      <c r="AC181" s="149"/>
      <c r="AD181" s="149"/>
      <c r="AE181" s="149"/>
      <c r="AF181" s="149"/>
      <c r="AG181" s="261" t="s">
        <v>6995</v>
      </c>
      <c r="AH181" s="260" t="s">
        <v>187</v>
      </c>
      <c r="AI181" s="259" t="s">
        <v>2130</v>
      </c>
      <c r="AJ181" s="542" t="str">
        <f t="shared" si="80"/>
        <v>[t][kg]</v>
      </c>
      <c r="AK181" s="230">
        <f>AK178*1000</f>
        <v>600000</v>
      </c>
    </row>
    <row r="182" spans="1:39">
      <c r="B182" s="149"/>
      <c r="C182" s="149"/>
      <c r="D182" s="149"/>
      <c r="E182" s="511" t="s">
        <v>6965</v>
      </c>
      <c r="F182" s="711">
        <f>S188</f>
        <v>0</v>
      </c>
      <c r="G182" s="711">
        <f>T188</f>
        <v>0</v>
      </c>
      <c r="H182" s="711">
        <f>U188</f>
        <v>0</v>
      </c>
      <c r="I182" s="711">
        <f>V188</f>
        <v>0</v>
      </c>
      <c r="J182" s="711">
        <f>W188</f>
        <v>0</v>
      </c>
      <c r="K182" s="712">
        <f>SUM(F182:J182)</f>
        <v>0</v>
      </c>
      <c r="L182" s="149"/>
      <c r="M182" s="149"/>
      <c r="N182" s="149"/>
      <c r="O182" s="149"/>
      <c r="P182" s="149"/>
      <c r="Q182" s="896"/>
      <c r="R182" s="898"/>
      <c r="S182" s="267" t="s">
        <v>6999</v>
      </c>
      <c r="T182" s="267" t="s">
        <v>7000</v>
      </c>
      <c r="U182" s="267" t="s">
        <v>7001</v>
      </c>
      <c r="V182" s="267" t="s">
        <v>7002</v>
      </c>
      <c r="W182" s="267" t="s">
        <v>7003</v>
      </c>
      <c r="X182" s="268" t="s">
        <v>7004</v>
      </c>
      <c r="Y182" s="231"/>
      <c r="Z182" s="149"/>
      <c r="AA182" s="149"/>
      <c r="AB182" s="149"/>
      <c r="AC182" s="149"/>
      <c r="AD182" s="149"/>
      <c r="AE182" s="149"/>
      <c r="AF182" s="149"/>
      <c r="AG182" s="261" t="s">
        <v>6995</v>
      </c>
      <c r="AH182" s="260" t="s">
        <v>187</v>
      </c>
      <c r="AI182" s="261" t="s">
        <v>6998</v>
      </c>
      <c r="AJ182" s="542" t="str">
        <f t="shared" si="80"/>
        <v>[t][MJ]</v>
      </c>
      <c r="AK182" s="230">
        <f t="shared" ref="AK182:AK183" si="81">AK179*1000</f>
        <v>85200000.000000015</v>
      </c>
    </row>
    <row r="183" spans="1:39">
      <c r="B183" s="149"/>
      <c r="C183" s="149"/>
      <c r="D183" s="149"/>
      <c r="E183" s="511" t="s">
        <v>7692</v>
      </c>
      <c r="F183" s="711">
        <f>S193</f>
        <v>1.42</v>
      </c>
      <c r="G183" s="711">
        <f>T193</f>
        <v>0</v>
      </c>
      <c r="H183" s="711">
        <f>U193</f>
        <v>0</v>
      </c>
      <c r="I183" s="711">
        <f>V193</f>
        <v>0</v>
      </c>
      <c r="J183" s="711">
        <f>W193</f>
        <v>0</v>
      </c>
      <c r="K183" s="712">
        <f t="shared" ref="K183:K189" si="82">SUM(F183:J183)</f>
        <v>1.42</v>
      </c>
      <c r="L183" s="149"/>
      <c r="M183" s="149"/>
      <c r="N183" s="149"/>
      <c r="O183" s="149"/>
      <c r="P183" s="149"/>
      <c r="Q183" s="218"/>
      <c r="R183" s="76" t="s">
        <v>145</v>
      </c>
      <c r="S183" s="690">
        <f>SUMIFS(S$157:S$176,$Q$157:$Q$176,$Q$179,$R$157:$R$176,$R183)</f>
        <v>41.990432942705525</v>
      </c>
      <c r="T183" s="690">
        <f t="shared" ref="S183:X186" si="83">SUMIFS(T$157:T$176,$Q$157:$Q$176,$Q$179,$R$157:$R$176,$R183)</f>
        <v>0</v>
      </c>
      <c r="U183" s="690">
        <f t="shared" si="83"/>
        <v>0</v>
      </c>
      <c r="V183" s="690">
        <f t="shared" si="83"/>
        <v>0</v>
      </c>
      <c r="W183" s="690">
        <f t="shared" si="83"/>
        <v>0</v>
      </c>
      <c r="X183" s="690">
        <f t="shared" si="83"/>
        <v>41.990432942705525</v>
      </c>
      <c r="Y183" s="231"/>
      <c r="Z183" s="149"/>
      <c r="AA183" s="149"/>
      <c r="AB183" s="149"/>
      <c r="AC183" s="149"/>
      <c r="AD183" s="149"/>
      <c r="AE183" s="245"/>
      <c r="AF183" s="245"/>
      <c r="AG183" s="261" t="s">
        <v>6995</v>
      </c>
      <c r="AH183" s="260" t="s">
        <v>187</v>
      </c>
      <c r="AI183" s="261" t="s">
        <v>6996</v>
      </c>
      <c r="AJ183" s="542" t="str">
        <f t="shared" si="80"/>
        <v>[t][Nm3]</v>
      </c>
      <c r="AK183" s="230">
        <f t="shared" si="81"/>
        <v>7910023.4828822156</v>
      </c>
    </row>
    <row r="184" spans="1:39">
      <c r="B184" s="149"/>
      <c r="C184" s="149"/>
      <c r="D184" s="149"/>
      <c r="E184" s="511" t="s">
        <v>6967</v>
      </c>
      <c r="F184" s="711">
        <f>S198</f>
        <v>0</v>
      </c>
      <c r="G184" s="711">
        <f>T198</f>
        <v>0</v>
      </c>
      <c r="H184" s="711">
        <f>U198</f>
        <v>0</v>
      </c>
      <c r="I184" s="711">
        <f>V198</f>
        <v>0</v>
      </c>
      <c r="J184" s="711">
        <f>W198</f>
        <v>0</v>
      </c>
      <c r="K184" s="712">
        <f t="shared" si="82"/>
        <v>0</v>
      </c>
      <c r="L184" s="149"/>
      <c r="M184" s="149"/>
      <c r="N184" s="149"/>
      <c r="O184" s="149"/>
      <c r="P184" s="149"/>
      <c r="Q184" s="61"/>
      <c r="R184" s="68" t="str">
        <f>$Q$139</f>
        <v/>
      </c>
      <c r="S184" s="725">
        <f t="shared" si="83"/>
        <v>0</v>
      </c>
      <c r="T184" s="725">
        <f t="shared" si="83"/>
        <v>0</v>
      </c>
      <c r="U184" s="725">
        <f t="shared" si="83"/>
        <v>0</v>
      </c>
      <c r="V184" s="725">
        <f t="shared" si="83"/>
        <v>0</v>
      </c>
      <c r="W184" s="725">
        <f t="shared" si="83"/>
        <v>0</v>
      </c>
      <c r="X184" s="725">
        <f t="shared" si="83"/>
        <v>0</v>
      </c>
      <c r="Y184" s="231"/>
      <c r="Z184" s="149"/>
      <c r="AA184" s="149"/>
      <c r="AB184" s="149"/>
      <c r="AC184" s="149"/>
      <c r="AD184" s="149"/>
      <c r="AE184" s="231"/>
      <c r="AF184" s="231"/>
      <c r="AG184" s="261" t="s">
        <v>6996</v>
      </c>
      <c r="AH184" s="260" t="s">
        <v>187</v>
      </c>
      <c r="AI184" s="259" t="s">
        <v>2130</v>
      </c>
      <c r="AJ184" s="542" t="str">
        <f t="shared" si="80"/>
        <v>[Nm3][kg]</v>
      </c>
      <c r="AK184" s="230">
        <f>$F$194*製品単位換算2!$E$876*共通データ!$E$29/共通データ!$F$29</f>
        <v>45.511874999999996</v>
      </c>
    </row>
    <row r="185" spans="1:39">
      <c r="B185" s="149"/>
      <c r="C185" s="149"/>
      <c r="D185" s="149"/>
      <c r="E185" s="511" t="s">
        <v>7693</v>
      </c>
      <c r="F185" s="711">
        <f>S203</f>
        <v>0</v>
      </c>
      <c r="G185" s="711">
        <f>T203</f>
        <v>0</v>
      </c>
      <c r="H185" s="711">
        <f>U203</f>
        <v>0</v>
      </c>
      <c r="I185" s="711">
        <f>V203</f>
        <v>0</v>
      </c>
      <c r="J185" s="711">
        <f>W203</f>
        <v>0</v>
      </c>
      <c r="K185" s="712">
        <f t="shared" si="82"/>
        <v>0</v>
      </c>
      <c r="L185" s="149"/>
      <c r="M185" s="149"/>
      <c r="N185" s="149"/>
      <c r="O185" s="149"/>
      <c r="P185" s="149"/>
      <c r="Q185" s="191"/>
      <c r="R185" s="68" t="str">
        <f>$Q$143</f>
        <v/>
      </c>
      <c r="S185" s="725">
        <f t="shared" si="83"/>
        <v>0</v>
      </c>
      <c r="T185" s="725">
        <f t="shared" si="83"/>
        <v>0</v>
      </c>
      <c r="U185" s="725">
        <f t="shared" si="83"/>
        <v>0</v>
      </c>
      <c r="V185" s="725">
        <f t="shared" si="83"/>
        <v>0</v>
      </c>
      <c r="W185" s="725">
        <f t="shared" si="83"/>
        <v>0</v>
      </c>
      <c r="X185" s="725">
        <f t="shared" si="83"/>
        <v>0</v>
      </c>
      <c r="Y185" s="231"/>
      <c r="Z185" s="149"/>
      <c r="AA185" s="149"/>
      <c r="AB185" s="149"/>
      <c r="AC185" s="149"/>
      <c r="AD185" s="149"/>
      <c r="AE185" s="231"/>
      <c r="AF185" s="231"/>
      <c r="AG185" s="261" t="s">
        <v>6996</v>
      </c>
      <c r="AH185" s="260" t="s">
        <v>187</v>
      </c>
      <c r="AI185" s="261" t="s">
        <v>6998</v>
      </c>
      <c r="AJ185" s="542" t="str">
        <f t="shared" si="80"/>
        <v>[Nm3][MJ]</v>
      </c>
      <c r="AK185" s="230">
        <f>$F$194*製品単位換算2!$E$877*共通データ!$E$29/共通データ!$F$29</f>
        <v>6462.6862499999997</v>
      </c>
      <c r="AL185" s="153"/>
    </row>
    <row r="186" spans="1:39" ht="14.25" customHeight="1">
      <c r="B186" s="149"/>
      <c r="C186" s="149"/>
      <c r="D186" s="149"/>
      <c r="E186" s="511" t="s">
        <v>7694</v>
      </c>
      <c r="F186" s="711">
        <f>S208</f>
        <v>0</v>
      </c>
      <c r="G186" s="711">
        <f>T208</f>
        <v>0</v>
      </c>
      <c r="H186" s="711">
        <f>U208</f>
        <v>0</v>
      </c>
      <c r="I186" s="711">
        <f>V208</f>
        <v>0</v>
      </c>
      <c r="J186" s="711">
        <f>W208</f>
        <v>0</v>
      </c>
      <c r="K186" s="712">
        <f t="shared" si="82"/>
        <v>0</v>
      </c>
      <c r="L186" s="149"/>
      <c r="M186" s="149"/>
      <c r="N186" s="149"/>
      <c r="O186" s="149"/>
      <c r="P186" s="257"/>
      <c r="Q186" s="192"/>
      <c r="R186" s="68" t="str">
        <f>$Q$147</f>
        <v/>
      </c>
      <c r="S186" s="725">
        <f t="shared" si="83"/>
        <v>0</v>
      </c>
      <c r="T186" s="725">
        <f t="shared" si="83"/>
        <v>0</v>
      </c>
      <c r="U186" s="725">
        <f t="shared" si="83"/>
        <v>0</v>
      </c>
      <c r="V186" s="725">
        <f t="shared" si="83"/>
        <v>0</v>
      </c>
      <c r="W186" s="725">
        <f t="shared" si="83"/>
        <v>0</v>
      </c>
      <c r="X186" s="725">
        <f t="shared" si="83"/>
        <v>0</v>
      </c>
      <c r="Y186" s="231"/>
      <c r="Z186" s="149"/>
      <c r="AA186" s="149"/>
      <c r="AB186" s="149"/>
      <c r="AC186" s="149"/>
      <c r="AD186" s="149"/>
      <c r="AE186" s="231"/>
      <c r="AF186" s="231"/>
      <c r="AG186" s="261" t="s">
        <v>6996</v>
      </c>
      <c r="AH186" s="260" t="s">
        <v>187</v>
      </c>
      <c r="AI186" s="261" t="s">
        <v>6996</v>
      </c>
      <c r="AJ186" s="542" t="str">
        <f t="shared" si="80"/>
        <v>[Nm3][Nm3]</v>
      </c>
      <c r="AK186" s="230">
        <f>$F$194</f>
        <v>600</v>
      </c>
      <c r="AL186" s="153"/>
    </row>
    <row r="187" spans="1:39" ht="14.25" customHeight="1">
      <c r="B187" s="149"/>
      <c r="C187" s="149"/>
      <c r="D187" s="149"/>
      <c r="E187" s="511" t="s">
        <v>7695</v>
      </c>
      <c r="F187" s="711" t="str">
        <f>IF($Q$179="代替",SUM(S184:S186),"")</f>
        <v/>
      </c>
      <c r="G187" s="711" t="str">
        <f t="shared" ref="G187:J187" si="84">IF($Q$179="代替",SUM(T184:T186),"")</f>
        <v/>
      </c>
      <c r="H187" s="711" t="str">
        <f t="shared" si="84"/>
        <v/>
      </c>
      <c r="I187" s="711" t="str">
        <f t="shared" si="84"/>
        <v/>
      </c>
      <c r="J187" s="711" t="str">
        <f t="shared" si="84"/>
        <v/>
      </c>
      <c r="K187" s="712">
        <f t="shared" si="82"/>
        <v>0</v>
      </c>
      <c r="L187" s="149"/>
      <c r="M187" s="149"/>
      <c r="N187" s="149"/>
      <c r="O187" s="149"/>
      <c r="P187" s="149"/>
      <c r="Q187" s="247" t="s">
        <v>6991</v>
      </c>
      <c r="R187" s="150"/>
      <c r="S187" s="674"/>
      <c r="T187" s="674"/>
      <c r="U187" s="674"/>
      <c r="V187" s="674"/>
      <c r="W187" s="674"/>
      <c r="X187" s="674"/>
      <c r="Y187" s="231"/>
      <c r="Z187" s="244"/>
      <c r="AA187" s="150"/>
      <c r="AB187" s="245"/>
      <c r="AC187" s="245"/>
      <c r="AD187" s="245"/>
      <c r="AE187" s="231"/>
      <c r="AF187" s="231"/>
      <c r="AG187" s="261" t="s">
        <v>6997</v>
      </c>
      <c r="AH187" s="260" t="s">
        <v>187</v>
      </c>
      <c r="AI187" s="259" t="s">
        <v>2130</v>
      </c>
      <c r="AJ187" s="542" t="str">
        <f t="shared" si="80"/>
        <v>[1000Nm3][kg]</v>
      </c>
      <c r="AK187" s="230">
        <f>1000*AK184</f>
        <v>45511.874999999993</v>
      </c>
      <c r="AL187" s="153"/>
    </row>
    <row r="188" spans="1:39" ht="14.25" customHeight="1">
      <c r="B188" s="149"/>
      <c r="C188" s="149"/>
      <c r="D188" s="149"/>
      <c r="E188" s="511" t="s">
        <v>7537</v>
      </c>
      <c r="F188" s="711">
        <f>S213</f>
        <v>40.570432942705523</v>
      </c>
      <c r="G188" s="711">
        <f>T213</f>
        <v>0</v>
      </c>
      <c r="H188" s="711">
        <f>U213</f>
        <v>0</v>
      </c>
      <c r="I188" s="711">
        <f>V213</f>
        <v>0</v>
      </c>
      <c r="J188" s="711">
        <f>W213</f>
        <v>0</v>
      </c>
      <c r="K188" s="712">
        <f t="shared" si="82"/>
        <v>40.570432942705523</v>
      </c>
      <c r="L188" s="149"/>
      <c r="M188" s="149"/>
      <c r="N188" s="149"/>
      <c r="O188" s="149"/>
      <c r="P188" s="149"/>
      <c r="Q188" s="218"/>
      <c r="R188" s="76" t="s">
        <v>145</v>
      </c>
      <c r="S188" s="725">
        <f>IF($Q$179="代替", S$33, IFERROR(VLOOKUP($Q$179&amp;$R188,$AI$152:$AJ$167,2,FALSE)*S$33,""))</f>
        <v>0</v>
      </c>
      <c r="T188" s="725">
        <f>IF($Q$179="代替", T$33, IFERROR(VLOOKUP($Q$179&amp;$R188,$AI$152:$AJ$167,2,FALSE)*T$33,""))</f>
        <v>0</v>
      </c>
      <c r="U188" s="725">
        <f>IF($Q$179="代替", U$33, IFERROR(VLOOKUP($Q$179&amp;$R188,$AI$152:$AJ$167,2,FALSE)*U$33,""))</f>
        <v>0</v>
      </c>
      <c r="V188" s="725">
        <f>IF($Q$179="代替", V$33, IFERROR(VLOOKUP($Q$179&amp;$R188,$AI$152:$AJ$167,2,FALSE)*V$33,""))</f>
        <v>0</v>
      </c>
      <c r="W188" s="725">
        <f>IF($Q$179="代替", W$33, IFERROR(VLOOKUP($Q$179&amp;$R188,$AI$152:$AJ$167,2,FALSE)*W$33,""))</f>
        <v>0</v>
      </c>
      <c r="X188" s="725">
        <f>SUM(S188:W188)</f>
        <v>0</v>
      </c>
      <c r="Y188" s="231"/>
      <c r="Z188" s="231"/>
      <c r="AA188" s="231"/>
      <c r="AB188" s="231"/>
      <c r="AC188" s="231"/>
      <c r="AD188" s="231"/>
      <c r="AE188" s="153"/>
      <c r="AF188" s="153"/>
      <c r="AG188" s="261" t="s">
        <v>6997</v>
      </c>
      <c r="AH188" s="260" t="s">
        <v>187</v>
      </c>
      <c r="AI188" s="261" t="s">
        <v>6998</v>
      </c>
      <c r="AJ188" s="542" t="str">
        <f t="shared" si="80"/>
        <v>[1000Nm3][MJ]</v>
      </c>
      <c r="AK188" s="230">
        <f t="shared" ref="AK188:AK189" si="85">1000*AK185</f>
        <v>6462686.25</v>
      </c>
      <c r="AL188" s="153"/>
    </row>
    <row r="189" spans="1:39" ht="14.25" customHeight="1">
      <c r="B189" s="149"/>
      <c r="C189" s="149"/>
      <c r="D189" s="149"/>
      <c r="E189" s="511" t="s">
        <v>6973</v>
      </c>
      <c r="F189" s="711">
        <f>S218</f>
        <v>0</v>
      </c>
      <c r="G189" s="711">
        <f>T218</f>
        <v>0</v>
      </c>
      <c r="H189" s="711">
        <f>U218</f>
        <v>0</v>
      </c>
      <c r="I189" s="711">
        <f>V218</f>
        <v>0</v>
      </c>
      <c r="J189" s="711">
        <f>W218</f>
        <v>0</v>
      </c>
      <c r="K189" s="712">
        <f t="shared" si="82"/>
        <v>0</v>
      </c>
      <c r="L189" s="149"/>
      <c r="M189" s="149"/>
      <c r="N189" s="149"/>
      <c r="O189" s="149"/>
      <c r="P189" s="149"/>
      <c r="Q189" s="61"/>
      <c r="R189" s="68" t="str">
        <f>$Q$139</f>
        <v/>
      </c>
      <c r="S189" s="725">
        <f t="shared" ref="S189:W191" si="86">IF($Q$179="代替", "-", IFERROR(VLOOKUP($Q$179&amp;$R189,$AI$152:$AJ$167,2,FALSE)*S$33,""))</f>
        <v>0</v>
      </c>
      <c r="T189" s="725">
        <f t="shared" si="86"/>
        <v>0</v>
      </c>
      <c r="U189" s="725">
        <f t="shared" si="86"/>
        <v>0</v>
      </c>
      <c r="V189" s="725">
        <f t="shared" si="86"/>
        <v>0</v>
      </c>
      <c r="W189" s="725">
        <f t="shared" si="86"/>
        <v>0</v>
      </c>
      <c r="X189" s="725">
        <f>SUM(S189:W189)</f>
        <v>0</v>
      </c>
      <c r="Y189" s="231"/>
      <c r="Z189" s="231"/>
      <c r="AA189" s="231"/>
      <c r="AB189" s="231"/>
      <c r="AC189" s="231"/>
      <c r="AD189" s="231"/>
      <c r="AE189" s="153"/>
      <c r="AF189" s="153"/>
      <c r="AG189" s="261" t="s">
        <v>6997</v>
      </c>
      <c r="AH189" s="260" t="s">
        <v>187</v>
      </c>
      <c r="AI189" s="261" t="s">
        <v>6996</v>
      </c>
      <c r="AJ189" s="542" t="str">
        <f t="shared" si="80"/>
        <v>[1000Nm3][Nm3]</v>
      </c>
      <c r="AK189" s="230">
        <f t="shared" si="85"/>
        <v>600000</v>
      </c>
      <c r="AM189" s="59"/>
    </row>
    <row r="190" spans="1:39" ht="14.25" customHeight="1">
      <c r="B190" s="149"/>
      <c r="C190" s="149"/>
      <c r="D190" s="149"/>
      <c r="E190" s="511" t="s">
        <v>7696</v>
      </c>
      <c r="F190" s="711">
        <f>SUM(F182:F189)</f>
        <v>41.990432942705525</v>
      </c>
      <c r="G190" s="711">
        <f t="shared" ref="G190:J190" si="87">SUM(G182:G189)</f>
        <v>0</v>
      </c>
      <c r="H190" s="711">
        <f t="shared" si="87"/>
        <v>0</v>
      </c>
      <c r="I190" s="711">
        <f t="shared" si="87"/>
        <v>0</v>
      </c>
      <c r="J190" s="711">
        <f t="shared" si="87"/>
        <v>0</v>
      </c>
      <c r="K190" s="712">
        <f t="shared" ref="K190" si="88">SUM(F190:J190)</f>
        <v>41.990432942705525</v>
      </c>
      <c r="L190" s="149"/>
      <c r="M190" s="149"/>
      <c r="N190" s="149"/>
      <c r="O190" s="149"/>
      <c r="P190" s="149"/>
      <c r="Q190" s="191"/>
      <c r="R190" s="68" t="str">
        <f>$Q$143</f>
        <v/>
      </c>
      <c r="S190" s="725">
        <f t="shared" si="86"/>
        <v>0</v>
      </c>
      <c r="T190" s="725">
        <f t="shared" si="86"/>
        <v>0</v>
      </c>
      <c r="U190" s="725">
        <f t="shared" si="86"/>
        <v>0</v>
      </c>
      <c r="V190" s="725">
        <f t="shared" si="86"/>
        <v>0</v>
      </c>
      <c r="W190" s="725">
        <f t="shared" si="86"/>
        <v>0</v>
      </c>
      <c r="X190" s="725">
        <f>SUM(S190:W190)</f>
        <v>0</v>
      </c>
      <c r="Y190" s="231"/>
      <c r="Z190" s="231"/>
      <c r="AA190" s="231"/>
      <c r="AB190" s="231"/>
      <c r="AC190" s="231"/>
      <c r="AD190" s="231"/>
      <c r="AE190" s="153"/>
      <c r="AF190" s="153"/>
      <c r="AG190" s="153"/>
      <c r="AH190" s="153"/>
      <c r="AI190" s="153"/>
      <c r="AJ190" s="535"/>
      <c r="AK190" s="153"/>
      <c r="AM190" s="59"/>
    </row>
    <row r="191" spans="1:39">
      <c r="B191" s="149"/>
      <c r="C191" s="149"/>
      <c r="D191" s="149"/>
      <c r="E191" s="149"/>
      <c r="F191" s="149"/>
      <c r="G191" s="149"/>
      <c r="H191" s="149"/>
      <c r="I191" s="149"/>
      <c r="J191" s="149"/>
      <c r="K191" s="149"/>
      <c r="L191" s="149"/>
      <c r="M191" s="149"/>
      <c r="N191" s="149"/>
      <c r="O191" s="149"/>
      <c r="P191" s="257"/>
      <c r="Q191" s="192"/>
      <c r="R191" s="68" t="str">
        <f>$Q$147</f>
        <v/>
      </c>
      <c r="S191" s="725">
        <f t="shared" si="86"/>
        <v>0</v>
      </c>
      <c r="T191" s="725">
        <f t="shared" si="86"/>
        <v>0</v>
      </c>
      <c r="U191" s="725">
        <f t="shared" si="86"/>
        <v>0</v>
      </c>
      <c r="V191" s="725">
        <f t="shared" si="86"/>
        <v>0</v>
      </c>
      <c r="W191" s="725">
        <f t="shared" si="86"/>
        <v>0</v>
      </c>
      <c r="X191" s="725">
        <f>SUM(S191:W191)</f>
        <v>0</v>
      </c>
      <c r="Y191" s="231"/>
      <c r="Z191" s="231"/>
      <c r="AA191" s="231"/>
      <c r="AB191" s="231"/>
      <c r="AC191" s="231"/>
      <c r="AD191" s="231"/>
      <c r="AE191" s="153"/>
      <c r="AF191" s="153"/>
      <c r="AG191" s="153"/>
      <c r="AH191" s="153"/>
      <c r="AI191" s="153"/>
      <c r="AJ191" s="535"/>
      <c r="AK191" s="153"/>
      <c r="AM191" s="59"/>
    </row>
    <row r="192" spans="1:39">
      <c r="B192" s="149"/>
      <c r="C192" s="149"/>
      <c r="D192" s="149"/>
      <c r="E192" s="966" t="s">
        <v>7675</v>
      </c>
      <c r="F192" s="966"/>
      <c r="G192" s="966"/>
      <c r="H192" s="966"/>
      <c r="I192" s="966"/>
      <c r="J192" s="966"/>
      <c r="K192" s="966"/>
      <c r="L192" s="966"/>
      <c r="M192" s="149"/>
      <c r="N192" s="149"/>
      <c r="O192" s="149"/>
      <c r="P192" s="149"/>
      <c r="Q192" s="149" t="s">
        <v>6981</v>
      </c>
      <c r="R192" s="220"/>
      <c r="S192" s="675"/>
      <c r="T192" s="675"/>
      <c r="U192" s="675"/>
      <c r="V192" s="675"/>
      <c r="W192" s="675"/>
      <c r="X192" s="676"/>
      <c r="Y192" s="153"/>
      <c r="Z192" s="153"/>
      <c r="AA192" s="153"/>
      <c r="AB192" s="153"/>
      <c r="AC192" s="153"/>
      <c r="AD192" s="153"/>
      <c r="AE192" s="153"/>
      <c r="AF192" s="153"/>
      <c r="AG192" s="153"/>
      <c r="AH192" s="153"/>
      <c r="AI192" s="153"/>
      <c r="AJ192" s="535"/>
      <c r="AK192" s="153"/>
      <c r="AM192" s="59"/>
    </row>
    <row r="193" spans="2:39" ht="13.8" thickBot="1">
      <c r="B193" s="149"/>
      <c r="C193" s="149"/>
      <c r="D193" s="149"/>
      <c r="E193" s="496"/>
      <c r="F193" s="496"/>
      <c r="G193" s="496"/>
      <c r="H193" s="496"/>
      <c r="I193" s="496"/>
      <c r="J193" s="496"/>
      <c r="K193" s="497"/>
      <c r="L193" s="333"/>
      <c r="M193" s="149"/>
      <c r="N193" s="220"/>
      <c r="O193" s="220"/>
      <c r="P193" s="220"/>
      <c r="Q193" s="218"/>
      <c r="R193" s="76" t="s">
        <v>145</v>
      </c>
      <c r="S193" s="725">
        <f>IF($Q$179="代替", S$53+S$60, IFERROR(VLOOKUP($Q$179&amp;$R193,$AI$152:$AJ$167,2,FALSE)*(S$53+S$60),""))</f>
        <v>1.42</v>
      </c>
      <c r="T193" s="725">
        <f>IF($Q$179="代替", T$53+T$60, IFERROR(VLOOKUP($Q$179&amp;$R193,$AI$152:$AJ$167,2,FALSE)*(T$53+T$60),""))</f>
        <v>0</v>
      </c>
      <c r="U193" s="725">
        <f>IF($Q$179="代替", U$53+U$60, IFERROR(VLOOKUP($Q$179&amp;$R193,$AI$152:$AJ$167,2,FALSE)*(U$53+U$60),""))</f>
        <v>0</v>
      </c>
      <c r="V193" s="725">
        <f>IF($Q$179="代替", V$53+V$60, IFERROR(VLOOKUP($Q$179&amp;$R193,$AI$152:$AJ$167,2,FALSE)*(V$53+V$60),""))</f>
        <v>0</v>
      </c>
      <c r="W193" s="725">
        <f>IF($Q$179="代替", W$53+W$60, IFERROR(VLOOKUP($Q$179&amp;$R193,$AI$152:$AJ$167,2,FALSE)*(W$53+W$60),""))</f>
        <v>0</v>
      </c>
      <c r="X193" s="725">
        <f>SUM(S193:W193)</f>
        <v>1.42</v>
      </c>
      <c r="Y193" s="153"/>
      <c r="Z193" s="153"/>
      <c r="AA193" s="153"/>
      <c r="AB193" s="153"/>
      <c r="AC193" s="153"/>
      <c r="AD193" s="153"/>
      <c r="AE193" s="153"/>
      <c r="AF193" s="153"/>
      <c r="AG193" s="153"/>
      <c r="AH193" s="153"/>
      <c r="AI193" s="153"/>
      <c r="AJ193" s="535"/>
      <c r="AK193" s="153"/>
      <c r="AM193" s="59"/>
    </row>
    <row r="194" spans="2:39" ht="13.8" thickBot="1">
      <c r="B194" s="149"/>
      <c r="C194" s="149"/>
      <c r="D194" s="149"/>
      <c r="E194" s="498" t="s">
        <v>7551</v>
      </c>
      <c r="F194" s="727">
        <f>IFERROR(D6,"")</f>
        <v>600</v>
      </c>
      <c r="G194" s="1065" t="str">
        <f>'製造(P)'!C6</f>
        <v>[Nm3]</v>
      </c>
      <c r="H194" s="1066"/>
      <c r="I194" s="499" t="s">
        <v>7679</v>
      </c>
      <c r="J194" s="1064">
        <f>VLOOKUP(G194&amp;L194,AJ178:AK189,2,FALSE)</f>
        <v>600</v>
      </c>
      <c r="K194" s="1064"/>
      <c r="L194" s="500" t="str">
        <f>'製造(P)'!L194</f>
        <v>[Nm3]</v>
      </c>
      <c r="M194" s="149"/>
      <c r="N194" s="220"/>
      <c r="O194" s="220"/>
      <c r="P194" s="220"/>
      <c r="Q194" s="61"/>
      <c r="R194" s="68" t="str">
        <f>$Q$139</f>
        <v/>
      </c>
      <c r="S194" s="725">
        <f t="shared" ref="S194:W196" si="89">IF($Q$179="代替", "-", IFERROR(VLOOKUP($Q$179&amp;$R194,$AI$152:$AJ$167,2,FALSE)*(S$53+S$60),""))</f>
        <v>0</v>
      </c>
      <c r="T194" s="725">
        <f t="shared" si="89"/>
        <v>0</v>
      </c>
      <c r="U194" s="725">
        <f t="shared" si="89"/>
        <v>0</v>
      </c>
      <c r="V194" s="725">
        <f t="shared" si="89"/>
        <v>0</v>
      </c>
      <c r="W194" s="725">
        <f t="shared" si="89"/>
        <v>0</v>
      </c>
      <c r="X194" s="725">
        <f>SUM(S194:W194)</f>
        <v>0</v>
      </c>
      <c r="Y194" s="153"/>
      <c r="Z194" s="153"/>
      <c r="AA194" s="153"/>
      <c r="AB194" s="153"/>
      <c r="AC194" s="153"/>
      <c r="AD194" s="153"/>
      <c r="AE194" s="153"/>
      <c r="AF194" s="153"/>
      <c r="AG194" s="153"/>
      <c r="AH194" s="153"/>
      <c r="AI194" s="153"/>
      <c r="AJ194" s="535"/>
      <c r="AK194" s="153"/>
      <c r="AM194" s="59"/>
    </row>
    <row r="195" spans="2:39">
      <c r="B195" s="149"/>
      <c r="C195" s="149"/>
      <c r="D195" s="149"/>
      <c r="E195" s="496"/>
      <c r="F195" s="496"/>
      <c r="G195" s="496"/>
      <c r="H195" s="496"/>
      <c r="I195" s="496"/>
      <c r="J195" s="501"/>
      <c r="K195" s="497"/>
      <c r="L195" s="502" t="str">
        <f>"[単位：kgCO2/"&amp;MID(L194,2,(LENB(L194)-2))&amp;"H2]"</f>
        <v>[単位：kgCO2/Nm3H2]</v>
      </c>
      <c r="M195" s="149"/>
      <c r="N195" s="149"/>
      <c r="O195" s="149"/>
      <c r="P195" s="220"/>
      <c r="Q195" s="191"/>
      <c r="R195" s="68" t="str">
        <f>$Q$143</f>
        <v/>
      </c>
      <c r="S195" s="725">
        <f t="shared" si="89"/>
        <v>0</v>
      </c>
      <c r="T195" s="725">
        <f t="shared" si="89"/>
        <v>0</v>
      </c>
      <c r="U195" s="725">
        <f t="shared" si="89"/>
        <v>0</v>
      </c>
      <c r="V195" s="725">
        <f t="shared" si="89"/>
        <v>0</v>
      </c>
      <c r="W195" s="725">
        <f t="shared" si="89"/>
        <v>0</v>
      </c>
      <c r="X195" s="725">
        <f>SUM(S195:W195)</f>
        <v>0</v>
      </c>
      <c r="Y195" s="153"/>
      <c r="Z195" s="153"/>
      <c r="AA195" s="153"/>
      <c r="AB195" s="153"/>
      <c r="AC195" s="153"/>
      <c r="AD195" s="153"/>
      <c r="AE195" s="153"/>
      <c r="AF195" s="153"/>
      <c r="AG195" s="153"/>
      <c r="AH195" s="153"/>
      <c r="AI195" s="153"/>
      <c r="AJ195" s="535"/>
      <c r="AK195" s="153"/>
      <c r="AM195" s="59"/>
    </row>
    <row r="196" spans="2:39">
      <c r="B196" s="149"/>
      <c r="C196" s="149"/>
      <c r="D196" s="149"/>
      <c r="E196" s="466" t="s">
        <v>146</v>
      </c>
      <c r="F196" s="232" t="s">
        <v>7704</v>
      </c>
      <c r="G196" s="232" t="s">
        <v>7705</v>
      </c>
      <c r="H196" s="232" t="s">
        <v>7706</v>
      </c>
      <c r="I196" s="232" t="s">
        <v>7707</v>
      </c>
      <c r="J196" s="232" t="s">
        <v>7708</v>
      </c>
      <c r="K196" s="232" t="s">
        <v>7004</v>
      </c>
      <c r="L196" s="512" t="s">
        <v>7664</v>
      </c>
      <c r="M196" s="149"/>
      <c r="N196" s="149"/>
      <c r="O196" s="149"/>
      <c r="P196" s="257"/>
      <c r="Q196" s="192"/>
      <c r="R196" s="68" t="str">
        <f>$Q$147</f>
        <v/>
      </c>
      <c r="S196" s="725">
        <f t="shared" si="89"/>
        <v>0</v>
      </c>
      <c r="T196" s="725">
        <f t="shared" si="89"/>
        <v>0</v>
      </c>
      <c r="U196" s="725">
        <f t="shared" si="89"/>
        <v>0</v>
      </c>
      <c r="V196" s="725">
        <f t="shared" si="89"/>
        <v>0</v>
      </c>
      <c r="W196" s="725">
        <f t="shared" si="89"/>
        <v>0</v>
      </c>
      <c r="X196" s="725">
        <f>SUM(S196:W196)</f>
        <v>0</v>
      </c>
      <c r="Y196" s="153"/>
      <c r="Z196" s="153"/>
      <c r="AA196" s="153"/>
      <c r="AB196" s="153"/>
      <c r="AC196" s="153"/>
      <c r="AD196" s="153"/>
      <c r="AE196" s="153"/>
      <c r="AF196" s="153"/>
      <c r="AG196" s="153"/>
      <c r="AH196" s="153"/>
      <c r="AI196" s="153"/>
      <c r="AJ196" s="535"/>
      <c r="AK196" s="153"/>
      <c r="AM196" s="59"/>
    </row>
    <row r="197" spans="2:39">
      <c r="B197" s="149"/>
      <c r="C197" s="149"/>
      <c r="D197" s="149"/>
      <c r="E197" s="511" t="s">
        <v>6965</v>
      </c>
      <c r="F197" s="711">
        <f>IFERROR(F182/$J$194, "")</f>
        <v>0</v>
      </c>
      <c r="G197" s="711">
        <f t="shared" ref="G197:J197" si="90">IFERROR(G182/$J$194, "")</f>
        <v>0</v>
      </c>
      <c r="H197" s="711">
        <f t="shared" si="90"/>
        <v>0</v>
      </c>
      <c r="I197" s="711">
        <f t="shared" si="90"/>
        <v>0</v>
      </c>
      <c r="J197" s="711">
        <f t="shared" si="90"/>
        <v>0</v>
      </c>
      <c r="K197" s="712">
        <f>SUM(F197:J197)</f>
        <v>0</v>
      </c>
      <c r="L197" s="507">
        <f t="shared" ref="L197:L205" si="91">IF($K$205=0, 0, K197/$K$205)</f>
        <v>0</v>
      </c>
      <c r="M197" s="149"/>
      <c r="N197" s="149"/>
      <c r="O197" s="149"/>
      <c r="P197" s="149"/>
      <c r="Q197" s="149" t="s">
        <v>6983</v>
      </c>
      <c r="R197" s="149"/>
      <c r="S197" s="677"/>
      <c r="T197" s="677"/>
      <c r="U197" s="677"/>
      <c r="V197" s="677"/>
      <c r="W197" s="677"/>
      <c r="X197" s="676"/>
      <c r="Y197" s="153"/>
      <c r="Z197" s="153"/>
      <c r="AA197" s="153"/>
      <c r="AB197" s="153"/>
      <c r="AC197" s="153"/>
      <c r="AD197" s="153"/>
      <c r="AE197" s="153"/>
      <c r="AF197" s="153"/>
      <c r="AG197" s="153"/>
      <c r="AH197" s="153"/>
      <c r="AI197" s="153"/>
      <c r="AJ197" s="535"/>
      <c r="AK197" s="153"/>
      <c r="AL197" s="153"/>
    </row>
    <row r="198" spans="2:39">
      <c r="B198" s="149"/>
      <c r="C198" s="149"/>
      <c r="D198" s="149"/>
      <c r="E198" s="511" t="s">
        <v>7697</v>
      </c>
      <c r="F198" s="711">
        <f t="shared" ref="F198:J198" si="92">IFERROR(F183/$J$194, "")</f>
        <v>2.3666666666666667E-3</v>
      </c>
      <c r="G198" s="711">
        <f t="shared" si="92"/>
        <v>0</v>
      </c>
      <c r="H198" s="711">
        <f t="shared" si="92"/>
        <v>0</v>
      </c>
      <c r="I198" s="711">
        <f t="shared" si="92"/>
        <v>0</v>
      </c>
      <c r="J198" s="711">
        <f t="shared" si="92"/>
        <v>0</v>
      </c>
      <c r="K198" s="712">
        <f t="shared" ref="K198:K205" si="93">SUM(F198:J198)</f>
        <v>2.3666666666666667E-3</v>
      </c>
      <c r="L198" s="507">
        <f t="shared" si="91"/>
        <v>3.3817226936848695E-2</v>
      </c>
      <c r="M198" s="149"/>
      <c r="N198" s="149"/>
      <c r="O198" s="149"/>
      <c r="P198" s="222"/>
      <c r="Q198" s="218"/>
      <c r="R198" s="76" t="s">
        <v>145</v>
      </c>
      <c r="S198" s="725">
        <f>IF($Q$179="代替", S$71, IFERROR(VLOOKUP($Q$179&amp;$R198,$AI$152:$AJ$167,2,FALSE)*S$71,""))</f>
        <v>0</v>
      </c>
      <c r="T198" s="725">
        <f>IF($Q$179="代替", T$71, IFERROR(VLOOKUP($Q$179&amp;$R198,$AI$152:$AJ$167,2,FALSE)*T$71,""))</f>
        <v>0</v>
      </c>
      <c r="U198" s="725">
        <f>IF($Q$179="代替", U$71, IFERROR(VLOOKUP($Q$179&amp;$R198,$AI$152:$AJ$167,2,FALSE)*U$71,""))</f>
        <v>0</v>
      </c>
      <c r="V198" s="725">
        <f>IF($Q$179="代替", V$71, IFERROR(VLOOKUP($Q$179&amp;$R198,$AI$152:$AJ$167,2,FALSE)*V$71,""))</f>
        <v>0</v>
      </c>
      <c r="W198" s="725">
        <f>IF($Q$179="代替", W$71, IFERROR(VLOOKUP($Q$179&amp;$R198,$AI$152:$AJ$167,2,FALSE)*W$71,""))</f>
        <v>0</v>
      </c>
      <c r="X198" s="725">
        <f>SUM(S198:W198)</f>
        <v>0</v>
      </c>
      <c r="Y198" s="153"/>
      <c r="Z198" s="153"/>
      <c r="AA198" s="153"/>
      <c r="AB198" s="153"/>
      <c r="AC198" s="153"/>
      <c r="AD198" s="153"/>
      <c r="AE198" s="153"/>
      <c r="AF198" s="153"/>
      <c r="AG198" s="153"/>
      <c r="AH198" s="153"/>
      <c r="AI198" s="153"/>
      <c r="AJ198" s="535"/>
      <c r="AK198" s="153"/>
      <c r="AL198" s="153"/>
    </row>
    <row r="199" spans="2:39">
      <c r="B199" s="149"/>
      <c r="C199" s="149"/>
      <c r="D199" s="149"/>
      <c r="E199" s="511" t="s">
        <v>6967</v>
      </c>
      <c r="F199" s="711">
        <f t="shared" ref="F199:J199" si="94">IFERROR(F184/$J$194, "")</f>
        <v>0</v>
      </c>
      <c r="G199" s="711">
        <f t="shared" si="94"/>
        <v>0</v>
      </c>
      <c r="H199" s="711">
        <f t="shared" si="94"/>
        <v>0</v>
      </c>
      <c r="I199" s="711">
        <f t="shared" si="94"/>
        <v>0</v>
      </c>
      <c r="J199" s="711">
        <f t="shared" si="94"/>
        <v>0</v>
      </c>
      <c r="K199" s="712">
        <f t="shared" si="93"/>
        <v>0</v>
      </c>
      <c r="L199" s="507">
        <f t="shared" si="91"/>
        <v>0</v>
      </c>
      <c r="M199" s="149"/>
      <c r="N199" s="149"/>
      <c r="O199" s="149"/>
      <c r="P199" s="222"/>
      <c r="Q199" s="61"/>
      <c r="R199" s="68" t="str">
        <f>$Q$139</f>
        <v/>
      </c>
      <c r="S199" s="725">
        <f t="shared" ref="S199:W201" si="95">IF($Q$179="代替", "-", IFERROR(VLOOKUP($Q$179&amp;$R199,$AI$152:$AJ$167,2,FALSE)*S$71,""))</f>
        <v>0</v>
      </c>
      <c r="T199" s="725">
        <f t="shared" si="95"/>
        <v>0</v>
      </c>
      <c r="U199" s="725">
        <f t="shared" si="95"/>
        <v>0</v>
      </c>
      <c r="V199" s="725">
        <f t="shared" si="95"/>
        <v>0</v>
      </c>
      <c r="W199" s="725">
        <f t="shared" si="95"/>
        <v>0</v>
      </c>
      <c r="X199" s="725">
        <f>SUM(S199:W199)</f>
        <v>0</v>
      </c>
      <c r="Y199" s="153"/>
      <c r="Z199" s="153"/>
      <c r="AA199" s="153"/>
      <c r="AB199" s="153"/>
      <c r="AC199" s="153"/>
      <c r="AD199" s="153"/>
      <c r="AE199" s="231"/>
      <c r="AF199" s="231"/>
      <c r="AG199" s="153"/>
      <c r="AH199" s="153"/>
      <c r="AI199" s="153"/>
      <c r="AJ199" s="535"/>
      <c r="AK199" s="153"/>
      <c r="AL199" s="153"/>
    </row>
    <row r="200" spans="2:39">
      <c r="B200" s="149"/>
      <c r="C200" s="149"/>
      <c r="D200" s="149"/>
      <c r="E200" s="511" t="s">
        <v>7693</v>
      </c>
      <c r="F200" s="711">
        <f t="shared" ref="F200:J200" si="96">IFERROR(F185/$J$194, "")</f>
        <v>0</v>
      </c>
      <c r="G200" s="711">
        <f t="shared" si="96"/>
        <v>0</v>
      </c>
      <c r="H200" s="711">
        <f t="shared" si="96"/>
        <v>0</v>
      </c>
      <c r="I200" s="711">
        <f t="shared" si="96"/>
        <v>0</v>
      </c>
      <c r="J200" s="711">
        <f t="shared" si="96"/>
        <v>0</v>
      </c>
      <c r="K200" s="712">
        <f t="shared" si="93"/>
        <v>0</v>
      </c>
      <c r="L200" s="507">
        <f t="shared" si="91"/>
        <v>0</v>
      </c>
      <c r="M200" s="149"/>
      <c r="N200" s="149"/>
      <c r="O200" s="149"/>
      <c r="P200" s="222"/>
      <c r="Q200" s="191"/>
      <c r="R200" s="68" t="str">
        <f>$Q$143</f>
        <v/>
      </c>
      <c r="S200" s="725">
        <f t="shared" si="95"/>
        <v>0</v>
      </c>
      <c r="T200" s="725">
        <f t="shared" si="95"/>
        <v>0</v>
      </c>
      <c r="U200" s="725">
        <f t="shared" si="95"/>
        <v>0</v>
      </c>
      <c r="V200" s="725">
        <f t="shared" si="95"/>
        <v>0</v>
      </c>
      <c r="W200" s="725">
        <f t="shared" si="95"/>
        <v>0</v>
      </c>
      <c r="X200" s="725">
        <f>SUM(S200:W200)</f>
        <v>0</v>
      </c>
      <c r="Y200" s="153"/>
      <c r="Z200" s="153"/>
      <c r="AA200" s="153"/>
      <c r="AB200" s="153"/>
      <c r="AC200" s="153"/>
      <c r="AD200" s="153"/>
      <c r="AE200" s="231"/>
      <c r="AF200" s="231"/>
      <c r="AG200" s="153"/>
      <c r="AH200" s="153"/>
      <c r="AI200" s="153"/>
      <c r="AJ200" s="535"/>
      <c r="AK200" s="153"/>
      <c r="AL200" s="153"/>
    </row>
    <row r="201" spans="2:39">
      <c r="B201" s="149"/>
      <c r="C201" s="149"/>
      <c r="D201" s="149"/>
      <c r="E201" s="511" t="s">
        <v>7694</v>
      </c>
      <c r="F201" s="711">
        <f t="shared" ref="F201:J203" si="97">IFERROR(F186/$J$194, "")</f>
        <v>0</v>
      </c>
      <c r="G201" s="711">
        <f t="shared" si="97"/>
        <v>0</v>
      </c>
      <c r="H201" s="711">
        <f t="shared" si="97"/>
        <v>0</v>
      </c>
      <c r="I201" s="711">
        <f t="shared" si="97"/>
        <v>0</v>
      </c>
      <c r="J201" s="711">
        <f t="shared" si="97"/>
        <v>0</v>
      </c>
      <c r="K201" s="712">
        <f t="shared" si="93"/>
        <v>0</v>
      </c>
      <c r="L201" s="507">
        <f t="shared" si="91"/>
        <v>0</v>
      </c>
      <c r="M201" s="149"/>
      <c r="N201" s="149"/>
      <c r="O201" s="149"/>
      <c r="P201" s="222"/>
      <c r="Q201" s="192"/>
      <c r="R201" s="68" t="str">
        <f>$Q$147</f>
        <v/>
      </c>
      <c r="S201" s="725">
        <f t="shared" si="95"/>
        <v>0</v>
      </c>
      <c r="T201" s="725">
        <f t="shared" si="95"/>
        <v>0</v>
      </c>
      <c r="U201" s="725">
        <f t="shared" si="95"/>
        <v>0</v>
      </c>
      <c r="V201" s="725">
        <f t="shared" si="95"/>
        <v>0</v>
      </c>
      <c r="W201" s="725">
        <f t="shared" si="95"/>
        <v>0</v>
      </c>
      <c r="X201" s="725">
        <f>SUM(S201:W201)</f>
        <v>0</v>
      </c>
      <c r="Y201" s="153"/>
      <c r="Z201" s="153"/>
      <c r="AA201" s="153"/>
      <c r="AB201" s="153"/>
      <c r="AC201" s="153"/>
      <c r="AD201" s="153"/>
      <c r="AE201" s="153"/>
      <c r="AF201" s="153"/>
      <c r="AG201" s="153"/>
      <c r="AH201" s="153"/>
      <c r="AI201" s="153"/>
      <c r="AJ201" s="535"/>
      <c r="AK201" s="153"/>
      <c r="AL201" s="153"/>
    </row>
    <row r="202" spans="2:39">
      <c r="B202" s="149"/>
      <c r="C202" s="149"/>
      <c r="D202" s="149"/>
      <c r="E202" s="511" t="s">
        <v>7698</v>
      </c>
      <c r="F202" s="711" t="str">
        <f>IF(ISNUMBER(F187),F187/$J$194,"")</f>
        <v/>
      </c>
      <c r="G202" s="711" t="str">
        <f t="shared" ref="G202:J202" si="98">IF(ISNUMBER(G187),G187/$J$194,"")</f>
        <v/>
      </c>
      <c r="H202" s="711" t="str">
        <f t="shared" si="98"/>
        <v/>
      </c>
      <c r="I202" s="711" t="str">
        <f t="shared" si="98"/>
        <v/>
      </c>
      <c r="J202" s="711" t="str">
        <f t="shared" si="98"/>
        <v/>
      </c>
      <c r="K202" s="712">
        <f t="shared" si="93"/>
        <v>0</v>
      </c>
      <c r="L202" s="507">
        <f t="shared" si="91"/>
        <v>0</v>
      </c>
      <c r="M202" s="149"/>
      <c r="N202" s="149"/>
      <c r="O202" s="149"/>
      <c r="P202" s="222"/>
      <c r="Q202" s="220" t="s">
        <v>6985</v>
      </c>
      <c r="R202" s="220"/>
      <c r="S202" s="675"/>
      <c r="T202" s="675"/>
      <c r="U202" s="675"/>
      <c r="V202" s="675"/>
      <c r="W202" s="675"/>
      <c r="X202" s="675"/>
      <c r="Y202" s="231"/>
      <c r="Z202" s="153"/>
      <c r="AA202" s="153"/>
      <c r="AB202" s="153"/>
      <c r="AC202" s="153"/>
      <c r="AD202" s="153"/>
      <c r="AE202" s="153"/>
      <c r="AF202" s="153"/>
      <c r="AG202" s="153"/>
      <c r="AH202" s="153"/>
      <c r="AI202" s="153"/>
      <c r="AJ202" s="535"/>
      <c r="AK202" s="153"/>
      <c r="AM202" s="59"/>
    </row>
    <row r="203" spans="2:39">
      <c r="B203" s="149"/>
      <c r="C203" s="149"/>
      <c r="D203" s="149"/>
      <c r="E203" s="511" t="s">
        <v>7537</v>
      </c>
      <c r="F203" s="711">
        <f t="shared" si="97"/>
        <v>6.7617388237842538E-2</v>
      </c>
      <c r="G203" s="711">
        <f t="shared" si="97"/>
        <v>0</v>
      </c>
      <c r="H203" s="711">
        <f t="shared" si="97"/>
        <v>0</v>
      </c>
      <c r="I203" s="711">
        <f t="shared" si="97"/>
        <v>0</v>
      </c>
      <c r="J203" s="711">
        <f t="shared" si="97"/>
        <v>0</v>
      </c>
      <c r="K203" s="712">
        <f t="shared" si="93"/>
        <v>6.7617388237842538E-2</v>
      </c>
      <c r="L203" s="507">
        <f t="shared" si="91"/>
        <v>0.96618277306315126</v>
      </c>
      <c r="M203" s="149"/>
      <c r="N203" s="149"/>
      <c r="O203" s="149"/>
      <c r="P203" s="222"/>
      <c r="Q203" s="218"/>
      <c r="R203" s="76" t="s">
        <v>145</v>
      </c>
      <c r="S203" s="725">
        <f>IF($Q$179="代替", S$98, IFERROR(VLOOKUP($Q$179&amp;$R203,$AI$152:$AJ$167,2,FALSE)*S$98,""))</f>
        <v>0</v>
      </c>
      <c r="T203" s="725">
        <f>IF($Q$179="代替", T$98, IFERROR(VLOOKUP($Q$179&amp;$R203,$AI$152:$AJ$167,2,FALSE)*T$98,""))</f>
        <v>0</v>
      </c>
      <c r="U203" s="725">
        <f>IF($Q$179="代替", U$98, IFERROR(VLOOKUP($Q$179&amp;$R203,$AI$152:$AJ$167,2,FALSE)*U$98,""))</f>
        <v>0</v>
      </c>
      <c r="V203" s="725">
        <f>IF($Q$179="代替", V$98, IFERROR(VLOOKUP($Q$179&amp;$R203,$AI$152:$AJ$167,2,FALSE)*V$98,""))</f>
        <v>0</v>
      </c>
      <c r="W203" s="725">
        <f>IF($Q$179="代替", W$98, IFERROR(VLOOKUP($Q$179&amp;$R203,$AI$152:$AJ$167,2,FALSE)*W$98,""))</f>
        <v>0</v>
      </c>
      <c r="X203" s="725">
        <f>SUM(S203:W203)</f>
        <v>0</v>
      </c>
      <c r="Y203" s="231"/>
      <c r="Z203" s="231"/>
      <c r="AA203" s="231"/>
      <c r="AB203" s="231"/>
      <c r="AC203" s="231"/>
      <c r="AD203" s="231"/>
      <c r="AE203" s="153"/>
      <c r="AF203" s="153"/>
      <c r="AG203" s="153"/>
      <c r="AH203" s="153"/>
      <c r="AI203" s="153"/>
      <c r="AJ203" s="535"/>
      <c r="AK203" s="153"/>
      <c r="AM203" s="59"/>
    </row>
    <row r="204" spans="2:39">
      <c r="B204" s="149"/>
      <c r="C204" s="149"/>
      <c r="D204" s="149"/>
      <c r="E204" s="511" t="s">
        <v>6973</v>
      </c>
      <c r="F204" s="711">
        <f t="shared" ref="F204:J204" si="99">IFERROR(F189/$J$194, "")</f>
        <v>0</v>
      </c>
      <c r="G204" s="711">
        <f t="shared" si="99"/>
        <v>0</v>
      </c>
      <c r="H204" s="711">
        <f t="shared" si="99"/>
        <v>0</v>
      </c>
      <c r="I204" s="711">
        <f t="shared" si="99"/>
        <v>0</v>
      </c>
      <c r="J204" s="711">
        <f t="shared" si="99"/>
        <v>0</v>
      </c>
      <c r="K204" s="712">
        <f t="shared" si="93"/>
        <v>0</v>
      </c>
      <c r="L204" s="507">
        <f t="shared" si="91"/>
        <v>0</v>
      </c>
      <c r="M204" s="149"/>
      <c r="N204" s="149"/>
      <c r="O204" s="149"/>
      <c r="P204" s="222"/>
      <c r="Q204" s="61"/>
      <c r="R204" s="68" t="str">
        <f>$Q$139</f>
        <v/>
      </c>
      <c r="S204" s="725">
        <f t="shared" ref="S204:W206" si="100">IF($Q$179="代替", "-", IFERROR(VLOOKUP($Q$179&amp;$R204,$AI$152:$AJ$167,2,FALSE)*S$98,""))</f>
        <v>0</v>
      </c>
      <c r="T204" s="725">
        <f t="shared" si="100"/>
        <v>0</v>
      </c>
      <c r="U204" s="725">
        <f t="shared" si="100"/>
        <v>0</v>
      </c>
      <c r="V204" s="725">
        <f t="shared" si="100"/>
        <v>0</v>
      </c>
      <c r="W204" s="725">
        <f t="shared" si="100"/>
        <v>0</v>
      </c>
      <c r="X204" s="725">
        <f>SUM(S204:W204)</f>
        <v>0</v>
      </c>
      <c r="Y204" s="231"/>
      <c r="Z204" s="231"/>
      <c r="AA204" s="231"/>
      <c r="AB204" s="231"/>
      <c r="AC204" s="231"/>
      <c r="AD204" s="231"/>
      <c r="AE204" s="153"/>
      <c r="AF204" s="153"/>
      <c r="AG204" s="153"/>
      <c r="AH204" s="153"/>
      <c r="AI204" s="153"/>
      <c r="AJ204" s="535"/>
      <c r="AK204" s="153"/>
      <c r="AM204" s="59"/>
    </row>
    <row r="205" spans="2:39">
      <c r="B205" s="149"/>
      <c r="C205" s="149"/>
      <c r="D205" s="149"/>
      <c r="E205" s="511" t="s">
        <v>7696</v>
      </c>
      <c r="F205" s="711">
        <f t="shared" ref="F205:J205" si="101">IFERROR(F190/$J$194, "")</f>
        <v>6.9984054904509208E-2</v>
      </c>
      <c r="G205" s="711">
        <f t="shared" si="101"/>
        <v>0</v>
      </c>
      <c r="H205" s="711">
        <f t="shared" si="101"/>
        <v>0</v>
      </c>
      <c r="I205" s="711">
        <f t="shared" si="101"/>
        <v>0</v>
      </c>
      <c r="J205" s="711">
        <f t="shared" si="101"/>
        <v>0</v>
      </c>
      <c r="K205" s="712">
        <f t="shared" si="93"/>
        <v>6.9984054904509208E-2</v>
      </c>
      <c r="L205" s="507">
        <f t="shared" si="91"/>
        <v>1</v>
      </c>
      <c r="M205" s="149"/>
      <c r="N205" s="149"/>
      <c r="O205" s="149"/>
      <c r="P205" s="220"/>
      <c r="Q205" s="191"/>
      <c r="R205" s="68" t="str">
        <f>$Q$143</f>
        <v/>
      </c>
      <c r="S205" s="725">
        <f t="shared" si="100"/>
        <v>0</v>
      </c>
      <c r="T205" s="725">
        <f t="shared" si="100"/>
        <v>0</v>
      </c>
      <c r="U205" s="725">
        <f t="shared" si="100"/>
        <v>0</v>
      </c>
      <c r="V205" s="725">
        <f t="shared" si="100"/>
        <v>0</v>
      </c>
      <c r="W205" s="725">
        <f t="shared" si="100"/>
        <v>0</v>
      </c>
      <c r="X205" s="725">
        <f>SUM(S205:W205)</f>
        <v>0</v>
      </c>
      <c r="Y205" s="153"/>
      <c r="Z205" s="153"/>
      <c r="AA205" s="153"/>
      <c r="AB205" s="153"/>
      <c r="AC205" s="153"/>
      <c r="AD205" s="153"/>
      <c r="AE205" s="153"/>
      <c r="AF205" s="153"/>
      <c r="AG205" s="153"/>
      <c r="AH205" s="153"/>
      <c r="AI205" s="153"/>
      <c r="AJ205" s="535"/>
      <c r="AK205" s="153"/>
      <c r="AM205" s="59"/>
    </row>
    <row r="206" spans="2:39">
      <c r="B206" s="149"/>
      <c r="C206" s="149"/>
      <c r="D206" s="149"/>
      <c r="E206" s="511" t="s">
        <v>7664</v>
      </c>
      <c r="F206" s="508">
        <f t="shared" ref="F206:K206" si="102">IF($K$205=0,0,F205/$K$205)</f>
        <v>1</v>
      </c>
      <c r="G206" s="508">
        <f t="shared" si="102"/>
        <v>0</v>
      </c>
      <c r="H206" s="508">
        <f t="shared" si="102"/>
        <v>0</v>
      </c>
      <c r="I206" s="508">
        <f t="shared" si="102"/>
        <v>0</v>
      </c>
      <c r="J206" s="508">
        <f t="shared" si="102"/>
        <v>0</v>
      </c>
      <c r="K206" s="508">
        <f t="shared" si="102"/>
        <v>1</v>
      </c>
      <c r="L206" s="509"/>
      <c r="M206" s="149"/>
      <c r="N206" s="149"/>
      <c r="O206" s="149"/>
      <c r="P206" s="149"/>
      <c r="Q206" s="192"/>
      <c r="R206" s="68" t="str">
        <f>$Q$147</f>
        <v/>
      </c>
      <c r="S206" s="725">
        <f t="shared" si="100"/>
        <v>0</v>
      </c>
      <c r="T206" s="725">
        <f t="shared" si="100"/>
        <v>0</v>
      </c>
      <c r="U206" s="725">
        <f t="shared" si="100"/>
        <v>0</v>
      </c>
      <c r="V206" s="725">
        <f t="shared" si="100"/>
        <v>0</v>
      </c>
      <c r="W206" s="725">
        <f t="shared" si="100"/>
        <v>0</v>
      </c>
      <c r="X206" s="725">
        <f>SUM(S206:W206)</f>
        <v>0</v>
      </c>
      <c r="Y206" s="153"/>
      <c r="Z206" s="153"/>
      <c r="AA206" s="153"/>
      <c r="AB206" s="153"/>
      <c r="AC206" s="153"/>
      <c r="AD206" s="153"/>
      <c r="AE206" s="153"/>
      <c r="AF206" s="153"/>
      <c r="AG206" s="153"/>
      <c r="AH206" s="153"/>
      <c r="AI206" s="153"/>
      <c r="AJ206" s="535"/>
      <c r="AK206" s="153"/>
      <c r="AM206" s="59"/>
    </row>
    <row r="207" spans="2:39">
      <c r="B207" s="149"/>
      <c r="C207" s="149"/>
      <c r="D207" s="149"/>
      <c r="E207" s="220"/>
      <c r="F207" s="220"/>
      <c r="G207" s="220"/>
      <c r="H207" s="220"/>
      <c r="I207" s="220"/>
      <c r="J207" s="149"/>
      <c r="K207" s="149"/>
      <c r="L207" s="149"/>
      <c r="M207" s="149"/>
      <c r="N207" s="149"/>
      <c r="O207" s="149"/>
      <c r="P207" s="149"/>
      <c r="Q207" s="222" t="s">
        <v>6987</v>
      </c>
      <c r="R207" s="222"/>
      <c r="S207" s="675"/>
      <c r="T207" s="675"/>
      <c r="U207" s="675"/>
      <c r="V207" s="677"/>
      <c r="W207" s="677"/>
      <c r="X207" s="676"/>
      <c r="Y207" s="153"/>
      <c r="Z207" s="153"/>
      <c r="AA207" s="153"/>
      <c r="AB207" s="153"/>
      <c r="AC207" s="153"/>
      <c r="AD207" s="153"/>
      <c r="AE207" s="153"/>
      <c r="AF207" s="153"/>
      <c r="AG207" s="153"/>
      <c r="AH207" s="153"/>
      <c r="AI207" s="153"/>
      <c r="AJ207" s="535"/>
      <c r="AK207" s="153"/>
      <c r="AM207" s="59"/>
    </row>
    <row r="208" spans="2:39">
      <c r="B208" s="149"/>
      <c r="C208" s="149"/>
      <c r="D208" s="149"/>
      <c r="E208" s="220"/>
      <c r="F208" s="220"/>
      <c r="G208" s="220"/>
      <c r="H208" s="220"/>
      <c r="I208" s="220"/>
      <c r="J208" s="149"/>
      <c r="K208" s="149"/>
      <c r="L208" s="149"/>
      <c r="M208" s="149"/>
      <c r="N208" s="149"/>
      <c r="O208" s="149"/>
      <c r="P208" s="149"/>
      <c r="Q208" s="218"/>
      <c r="R208" s="76" t="s">
        <v>145</v>
      </c>
      <c r="S208" s="725">
        <f>IF($Q$179="代替", S$107, IFERROR(VLOOKUP($Q$179&amp;$R208,$AI$152:$AJ$167,2,FALSE)*S$107,""))</f>
        <v>0</v>
      </c>
      <c r="T208" s="725">
        <f>IF($Q$179="代替", T$107, IFERROR(VLOOKUP($Q$179&amp;$R208,$AI$152:$AJ$167,2,FALSE)*T$107,""))</f>
        <v>0</v>
      </c>
      <c r="U208" s="725">
        <f>IF($Q$179="代替", U$107, IFERROR(VLOOKUP($Q$179&amp;$R208,$AI$152:$AJ$167,2,FALSE)*U$107,""))</f>
        <v>0</v>
      </c>
      <c r="V208" s="725">
        <f>IF($Q$179="代替", V$107, IFERROR(VLOOKUP($Q$179&amp;$R208,$AI$152:$AJ$167,2,FALSE)*V$107,""))</f>
        <v>0</v>
      </c>
      <c r="W208" s="725">
        <f>IF($Q$179="代替", W$107, IFERROR(VLOOKUP($Q$179&amp;$R208,$AI$152:$AJ$167,2,FALSE)*W$107,""))</f>
        <v>0</v>
      </c>
      <c r="X208" s="725">
        <f>SUM(S208:W208)</f>
        <v>0</v>
      </c>
      <c r="Y208" s="153"/>
      <c r="Z208" s="153"/>
      <c r="AA208" s="153"/>
      <c r="AB208" s="153"/>
      <c r="AC208" s="153"/>
      <c r="AD208" s="153"/>
      <c r="AE208" s="153"/>
      <c r="AF208" s="153"/>
      <c r="AG208" s="153"/>
      <c r="AH208" s="153"/>
      <c r="AI208" s="153"/>
      <c r="AJ208" s="535"/>
      <c r="AK208" s="153"/>
      <c r="AM208" s="59"/>
    </row>
    <row r="209" spans="2:35">
      <c r="B209" s="149"/>
      <c r="C209" s="149"/>
      <c r="D209" s="149"/>
      <c r="E209" s="220"/>
      <c r="F209" s="220"/>
      <c r="G209" s="220"/>
      <c r="H209" s="220"/>
      <c r="I209" s="220"/>
      <c r="J209" s="149"/>
      <c r="K209" s="149"/>
      <c r="L209" s="149"/>
      <c r="M209" s="149"/>
      <c r="N209" s="149"/>
      <c r="O209" s="149"/>
      <c r="P209" s="149"/>
      <c r="Q209" s="61"/>
      <c r="R209" s="68" t="str">
        <f>$Q$139</f>
        <v/>
      </c>
      <c r="S209" s="725">
        <f t="shared" ref="S209:W211" si="103">IF($Q$179="代替", "-", IFERROR(VLOOKUP($Q$179&amp;$R209,$AI$152:$AJ$167,2,FALSE)*S$107,""))</f>
        <v>0</v>
      </c>
      <c r="T209" s="725">
        <f t="shared" si="103"/>
        <v>0</v>
      </c>
      <c r="U209" s="725">
        <f t="shared" si="103"/>
        <v>0</v>
      </c>
      <c r="V209" s="725">
        <f t="shared" si="103"/>
        <v>0</v>
      </c>
      <c r="W209" s="725">
        <f t="shared" si="103"/>
        <v>0</v>
      </c>
      <c r="X209" s="725">
        <f>SUM(S209:W209)</f>
        <v>0</v>
      </c>
      <c r="Y209" s="153"/>
      <c r="Z209" s="153"/>
      <c r="AA209" s="153"/>
      <c r="AB209" s="153"/>
      <c r="AC209" s="153"/>
      <c r="AD209" s="153"/>
      <c r="AE209" s="231"/>
      <c r="AF209" s="231"/>
      <c r="AG209" s="153"/>
      <c r="AH209" s="153"/>
    </row>
    <row r="210" spans="2:35">
      <c r="B210" s="149"/>
      <c r="C210" s="149"/>
      <c r="D210" s="149"/>
      <c r="E210" s="149"/>
      <c r="F210" s="220"/>
      <c r="G210" s="220"/>
      <c r="H210" s="220"/>
      <c r="I210" s="220"/>
      <c r="J210" s="220"/>
      <c r="K210" s="149"/>
      <c r="L210" s="149"/>
      <c r="M210" s="149"/>
      <c r="N210" s="149"/>
      <c r="O210" s="149"/>
      <c r="P210" s="149"/>
      <c r="Q210" s="191"/>
      <c r="R210" s="68" t="str">
        <f>$Q$143</f>
        <v/>
      </c>
      <c r="S210" s="725">
        <f t="shared" si="103"/>
        <v>0</v>
      </c>
      <c r="T210" s="725">
        <f t="shared" si="103"/>
        <v>0</v>
      </c>
      <c r="U210" s="725">
        <f t="shared" si="103"/>
        <v>0</v>
      </c>
      <c r="V210" s="725">
        <f t="shared" si="103"/>
        <v>0</v>
      </c>
      <c r="W210" s="725">
        <f t="shared" si="103"/>
        <v>0</v>
      </c>
      <c r="X210" s="725">
        <f>SUM(S210:W210)</f>
        <v>0</v>
      </c>
      <c r="Y210" s="153"/>
      <c r="Z210" s="153"/>
      <c r="AA210" s="153"/>
      <c r="AB210" s="153"/>
      <c r="AC210" s="153"/>
      <c r="AD210" s="153"/>
      <c r="AE210" s="231"/>
      <c r="AF210" s="231"/>
      <c r="AG210" s="153"/>
      <c r="AH210" s="153"/>
    </row>
    <row r="211" spans="2:35">
      <c r="B211" s="149"/>
      <c r="C211" s="149"/>
      <c r="D211" s="149"/>
      <c r="E211" s="149"/>
      <c r="F211" s="220"/>
      <c r="G211" s="220"/>
      <c r="H211" s="220"/>
      <c r="I211" s="220"/>
      <c r="J211" s="220"/>
      <c r="K211" s="149"/>
      <c r="L211" s="149"/>
      <c r="M211" s="149"/>
      <c r="N211" s="149"/>
      <c r="O211" s="149"/>
      <c r="P211" s="149"/>
      <c r="Q211" s="192"/>
      <c r="R211" s="68" t="str">
        <f>$Q$147</f>
        <v/>
      </c>
      <c r="S211" s="725">
        <f t="shared" si="103"/>
        <v>0</v>
      </c>
      <c r="T211" s="725">
        <f t="shared" si="103"/>
        <v>0</v>
      </c>
      <c r="U211" s="725">
        <f t="shared" si="103"/>
        <v>0</v>
      </c>
      <c r="V211" s="725">
        <f t="shared" si="103"/>
        <v>0</v>
      </c>
      <c r="W211" s="725">
        <f t="shared" si="103"/>
        <v>0</v>
      </c>
      <c r="X211" s="725">
        <f>SUM(S211:W211)</f>
        <v>0</v>
      </c>
      <c r="Y211" s="153"/>
      <c r="Z211" s="153"/>
      <c r="AA211" s="153"/>
      <c r="AB211" s="153"/>
      <c r="AC211" s="153"/>
      <c r="AD211" s="153"/>
      <c r="AE211" s="231"/>
      <c r="AF211" s="231"/>
      <c r="AG211" s="153"/>
      <c r="AH211" s="153"/>
    </row>
    <row r="212" spans="2:35">
      <c r="B212" s="149"/>
      <c r="C212" s="149"/>
      <c r="D212" s="149"/>
      <c r="E212" s="149"/>
      <c r="F212" s="220"/>
      <c r="G212" s="220"/>
      <c r="H212" s="220"/>
      <c r="I212" s="220"/>
      <c r="J212" s="220"/>
      <c r="K212" s="149"/>
      <c r="L212" s="149"/>
      <c r="M212" s="149"/>
      <c r="N212" s="149"/>
      <c r="O212" s="149"/>
      <c r="P212" s="149"/>
      <c r="Q212" s="258" t="s">
        <v>6974</v>
      </c>
      <c r="R212" s="222"/>
      <c r="S212" s="675"/>
      <c r="T212" s="675"/>
      <c r="U212" s="675"/>
      <c r="V212" s="677"/>
      <c r="W212" s="677"/>
      <c r="X212" s="676"/>
      <c r="Y212" s="153"/>
      <c r="Z212" s="153"/>
      <c r="AA212" s="153"/>
      <c r="AB212" s="153"/>
      <c r="AC212" s="153"/>
      <c r="AD212" s="153"/>
      <c r="AE212" s="231"/>
      <c r="AF212" s="231"/>
      <c r="AG212" s="153"/>
      <c r="AH212" s="153"/>
    </row>
    <row r="213" spans="2:35">
      <c r="B213" s="149"/>
      <c r="C213" s="149"/>
      <c r="D213" s="149"/>
      <c r="E213" s="149"/>
      <c r="F213" s="220"/>
      <c r="G213" s="220"/>
      <c r="H213" s="220"/>
      <c r="I213" s="220"/>
      <c r="J213" s="220"/>
      <c r="K213" s="149"/>
      <c r="L213" s="149"/>
      <c r="M213" s="149"/>
      <c r="N213" s="149"/>
      <c r="O213" s="149"/>
      <c r="P213" s="149"/>
      <c r="Q213" s="218"/>
      <c r="R213" s="76" t="s">
        <v>145</v>
      </c>
      <c r="S213" s="725">
        <f>IF($Q$179="代替", (S$123+S$130), IFERROR(VLOOKUP($Q$179&amp;$R213,$AI$152:$AJ$167,2,FALSE)*(S$123+S$130),""))</f>
        <v>40.570432942705523</v>
      </c>
      <c r="T213" s="725">
        <f>IF($Q$179="代替", (T$123+T$130), IFERROR(VLOOKUP($Q$179&amp;$R213,$AI$152:$AJ$167,2,FALSE)*(T$123+T$130),""))</f>
        <v>0</v>
      </c>
      <c r="U213" s="725">
        <f>IF($Q$179="代替", (U$123+U$130), IFERROR(VLOOKUP($Q$179&amp;$R213,$AI$152:$AJ$167,2,FALSE)*(U$123+U$130),""))</f>
        <v>0</v>
      </c>
      <c r="V213" s="725">
        <f>IF($Q$179="代替", (V$123+V$130), IFERROR(VLOOKUP($Q$179&amp;$R213,$AI$152:$AJ$167,2,FALSE)*(V$123+V$130),""))</f>
        <v>0</v>
      </c>
      <c r="W213" s="725">
        <f>IF($Q$179="代替", (W$123+W$130), IFERROR(VLOOKUP($Q$179&amp;$R213,$AI$152:$AJ$167,2,FALSE)*(W$123+W$130),""))</f>
        <v>0</v>
      </c>
      <c r="X213" s="725">
        <f>SUM(S213:W213)</f>
        <v>40.570432942705523</v>
      </c>
      <c r="Y213" s="231"/>
      <c r="Z213" s="231"/>
      <c r="AA213" s="231"/>
      <c r="AB213" s="231"/>
      <c r="AC213" s="231"/>
      <c r="AD213" s="231"/>
      <c r="AE213" s="231"/>
      <c r="AF213" s="231"/>
      <c r="AG213" s="153"/>
      <c r="AH213" s="153"/>
      <c r="AI213" s="153"/>
    </row>
    <row r="214" spans="2:35">
      <c r="B214" s="149"/>
      <c r="C214" s="149"/>
      <c r="D214" s="149"/>
      <c r="E214" s="149"/>
      <c r="F214" s="220"/>
      <c r="G214" s="220"/>
      <c r="H214" s="220"/>
      <c r="I214" s="220"/>
      <c r="J214" s="220"/>
      <c r="K214" s="149"/>
      <c r="L214" s="149"/>
      <c r="M214" s="149"/>
      <c r="N214" s="149"/>
      <c r="O214" s="149"/>
      <c r="P214" s="149"/>
      <c r="Q214" s="61"/>
      <c r="R214" s="68" t="str">
        <f>$Q$139</f>
        <v/>
      </c>
      <c r="S214" s="725">
        <f t="shared" ref="S214:W216" si="104">IF($Q$179="代替", "-", IFERROR(VLOOKUP($Q$179&amp;$R214,$AI$152:$AJ$167,2,FALSE)* (S$123+S$130),""))</f>
        <v>0</v>
      </c>
      <c r="T214" s="725">
        <f t="shared" si="104"/>
        <v>0</v>
      </c>
      <c r="U214" s="725">
        <f t="shared" si="104"/>
        <v>0</v>
      </c>
      <c r="V214" s="725">
        <f t="shared" si="104"/>
        <v>0</v>
      </c>
      <c r="W214" s="725">
        <f t="shared" si="104"/>
        <v>0</v>
      </c>
      <c r="X214" s="725">
        <f>SUM(S214:W214)</f>
        <v>0</v>
      </c>
      <c r="Y214" s="231"/>
      <c r="Z214" s="231"/>
      <c r="AA214" s="231"/>
      <c r="AB214" s="231"/>
      <c r="AC214" s="231"/>
      <c r="AD214" s="231"/>
      <c r="AE214" s="231"/>
      <c r="AF214" s="231"/>
    </row>
    <row r="215" spans="2:35">
      <c r="B215" s="149"/>
      <c r="C215" s="149"/>
      <c r="D215" s="220"/>
      <c r="E215" s="220"/>
      <c r="F215" s="220"/>
      <c r="G215" s="220"/>
      <c r="H215" s="220"/>
      <c r="I215" s="220"/>
      <c r="J215" s="220"/>
      <c r="K215" s="149"/>
      <c r="L215" s="149"/>
      <c r="M215" s="149"/>
      <c r="N215" s="149"/>
      <c r="O215" s="149"/>
      <c r="P215" s="149"/>
      <c r="Q215" s="191"/>
      <c r="R215" s="68" t="str">
        <f>$Q$143</f>
        <v/>
      </c>
      <c r="S215" s="725">
        <f t="shared" si="104"/>
        <v>0</v>
      </c>
      <c r="T215" s="725">
        <f t="shared" si="104"/>
        <v>0</v>
      </c>
      <c r="U215" s="725">
        <f t="shared" si="104"/>
        <v>0</v>
      </c>
      <c r="V215" s="725">
        <f t="shared" si="104"/>
        <v>0</v>
      </c>
      <c r="W215" s="725">
        <f t="shared" si="104"/>
        <v>0</v>
      </c>
      <c r="X215" s="725">
        <f>SUM(S215:W215)</f>
        <v>0</v>
      </c>
      <c r="Y215" s="231"/>
      <c r="Z215" s="231"/>
      <c r="AA215" s="231"/>
      <c r="AB215" s="231"/>
      <c r="AC215" s="231"/>
      <c r="AD215" s="231"/>
      <c r="AE215" s="231"/>
      <c r="AF215" s="231"/>
    </row>
    <row r="216" spans="2:35">
      <c r="B216" s="149"/>
      <c r="C216" s="149"/>
      <c r="D216" s="149"/>
      <c r="E216" s="149"/>
      <c r="F216" s="220"/>
      <c r="G216" s="220"/>
      <c r="H216" s="220"/>
      <c r="I216" s="220"/>
      <c r="J216" s="220"/>
      <c r="K216" s="149"/>
      <c r="L216" s="149"/>
      <c r="M216" s="149"/>
      <c r="N216" s="149"/>
      <c r="O216" s="149"/>
      <c r="P216" s="149"/>
      <c r="Q216" s="192"/>
      <c r="R216" s="68" t="str">
        <f>$Q$147</f>
        <v/>
      </c>
      <c r="S216" s="725">
        <f t="shared" si="104"/>
        <v>0</v>
      </c>
      <c r="T216" s="725">
        <f t="shared" si="104"/>
        <v>0</v>
      </c>
      <c r="U216" s="725">
        <f t="shared" si="104"/>
        <v>0</v>
      </c>
      <c r="V216" s="725">
        <f t="shared" si="104"/>
        <v>0</v>
      </c>
      <c r="W216" s="725">
        <f t="shared" si="104"/>
        <v>0</v>
      </c>
      <c r="X216" s="725">
        <f>SUM(S216:W216)</f>
        <v>0</v>
      </c>
      <c r="Y216" s="231"/>
      <c r="Z216" s="231"/>
      <c r="AA216" s="231"/>
      <c r="AB216" s="231"/>
      <c r="AC216" s="231"/>
      <c r="AD216" s="231"/>
      <c r="AE216" s="231"/>
      <c r="AF216" s="231"/>
    </row>
    <row r="217" spans="2:35">
      <c r="B217" s="149"/>
      <c r="C217" s="149"/>
      <c r="D217" s="149"/>
      <c r="E217" s="149"/>
      <c r="F217" s="220"/>
      <c r="G217" s="220"/>
      <c r="H217" s="220"/>
      <c r="I217" s="220"/>
      <c r="J217" s="220"/>
      <c r="K217" s="149"/>
      <c r="L217" s="149"/>
      <c r="M217" s="149"/>
      <c r="N217" s="149"/>
      <c r="O217" s="149"/>
      <c r="P217" s="149"/>
      <c r="Q217" s="277" t="s">
        <v>7047</v>
      </c>
      <c r="R217" s="222"/>
      <c r="S217" s="675"/>
      <c r="T217" s="675"/>
      <c r="U217" s="675"/>
      <c r="V217" s="677"/>
      <c r="W217" s="677"/>
      <c r="X217" s="676"/>
      <c r="Y217" s="231"/>
      <c r="Z217" s="231"/>
      <c r="AA217" s="231"/>
      <c r="AB217" s="231"/>
      <c r="AC217" s="231"/>
      <c r="AD217" s="231"/>
      <c r="AE217" s="231"/>
      <c r="AF217" s="231"/>
    </row>
    <row r="218" spans="2:35">
      <c r="B218" s="149"/>
      <c r="C218" s="149"/>
      <c r="D218" s="149"/>
      <c r="E218" s="149"/>
      <c r="F218" s="220"/>
      <c r="G218" s="220"/>
      <c r="H218" s="220"/>
      <c r="I218" s="220"/>
      <c r="J218" s="220"/>
      <c r="K218" s="149"/>
      <c r="L218" s="149"/>
      <c r="M218" s="149"/>
      <c r="N218" s="149"/>
      <c r="O218" s="149"/>
      <c r="P218" s="149"/>
      <c r="Q218" s="218"/>
      <c r="R218" s="76" t="s">
        <v>145</v>
      </c>
      <c r="S218" s="725">
        <f>IF($Q$179="代替", S$88, IFERROR(VLOOKUP($Q$179&amp;$R218,$AI$152:$AJ$167,2,FALSE)*S$88,""))</f>
        <v>0</v>
      </c>
      <c r="T218" s="725">
        <f>IF($Q$179="代替", T$88, IFERROR(VLOOKUP($Q$179&amp;$R218,$AI$152:$AJ$167,2,FALSE)*T$88,""))</f>
        <v>0</v>
      </c>
      <c r="U218" s="725">
        <f>IF($Q$179="代替", U$88, IFERROR(VLOOKUP($Q$179&amp;$R218,$AI$152:$AJ$167,2,FALSE)*U$88,""))</f>
        <v>0</v>
      </c>
      <c r="V218" s="725">
        <f>IF($Q$179="代替", V$88, IFERROR(VLOOKUP($Q$179&amp;$R218,$AI$152:$AJ$167,2,FALSE)*V$88,""))</f>
        <v>0</v>
      </c>
      <c r="W218" s="725">
        <f>IF($Q$179="代替", W$88, IFERROR(VLOOKUP($Q$179&amp;$R218,$AI$152:$AJ$167,2,FALSE)*W$88,""))</f>
        <v>0</v>
      </c>
      <c r="X218" s="725">
        <f>SUM(S218:W218)</f>
        <v>0</v>
      </c>
      <c r="Y218" s="231"/>
      <c r="Z218" s="231"/>
      <c r="AA218" s="231"/>
      <c r="AB218" s="231"/>
      <c r="AC218" s="231"/>
      <c r="AD218" s="231"/>
      <c r="AE218" s="231"/>
      <c r="AF218" s="231"/>
    </row>
    <row r="219" spans="2:35">
      <c r="B219" s="149"/>
      <c r="C219" s="149"/>
      <c r="D219" s="149"/>
      <c r="E219" s="149"/>
      <c r="F219" s="220"/>
      <c r="G219" s="220"/>
      <c r="H219" s="220"/>
      <c r="I219" s="220"/>
      <c r="J219" s="220"/>
      <c r="K219" s="149"/>
      <c r="L219" s="149"/>
      <c r="M219" s="149"/>
      <c r="N219" s="149"/>
      <c r="O219" s="149"/>
      <c r="P219" s="149"/>
      <c r="Q219" s="61"/>
      <c r="R219" s="68" t="str">
        <f>$Q$139</f>
        <v/>
      </c>
      <c r="S219" s="725">
        <f t="shared" ref="S219:W221" si="105">IF($Q$179="代替", "-", IFERROR(VLOOKUP($Q$179&amp;$R219,$AI$152:$AJ$167,2,FALSE)*S$88,""))</f>
        <v>0</v>
      </c>
      <c r="T219" s="725">
        <f t="shared" si="105"/>
        <v>0</v>
      </c>
      <c r="U219" s="725">
        <f t="shared" si="105"/>
        <v>0</v>
      </c>
      <c r="V219" s="725">
        <f t="shared" si="105"/>
        <v>0</v>
      </c>
      <c r="W219" s="725">
        <f t="shared" si="105"/>
        <v>0</v>
      </c>
      <c r="X219" s="725">
        <f>SUM(S219:W219)</f>
        <v>0</v>
      </c>
      <c r="Y219" s="231"/>
      <c r="Z219" s="231"/>
      <c r="AA219" s="231"/>
      <c r="AB219" s="231"/>
      <c r="AC219" s="231"/>
      <c r="AD219" s="231"/>
      <c r="AE219" s="231"/>
      <c r="AF219" s="231"/>
    </row>
    <row r="220" spans="2:35">
      <c r="B220" s="149"/>
      <c r="C220" s="149"/>
      <c r="D220" s="149"/>
      <c r="E220" s="149"/>
      <c r="F220" s="220"/>
      <c r="G220" s="220"/>
      <c r="H220" s="220"/>
      <c r="I220" s="220"/>
      <c r="J220" s="220"/>
      <c r="K220" s="149"/>
      <c r="L220" s="149"/>
      <c r="M220" s="149"/>
      <c r="N220" s="149"/>
      <c r="O220" s="149"/>
      <c r="P220" s="149"/>
      <c r="Q220" s="191"/>
      <c r="R220" s="68" t="str">
        <f>$Q$143</f>
        <v/>
      </c>
      <c r="S220" s="725">
        <f t="shared" si="105"/>
        <v>0</v>
      </c>
      <c r="T220" s="725">
        <f t="shared" si="105"/>
        <v>0</v>
      </c>
      <c r="U220" s="725">
        <f t="shared" si="105"/>
        <v>0</v>
      </c>
      <c r="V220" s="725">
        <f t="shared" si="105"/>
        <v>0</v>
      </c>
      <c r="W220" s="725">
        <f t="shared" si="105"/>
        <v>0</v>
      </c>
      <c r="X220" s="725">
        <f>SUM(S220:W220)</f>
        <v>0</v>
      </c>
      <c r="Y220" s="231"/>
      <c r="Z220" s="231"/>
      <c r="AA220" s="231"/>
      <c r="AB220" s="231"/>
      <c r="AC220" s="231"/>
      <c r="AD220" s="231"/>
      <c r="AE220" s="231"/>
      <c r="AF220" s="231"/>
    </row>
    <row r="221" spans="2:35">
      <c r="B221" s="149"/>
      <c r="C221" s="149"/>
      <c r="D221" s="149"/>
      <c r="E221" s="149"/>
      <c r="F221" s="220"/>
      <c r="G221" s="220"/>
      <c r="H221" s="220"/>
      <c r="I221" s="220"/>
      <c r="J221" s="220"/>
      <c r="K221" s="149"/>
      <c r="L221" s="149"/>
      <c r="M221" s="149"/>
      <c r="N221" s="149"/>
      <c r="O221" s="149"/>
      <c r="P221" s="149"/>
      <c r="Q221" s="192"/>
      <c r="R221" s="68" t="str">
        <f>$Q$147</f>
        <v/>
      </c>
      <c r="S221" s="725">
        <f t="shared" si="105"/>
        <v>0</v>
      </c>
      <c r="T221" s="725">
        <f t="shared" si="105"/>
        <v>0</v>
      </c>
      <c r="U221" s="725">
        <f t="shared" si="105"/>
        <v>0</v>
      </c>
      <c r="V221" s="725">
        <f t="shared" si="105"/>
        <v>0</v>
      </c>
      <c r="W221" s="725">
        <f t="shared" si="105"/>
        <v>0</v>
      </c>
      <c r="X221" s="725">
        <f>SUM(S221:W221)</f>
        <v>0</v>
      </c>
      <c r="Y221" s="231"/>
      <c r="Z221" s="231"/>
      <c r="AA221" s="231"/>
      <c r="AB221" s="231"/>
      <c r="AC221" s="231"/>
      <c r="AD221" s="231"/>
      <c r="AE221" s="231"/>
      <c r="AF221" s="231"/>
    </row>
    <row r="225" spans="2:4">
      <c r="B225" s="221"/>
      <c r="C225" s="221"/>
      <c r="D225" s="221"/>
    </row>
  </sheetData>
  <sheetProtection sheet="1" objects="1" scenarios="1"/>
  <mergeCells count="245">
    <mergeCell ref="AJ64:AK65"/>
    <mergeCell ref="B64:E65"/>
    <mergeCell ref="F64:K64"/>
    <mergeCell ref="L64:L65"/>
    <mergeCell ref="M64:O65"/>
    <mergeCell ref="Q64:R65"/>
    <mergeCell ref="S64:X64"/>
    <mergeCell ref="Q79:R79"/>
    <mergeCell ref="Q83:R83"/>
    <mergeCell ref="Q80:R80"/>
    <mergeCell ref="Q81:R81"/>
    <mergeCell ref="Q82:R82"/>
    <mergeCell ref="B66:D66"/>
    <mergeCell ref="B67:D67"/>
    <mergeCell ref="B68:D68"/>
    <mergeCell ref="B69:D69"/>
    <mergeCell ref="B70:D70"/>
    <mergeCell ref="Q66:R66"/>
    <mergeCell ref="Q67:R67"/>
    <mergeCell ref="Q68:R68"/>
    <mergeCell ref="Q69:R69"/>
    <mergeCell ref="Q70:R70"/>
    <mergeCell ref="B75:D76"/>
    <mergeCell ref="Q75:R76"/>
    <mergeCell ref="AJ125:AK126"/>
    <mergeCell ref="B122:D122"/>
    <mergeCell ref="Q122:R122"/>
    <mergeCell ref="B116:D116"/>
    <mergeCell ref="L116:M116"/>
    <mergeCell ref="Q116:R116"/>
    <mergeCell ref="B117:D117"/>
    <mergeCell ref="L117:M117"/>
    <mergeCell ref="B119:D119"/>
    <mergeCell ref="Q119:R119"/>
    <mergeCell ref="B120:D120"/>
    <mergeCell ref="Q120:R120"/>
    <mergeCell ref="F125:K125"/>
    <mergeCell ref="L125:L126"/>
    <mergeCell ref="M125:O126"/>
    <mergeCell ref="Q125:R126"/>
    <mergeCell ref="AJ55:AK56"/>
    <mergeCell ref="B57:D57"/>
    <mergeCell ref="Q57:R57"/>
    <mergeCell ref="B58:D58"/>
    <mergeCell ref="Q58:R58"/>
    <mergeCell ref="B59:D59"/>
    <mergeCell ref="Q59:R59"/>
    <mergeCell ref="B115:D115"/>
    <mergeCell ref="L115:M115"/>
    <mergeCell ref="Q115:R115"/>
    <mergeCell ref="Y111:AD111"/>
    <mergeCell ref="AJ92:AK93"/>
    <mergeCell ref="B100:O100"/>
    <mergeCell ref="B90:O90"/>
    <mergeCell ref="L92:L93"/>
    <mergeCell ref="M92:O93"/>
    <mergeCell ref="AJ102:AK103"/>
    <mergeCell ref="L102:M103"/>
    <mergeCell ref="N102:O103"/>
    <mergeCell ref="L104:M104"/>
    <mergeCell ref="B96:C96"/>
    <mergeCell ref="Y75:AD75"/>
    <mergeCell ref="AJ75:AK76"/>
    <mergeCell ref="Q88:R88"/>
    <mergeCell ref="AJ21:AK22"/>
    <mergeCell ref="B35:O35"/>
    <mergeCell ref="B37:E38"/>
    <mergeCell ref="F37:K37"/>
    <mergeCell ref="L37:L38"/>
    <mergeCell ref="M37:O38"/>
    <mergeCell ref="Q37:R38"/>
    <mergeCell ref="S37:X37"/>
    <mergeCell ref="Y37:AD37"/>
    <mergeCell ref="B21:E22"/>
    <mergeCell ref="F21:K21"/>
    <mergeCell ref="L21:L22"/>
    <mergeCell ref="M21:O22"/>
    <mergeCell ref="Q21:R22"/>
    <mergeCell ref="B23:D23"/>
    <mergeCell ref="B31:D31"/>
    <mergeCell ref="B32:D32"/>
    <mergeCell ref="Q23:R23"/>
    <mergeCell ref="Q31:R31"/>
    <mergeCell ref="Q32:R32"/>
    <mergeCell ref="AE21:AE22"/>
    <mergeCell ref="AE37:AE38"/>
    <mergeCell ref="E192:L192"/>
    <mergeCell ref="E179:K179"/>
    <mergeCell ref="J194:K194"/>
    <mergeCell ref="G194:H194"/>
    <mergeCell ref="B1:D1"/>
    <mergeCell ref="B73:O73"/>
    <mergeCell ref="F75:K75"/>
    <mergeCell ref="L75:L76"/>
    <mergeCell ref="M75:O76"/>
    <mergeCell ref="B127:D127"/>
    <mergeCell ref="B128:D128"/>
    <mergeCell ref="B129:D129"/>
    <mergeCell ref="B125:E126"/>
    <mergeCell ref="B104:D104"/>
    <mergeCell ref="B106:D106"/>
    <mergeCell ref="B105:D105"/>
    <mergeCell ref="B102:E103"/>
    <mergeCell ref="F102:K102"/>
    <mergeCell ref="E177:F177"/>
    <mergeCell ref="L113:M113"/>
    <mergeCell ref="B114:D114"/>
    <mergeCell ref="L114:M114"/>
    <mergeCell ref="B8:C8"/>
    <mergeCell ref="B9:C9"/>
    <mergeCell ref="Q181:R182"/>
    <mergeCell ref="S181:X181"/>
    <mergeCell ref="Q156:R156"/>
    <mergeCell ref="Q139:Q142"/>
    <mergeCell ref="Q143:Q146"/>
    <mergeCell ref="Q147:Q150"/>
    <mergeCell ref="Q113:R113"/>
    <mergeCell ref="Q114:R114"/>
    <mergeCell ref="Q129:R129"/>
    <mergeCell ref="Q154:R155"/>
    <mergeCell ref="S154:X154"/>
    <mergeCell ref="Q137:R138"/>
    <mergeCell ref="S137:X137"/>
    <mergeCell ref="Q132:X132"/>
    <mergeCell ref="Q117:R117"/>
    <mergeCell ref="Q121:R121"/>
    <mergeCell ref="Q118:R118"/>
    <mergeCell ref="S125:X125"/>
    <mergeCell ref="Q152:X152"/>
    <mergeCell ref="Q127:R127"/>
    <mergeCell ref="B42:D42"/>
    <mergeCell ref="B43:D43"/>
    <mergeCell ref="B44:D44"/>
    <mergeCell ref="B45:D45"/>
    <mergeCell ref="B46:D46"/>
    <mergeCell ref="B47:D47"/>
    <mergeCell ref="F137:K137"/>
    <mergeCell ref="B92:E93"/>
    <mergeCell ref="F92:K92"/>
    <mergeCell ref="B132:O132"/>
    <mergeCell ref="B109:O109"/>
    <mergeCell ref="B111:E112"/>
    <mergeCell ref="B118:D118"/>
    <mergeCell ref="B121:D121"/>
    <mergeCell ref="F111:K111"/>
    <mergeCell ref="L111:M112"/>
    <mergeCell ref="N111:O112"/>
    <mergeCell ref="B113:D113"/>
    <mergeCell ref="B62:O62"/>
    <mergeCell ref="B11:C11"/>
    <mergeCell ref="B144:D144"/>
    <mergeCell ref="H144:I144"/>
    <mergeCell ref="B3:E3"/>
    <mergeCell ref="B5:C5"/>
    <mergeCell ref="Q73:AD73"/>
    <mergeCell ref="Q62:AD62"/>
    <mergeCell ref="Q35:AD35"/>
    <mergeCell ref="Q19:AD19"/>
    <mergeCell ref="B13:K13"/>
    <mergeCell ref="Q100:AD100"/>
    <mergeCell ref="B52:C52"/>
    <mergeCell ref="B78:C78"/>
    <mergeCell ref="B77:C77"/>
    <mergeCell ref="B94:C94"/>
    <mergeCell ref="Y92:AD92"/>
    <mergeCell ref="Y64:AD64"/>
    <mergeCell ref="Y21:AD21"/>
    <mergeCell ref="S55:X55"/>
    <mergeCell ref="Y55:AD55"/>
    <mergeCell ref="B55:E56"/>
    <mergeCell ref="G3:L3"/>
    <mergeCell ref="B40:D40"/>
    <mergeCell ref="B41:D41"/>
    <mergeCell ref="K4:L4"/>
    <mergeCell ref="O137:O138"/>
    <mergeCell ref="L105:M105"/>
    <mergeCell ref="L106:M106"/>
    <mergeCell ref="G5:I5"/>
    <mergeCell ref="K5:L5"/>
    <mergeCell ref="G6:I6"/>
    <mergeCell ref="K6:L6"/>
    <mergeCell ref="G7:I7"/>
    <mergeCell ref="K7:L7"/>
    <mergeCell ref="G8:I8"/>
    <mergeCell ref="K8:L8"/>
    <mergeCell ref="G9:I9"/>
    <mergeCell ref="K9:L9"/>
    <mergeCell ref="B19:O19"/>
    <mergeCell ref="B50:C50"/>
    <mergeCell ref="B51:C51"/>
    <mergeCell ref="L137:L138"/>
    <mergeCell ref="M137:M138"/>
    <mergeCell ref="B137:E137"/>
    <mergeCell ref="N137:N138"/>
    <mergeCell ref="B48:D48"/>
    <mergeCell ref="B49:D49"/>
    <mergeCell ref="B10:C10"/>
    <mergeCell ref="Q90:AD90"/>
    <mergeCell ref="Q95:R95"/>
    <mergeCell ref="Q96:R96"/>
    <mergeCell ref="Q97:R97"/>
    <mergeCell ref="Q105:R105"/>
    <mergeCell ref="Q106:R106"/>
    <mergeCell ref="Q128:R128"/>
    <mergeCell ref="Y102:AD102"/>
    <mergeCell ref="G10:I10"/>
    <mergeCell ref="K10:L10"/>
    <mergeCell ref="G11:I11"/>
    <mergeCell ref="K11:L11"/>
    <mergeCell ref="F55:K55"/>
    <mergeCell ref="L55:L56"/>
    <mergeCell ref="M55:O56"/>
    <mergeCell ref="S102:X102"/>
    <mergeCell ref="Q104:R104"/>
    <mergeCell ref="S21:X21"/>
    <mergeCell ref="S111:X111"/>
    <mergeCell ref="Q109:AD109"/>
    <mergeCell ref="Y125:AD125"/>
    <mergeCell ref="Q111:R112"/>
    <mergeCell ref="Q102:R103"/>
    <mergeCell ref="S75:X75"/>
    <mergeCell ref="AE55:AE56"/>
    <mergeCell ref="AE64:AE65"/>
    <mergeCell ref="AE75:AE76"/>
    <mergeCell ref="AE92:AE93"/>
    <mergeCell ref="AE111:AE112"/>
    <mergeCell ref="B24:D24"/>
    <mergeCell ref="B25:D25"/>
    <mergeCell ref="B26:D26"/>
    <mergeCell ref="B27:D27"/>
    <mergeCell ref="B28:D28"/>
    <mergeCell ref="B29:D29"/>
    <mergeCell ref="B30:D30"/>
    <mergeCell ref="Q24:R24"/>
    <mergeCell ref="Q25:R25"/>
    <mergeCell ref="Q26:R26"/>
    <mergeCell ref="Q27:R27"/>
    <mergeCell ref="Q28:R28"/>
    <mergeCell ref="Q29:R29"/>
    <mergeCell ref="Q30:R30"/>
    <mergeCell ref="Q55:R56"/>
    <mergeCell ref="Q77:R77"/>
    <mergeCell ref="B39:D39"/>
    <mergeCell ref="Q92:R93"/>
    <mergeCell ref="S92:X92"/>
  </mergeCells>
  <phoneticPr fontId="32"/>
  <conditionalFormatting sqref="AG20:AH20">
    <cfRule type="expression" dxfId="653" priority="1354" stopIfTrue="1">
      <formula>#REF!="Ⅲ[再生可能エネルギー供給量]"</formula>
    </cfRule>
    <cfRule type="expression" dxfId="652" priority="1355" stopIfTrue="1">
      <formula>#REF!="Ⅱ[エネルギー使用量差]"</formula>
    </cfRule>
  </conditionalFormatting>
  <conditionalFormatting sqref="Q181">
    <cfRule type="expression" dxfId="651" priority="1302" stopIfTrue="1">
      <formula>#REF!="Ⅲ[再生可能エネルギー供給量]"</formula>
    </cfRule>
    <cfRule type="expression" dxfId="650" priority="1303" stopIfTrue="1">
      <formula>#REF!="Ⅱ[エネルギー使用量差]"</formula>
    </cfRule>
  </conditionalFormatting>
  <conditionalFormatting sqref="R99">
    <cfRule type="expression" dxfId="649" priority="953" stopIfTrue="1">
      <formula>#REF!="Ⅲ[再生可能エネルギー供給量]"</formula>
    </cfRule>
    <cfRule type="expression" dxfId="648" priority="954" stopIfTrue="1">
      <formula>#REF!="Ⅱ[エネルギー使用量差]"</formula>
    </cfRule>
  </conditionalFormatting>
  <conditionalFormatting sqref="Q99">
    <cfRule type="expression" dxfId="647" priority="955" stopIfTrue="1">
      <formula>#REF!="Ⅲ[再生可能エネルギー供給量]"</formula>
    </cfRule>
    <cfRule type="expression" dxfId="646" priority="956" stopIfTrue="1">
      <formula>#REF!="Ⅱ[エネルギー使用量差]"</formula>
    </cfRule>
  </conditionalFormatting>
  <conditionalFormatting sqref="AG40:AG48">
    <cfRule type="expression" dxfId="645" priority="943" stopIfTrue="1">
      <formula>#REF!="Ⅲ[再生可能エネルギー供給量]"</formula>
    </cfRule>
    <cfRule type="expression" dxfId="644" priority="944" stopIfTrue="1">
      <formula>#REF!="Ⅱ[エネルギー使用量差]"</formula>
    </cfRule>
  </conditionalFormatting>
  <conditionalFormatting sqref="AG49:AH49">
    <cfRule type="expression" dxfId="643" priority="935" stopIfTrue="1">
      <formula>#REF!="Ⅲ[再生可能エネルギー供給量]"</formula>
    </cfRule>
    <cfRule type="expression" dxfId="642" priority="936" stopIfTrue="1">
      <formula>#REF!="Ⅱ[エネルギー使用量差]"</formula>
    </cfRule>
  </conditionalFormatting>
  <conditionalFormatting sqref="AG31:AH31">
    <cfRule type="expression" dxfId="641" priority="925" stopIfTrue="1">
      <formula>#REF!="Ⅲ[再生可能エネルギー供給量]"</formula>
    </cfRule>
    <cfRule type="expression" dxfId="640" priority="926" stopIfTrue="1">
      <formula>#REF!="Ⅱ[エネルギー使用量差]"</formula>
    </cfRule>
  </conditionalFormatting>
  <conditionalFormatting sqref="AL79:AQ79 X77:X79 AE77:AF79">
    <cfRule type="expression" dxfId="639" priority="897">
      <formula>$B$78="改良トンキロ法"</formula>
    </cfRule>
  </conditionalFormatting>
  <conditionalFormatting sqref="AL79:AQ79 Q79 X79:X83">
    <cfRule type="expression" dxfId="638" priority="896">
      <formula>$B$78="燃料法"</formula>
    </cfRule>
  </conditionalFormatting>
  <conditionalFormatting sqref="AG21:AH30 AG63:AH70 AG74:AH87 AG91:AI108 AG132:AI139">
    <cfRule type="expression" dxfId="637" priority="969" stopIfTrue="1">
      <formula>#REF!="Ⅲ[再生可能エネルギー供給量]"</formula>
    </cfRule>
    <cfRule type="expression" dxfId="636" priority="970" stopIfTrue="1">
      <formula>#REF!="Ⅱ[エネルギー使用量差]"</formula>
    </cfRule>
  </conditionalFormatting>
  <conditionalFormatting sqref="S130:X130 X127:X129">
    <cfRule type="dataBar" priority="672">
      <dataBar>
        <cfvo type="percent" val="&quot;S13/S$109&quot;"/>
        <cfvo type="percent" val="&quot;S13/S$109&quot;"/>
        <color rgb="FF638EC6"/>
      </dataBar>
      <extLst>
        <ext xmlns:x14="http://schemas.microsoft.com/office/spreadsheetml/2009/9/main" uri="{B025F937-C7B1-47D3-B67F-A62EFF666E3E}">
          <x14:id>{1BA84A4D-C445-4A7F-8621-67E247FC83B8}</x14:id>
        </ext>
      </extLst>
    </cfRule>
  </conditionalFormatting>
  <conditionalFormatting sqref="B125:E126">
    <cfRule type="expression" dxfId="635" priority="617" stopIfTrue="1">
      <formula>#REF!="Ⅲ[再生可能エネルギー供給量]"</formula>
    </cfRule>
    <cfRule type="expression" dxfId="634" priority="618" stopIfTrue="1">
      <formula>#REF!="Ⅱ[エネルギー使用量差]"</formula>
    </cfRule>
  </conditionalFormatting>
  <conditionalFormatting sqref="B5 B8">
    <cfRule type="expression" dxfId="633" priority="609" stopIfTrue="1">
      <formula>#REF!="Ⅲ[再生可能エネルギー供給量]"</formula>
    </cfRule>
    <cfRule type="expression" dxfId="632" priority="610" stopIfTrue="1">
      <formula>#REF!="Ⅱ[エネルギー使用量差]"</formula>
    </cfRule>
  </conditionalFormatting>
  <conditionalFormatting sqref="B127:B129">
    <cfRule type="expression" dxfId="631" priority="485" stopIfTrue="1">
      <formula>#REF!="Ⅲ[再生可能エネルギー供給量]"</formula>
    </cfRule>
    <cfRule type="expression" dxfId="630" priority="486" stopIfTrue="1">
      <formula>#REF!="Ⅱ[エネルギー使用量差]"</formula>
    </cfRule>
  </conditionalFormatting>
  <conditionalFormatting sqref="S127:S129 S57:S59 S77">
    <cfRule type="dataBar" priority="484">
      <dataBar>
        <cfvo type="num" val="0"/>
        <cfvo type="num" val="$S$156"/>
        <color rgb="FF638EC6"/>
      </dataBar>
      <extLst>
        <ext xmlns:x14="http://schemas.microsoft.com/office/spreadsheetml/2009/9/main" uri="{B025F937-C7B1-47D3-B67F-A62EFF666E3E}">
          <x14:id>{8C6F647C-7245-4F12-867D-C35F3497C295}</x14:id>
        </ext>
      </extLst>
    </cfRule>
  </conditionalFormatting>
  <conditionalFormatting sqref="T127:T129 T57:T59 T77">
    <cfRule type="dataBar" priority="483">
      <dataBar>
        <cfvo type="num" val="0"/>
        <cfvo type="num" val="$T$156"/>
        <color rgb="FF638EC6"/>
      </dataBar>
      <extLst>
        <ext xmlns:x14="http://schemas.microsoft.com/office/spreadsheetml/2009/9/main" uri="{B025F937-C7B1-47D3-B67F-A62EFF666E3E}">
          <x14:id>{81C0AF26-3EDF-452D-8C0A-8A731E2E5915}</x14:id>
        </ext>
      </extLst>
    </cfRule>
  </conditionalFormatting>
  <conditionalFormatting sqref="U127:U129 U57:U59 U79">
    <cfRule type="dataBar" priority="482">
      <dataBar>
        <cfvo type="num" val="0"/>
        <cfvo type="num" val="$U$156"/>
        <color rgb="FF638EC6"/>
      </dataBar>
      <extLst>
        <ext xmlns:x14="http://schemas.microsoft.com/office/spreadsheetml/2009/9/main" uri="{B025F937-C7B1-47D3-B67F-A62EFF666E3E}">
          <x14:id>{ACC259E2-5A42-4F3C-BEB7-028618B00E05}</x14:id>
        </ext>
      </extLst>
    </cfRule>
  </conditionalFormatting>
  <conditionalFormatting sqref="V127:V129 V57:V59 V79">
    <cfRule type="dataBar" priority="481">
      <dataBar>
        <cfvo type="num" val="0"/>
        <cfvo type="num" val="$V$156"/>
        <color rgb="FF638EC6"/>
      </dataBar>
      <extLst>
        <ext xmlns:x14="http://schemas.microsoft.com/office/spreadsheetml/2009/9/main" uri="{B025F937-C7B1-47D3-B67F-A62EFF666E3E}">
          <x14:id>{3B7CBADE-53A6-48A9-85CE-AB13BD7096CD}</x14:id>
        </ext>
      </extLst>
    </cfRule>
  </conditionalFormatting>
  <conditionalFormatting sqref="W127:W129 W57:W59 W83">
    <cfRule type="dataBar" priority="480">
      <dataBar>
        <cfvo type="num" val="0"/>
        <cfvo type="num" val="$W$156"/>
        <color rgb="FF638EC6"/>
      </dataBar>
      <extLst>
        <ext xmlns:x14="http://schemas.microsoft.com/office/spreadsheetml/2009/9/main" uri="{B025F937-C7B1-47D3-B67F-A62EFF666E3E}">
          <x14:id>{AD0D7902-22B6-4FA3-AA8B-C54E929ACFBD}</x14:id>
        </ext>
      </extLst>
    </cfRule>
  </conditionalFormatting>
  <conditionalFormatting sqref="AG112">
    <cfRule type="expression" dxfId="629" priority="474" stopIfTrue="1">
      <formula>#REF!="Ⅲ[再生可能エネルギー供給量]"</formula>
    </cfRule>
    <cfRule type="expression" dxfId="628" priority="475" stopIfTrue="1">
      <formula>#REF!="Ⅱ[エネルギー使用量差]"</formula>
    </cfRule>
  </conditionalFormatting>
  <conditionalFormatting sqref="G5">
    <cfRule type="expression" dxfId="627" priority="431" stopIfTrue="1">
      <formula>#REF!="Ⅲ[再生可能エネルギー供給量]"</formula>
    </cfRule>
    <cfRule type="expression" dxfId="626" priority="432" stopIfTrue="1">
      <formula>#REF!="Ⅱ[エネルギー使用量差]"</formula>
    </cfRule>
  </conditionalFormatting>
  <conditionalFormatting sqref="G7">
    <cfRule type="expression" dxfId="625" priority="429" stopIfTrue="1">
      <formula>#REF!="Ⅲ[再生可能エネルギー供給量]"</formula>
    </cfRule>
    <cfRule type="expression" dxfId="624" priority="430" stopIfTrue="1">
      <formula>#REF!="Ⅱ[エネルギー使用量差]"</formula>
    </cfRule>
  </conditionalFormatting>
  <conditionalFormatting sqref="G8">
    <cfRule type="expression" dxfId="623" priority="427" stopIfTrue="1">
      <formula>#REF!="Ⅲ[再生可能エネルギー供給量]"</formula>
    </cfRule>
    <cfRule type="expression" dxfId="622" priority="428" stopIfTrue="1">
      <formula>#REF!="Ⅱ[エネルギー使用量差]"</formula>
    </cfRule>
  </conditionalFormatting>
  <conditionalFormatting sqref="G9">
    <cfRule type="expression" dxfId="621" priority="425" stopIfTrue="1">
      <formula>#REF!="Ⅲ[再生可能エネルギー供給量]"</formula>
    </cfRule>
    <cfRule type="expression" dxfId="620" priority="426" stopIfTrue="1">
      <formula>#REF!="Ⅱ[エネルギー使用量差]"</formula>
    </cfRule>
  </conditionalFormatting>
  <conditionalFormatting sqref="G10">
    <cfRule type="expression" dxfId="619" priority="423" stopIfTrue="1">
      <formula>#REF!="Ⅲ[再生可能エネルギー供給量]"</formula>
    </cfRule>
    <cfRule type="expression" dxfId="618" priority="424" stopIfTrue="1">
      <formula>#REF!="Ⅱ[エネルギー使用量差]"</formula>
    </cfRule>
  </conditionalFormatting>
  <conditionalFormatting sqref="G11">
    <cfRule type="expression" dxfId="617" priority="421" stopIfTrue="1">
      <formula>#REF!="Ⅲ[再生可能エネルギー供給量]"</formula>
    </cfRule>
    <cfRule type="expression" dxfId="616" priority="422" stopIfTrue="1">
      <formula>#REF!="Ⅱ[エネルギー使用量差]"</formula>
    </cfRule>
  </conditionalFormatting>
  <conditionalFormatting sqref="B21:E22">
    <cfRule type="expression" dxfId="615" priority="419" stopIfTrue="1">
      <formula>#REF!="Ⅲ[再生可能エネルギー供給量]"</formula>
    </cfRule>
    <cfRule type="expression" dxfId="614" priority="420" stopIfTrue="1">
      <formula>#REF!="Ⅱ[エネルギー使用量差]"</formula>
    </cfRule>
  </conditionalFormatting>
  <conditionalFormatting sqref="Q21">
    <cfRule type="expression" dxfId="613" priority="417" stopIfTrue="1">
      <formula>#REF!="Ⅲ[再生可能エネルギー供給量]"</formula>
    </cfRule>
    <cfRule type="expression" dxfId="612" priority="418" stopIfTrue="1">
      <formula>#REF!="Ⅱ[エネルギー使用量差]"</formula>
    </cfRule>
  </conditionalFormatting>
  <conditionalFormatting sqref="Q33 B33:E33">
    <cfRule type="expression" dxfId="611" priority="415" stopIfTrue="1">
      <formula>#REF!="Ⅲ[再生可能エネルギー供給量]"</formula>
    </cfRule>
    <cfRule type="expression" dxfId="610" priority="416" stopIfTrue="1">
      <formula>#REF!="Ⅱ[エネルギー使用量差]"</formula>
    </cfRule>
  </conditionalFormatting>
  <conditionalFormatting sqref="R33">
    <cfRule type="expression" dxfId="609" priority="413" stopIfTrue="1">
      <formula>#REF!="Ⅲ[再生可能エネルギー供給量]"</formula>
    </cfRule>
    <cfRule type="expression" dxfId="608" priority="414" stopIfTrue="1">
      <formula>#REF!="Ⅱ[エネルギー使用量差]"</formula>
    </cfRule>
  </conditionalFormatting>
  <conditionalFormatting sqref="E23:E32">
    <cfRule type="expression" dxfId="607" priority="411" stopIfTrue="1">
      <formula>#REF!="Ⅲ[再生可能エネルギー供給量]"</formula>
    </cfRule>
    <cfRule type="expression" dxfId="606" priority="412" stopIfTrue="1">
      <formula>#REF!="Ⅱ[エネルギー使用量差]"</formula>
    </cfRule>
  </conditionalFormatting>
  <conditionalFormatting sqref="S33:X33 X23:X32">
    <cfRule type="dataBar" priority="410">
      <dataBar>
        <cfvo type="percent" val="&quot;S13/S$109&quot;"/>
        <cfvo type="percent" val="&quot;S13/S$109&quot;"/>
        <color rgb="FF638EC6"/>
      </dataBar>
      <extLst>
        <ext xmlns:x14="http://schemas.microsoft.com/office/spreadsheetml/2009/9/main" uri="{B025F937-C7B1-47D3-B67F-A62EFF666E3E}">
          <x14:id>{54E6D6A2-54AB-498D-9AA3-12D482B63A85}</x14:id>
        </ext>
      </extLst>
    </cfRule>
  </conditionalFormatting>
  <conditionalFormatting sqref="B23:B30">
    <cfRule type="expression" dxfId="605" priority="408" stopIfTrue="1">
      <formula>#REF!="Ⅲ[再生可能エネルギー供給量]"</formula>
    </cfRule>
    <cfRule type="expression" dxfId="604" priority="409" stopIfTrue="1">
      <formula>#REF!="Ⅱ[エネルギー使用量差]"</formula>
    </cfRule>
  </conditionalFormatting>
  <conditionalFormatting sqref="S23:S32">
    <cfRule type="dataBar" priority="407">
      <dataBar>
        <cfvo type="num" val="0"/>
        <cfvo type="num" val="$S$156"/>
        <color rgb="FF638EC6"/>
      </dataBar>
      <extLst>
        <ext xmlns:x14="http://schemas.microsoft.com/office/spreadsheetml/2009/9/main" uri="{B025F937-C7B1-47D3-B67F-A62EFF666E3E}">
          <x14:id>{D97CF928-383D-4A29-83B9-BDF90EFD4EDE}</x14:id>
        </ext>
      </extLst>
    </cfRule>
  </conditionalFormatting>
  <conditionalFormatting sqref="T23:T32">
    <cfRule type="dataBar" priority="406">
      <dataBar>
        <cfvo type="num" val="0"/>
        <cfvo type="num" val="$T$156"/>
        <color rgb="FF638EC6"/>
      </dataBar>
      <extLst>
        <ext xmlns:x14="http://schemas.microsoft.com/office/spreadsheetml/2009/9/main" uri="{B025F937-C7B1-47D3-B67F-A62EFF666E3E}">
          <x14:id>{A5496A91-BAE0-482C-B0A4-C9A8E9095B9A}</x14:id>
        </ext>
      </extLst>
    </cfRule>
  </conditionalFormatting>
  <conditionalFormatting sqref="U23:U32">
    <cfRule type="dataBar" priority="405">
      <dataBar>
        <cfvo type="num" val="0"/>
        <cfvo type="num" val="$U$156"/>
        <color rgb="FF638EC6"/>
      </dataBar>
      <extLst>
        <ext xmlns:x14="http://schemas.microsoft.com/office/spreadsheetml/2009/9/main" uri="{B025F937-C7B1-47D3-B67F-A62EFF666E3E}">
          <x14:id>{7A78CC03-AB29-436E-84B2-72D174EBE483}</x14:id>
        </ext>
      </extLst>
    </cfRule>
  </conditionalFormatting>
  <conditionalFormatting sqref="V23:V32">
    <cfRule type="dataBar" priority="404">
      <dataBar>
        <cfvo type="num" val="0"/>
        <cfvo type="num" val="$V$156"/>
        <color rgb="FF638EC6"/>
      </dataBar>
      <extLst>
        <ext xmlns:x14="http://schemas.microsoft.com/office/spreadsheetml/2009/9/main" uri="{B025F937-C7B1-47D3-B67F-A62EFF666E3E}">
          <x14:id>{8BE0AE78-86F5-4958-ABA7-686DF5D1D416}</x14:id>
        </ext>
      </extLst>
    </cfRule>
  </conditionalFormatting>
  <conditionalFormatting sqref="W23:W32">
    <cfRule type="dataBar" priority="403">
      <dataBar>
        <cfvo type="num" val="0"/>
        <cfvo type="num" val="$W$156"/>
        <color rgb="FF638EC6"/>
      </dataBar>
      <extLst>
        <ext xmlns:x14="http://schemas.microsoft.com/office/spreadsheetml/2009/9/main" uri="{B025F937-C7B1-47D3-B67F-A62EFF666E3E}">
          <x14:id>{E8A2DB12-C4CB-483D-B1EC-0941F443D25E}</x14:id>
        </ext>
      </extLst>
    </cfRule>
  </conditionalFormatting>
  <conditionalFormatting sqref="B31:B32">
    <cfRule type="expression" dxfId="603" priority="401" stopIfTrue="1">
      <formula>#REF!="Ⅲ[再生可能エネルギー供給量]"</formula>
    </cfRule>
    <cfRule type="expression" dxfId="602" priority="402" stopIfTrue="1">
      <formula>#REF!="Ⅱ[エネルギー使用量差]"</formula>
    </cfRule>
  </conditionalFormatting>
  <conditionalFormatting sqref="B21:E21 L21:AD21 B22:AD22 B23:X33 AE21:AF33 AE60:AF60 AE37:AF37 AE55:AF55 AE64:AF64">
    <cfRule type="expression" dxfId="601" priority="400">
      <formula>$J$5="No"</formula>
    </cfRule>
  </conditionalFormatting>
  <conditionalFormatting sqref="Q50:Q53 Q37:R48 B37:E38 B53:E54 B39 E39 B50:B52">
    <cfRule type="expression" dxfId="600" priority="398" stopIfTrue="1">
      <formula>#REF!="Ⅲ[再生可能エネルギー供給量]"</formula>
    </cfRule>
    <cfRule type="expression" dxfId="599" priority="399" stopIfTrue="1">
      <formula>#REF!="Ⅱ[エネルギー使用量差]"</formula>
    </cfRule>
  </conditionalFormatting>
  <conditionalFormatting sqref="R50:R52">
    <cfRule type="expression" dxfId="598" priority="396" stopIfTrue="1">
      <formula>#REF!="Ⅲ[再生可能エネルギー供給量]"</formula>
    </cfRule>
    <cfRule type="expression" dxfId="597" priority="397" stopIfTrue="1">
      <formula>#REF!="Ⅱ[エネルギー使用量差]"</formula>
    </cfRule>
  </conditionalFormatting>
  <conditionalFormatting sqref="R53">
    <cfRule type="expression" dxfId="596" priority="394" stopIfTrue="1">
      <formula>#REF!="Ⅲ[再生可能エネルギー供給量]"</formula>
    </cfRule>
    <cfRule type="expression" dxfId="595" priority="395" stopIfTrue="1">
      <formula>#REF!="Ⅱ[エネルギー使用量差]"</formula>
    </cfRule>
  </conditionalFormatting>
  <conditionalFormatting sqref="D50:D52">
    <cfRule type="expression" dxfId="594" priority="392" stopIfTrue="1">
      <formula>#REF!="Ⅲ[再生可能エネルギー供給量]"</formula>
    </cfRule>
    <cfRule type="expression" dxfId="593" priority="393" stopIfTrue="1">
      <formula>#REF!="Ⅱ[エネルギー使用量差]"</formula>
    </cfRule>
  </conditionalFormatting>
  <conditionalFormatting sqref="E50:E52">
    <cfRule type="expression" dxfId="592" priority="390" stopIfTrue="1">
      <formula>#REF!="Ⅲ[再生可能エネルギー供給量]"</formula>
    </cfRule>
    <cfRule type="expression" dxfId="591" priority="391" stopIfTrue="1">
      <formula>#REF!="Ⅱ[エネルギー使用量差]"</formula>
    </cfRule>
  </conditionalFormatting>
  <conditionalFormatting sqref="N51">
    <cfRule type="expression" dxfId="590" priority="386" stopIfTrue="1">
      <formula>#REF!="Ⅲ[再生可能エネルギー供給量]"</formula>
    </cfRule>
    <cfRule type="expression" dxfId="589" priority="387" stopIfTrue="1">
      <formula>#REF!="Ⅱ[エネルギー使用量差]"</formula>
    </cfRule>
  </conditionalFormatting>
  <conditionalFormatting sqref="N52">
    <cfRule type="expression" dxfId="588" priority="388" stopIfTrue="1">
      <formula>#REF!="Ⅲ[再生可能エネルギー供給量]"</formula>
    </cfRule>
    <cfRule type="expression" dxfId="587" priority="389" stopIfTrue="1">
      <formula>#REF!="Ⅱ[エネルギー使用量差]"</formula>
    </cfRule>
  </conditionalFormatting>
  <conditionalFormatting sqref="N50">
    <cfRule type="expression" dxfId="586" priority="384" stopIfTrue="1">
      <formula>#REF!="Ⅲ[再生可能エネルギー供給量]"</formula>
    </cfRule>
    <cfRule type="expression" dxfId="585" priority="385" stopIfTrue="1">
      <formula>#REF!="Ⅱ[エネルギー使用量差]"</formula>
    </cfRule>
  </conditionalFormatting>
  <conditionalFormatting sqref="B55:E56">
    <cfRule type="expression" dxfId="584" priority="382" stopIfTrue="1">
      <formula>#REF!="Ⅲ[再生可能エネルギー供給量]"</formula>
    </cfRule>
    <cfRule type="expression" dxfId="583" priority="383" stopIfTrue="1">
      <formula>#REF!="Ⅱ[エネルギー使用量差]"</formula>
    </cfRule>
  </conditionalFormatting>
  <conditionalFormatting sqref="Q55">
    <cfRule type="expression" dxfId="582" priority="380" stopIfTrue="1">
      <formula>#REF!="Ⅲ[再生可能エネルギー供給量]"</formula>
    </cfRule>
    <cfRule type="expression" dxfId="581" priority="381" stopIfTrue="1">
      <formula>#REF!="Ⅱ[エネルギー使用量差]"</formula>
    </cfRule>
  </conditionalFormatting>
  <conditionalFormatting sqref="Q60 B60:E60">
    <cfRule type="expression" dxfId="580" priority="378" stopIfTrue="1">
      <formula>#REF!="Ⅲ[再生可能エネルギー供給量]"</formula>
    </cfRule>
    <cfRule type="expression" dxfId="579" priority="379" stopIfTrue="1">
      <formula>#REF!="Ⅱ[エネルギー使用量差]"</formula>
    </cfRule>
  </conditionalFormatting>
  <conditionalFormatting sqref="R60">
    <cfRule type="expression" dxfId="578" priority="376" stopIfTrue="1">
      <formula>#REF!="Ⅲ[再生可能エネルギー供給量]"</formula>
    </cfRule>
    <cfRule type="expression" dxfId="577" priority="377" stopIfTrue="1">
      <formula>#REF!="Ⅱ[エネルギー使用量差]"</formula>
    </cfRule>
  </conditionalFormatting>
  <conditionalFormatting sqref="S60:X60 X57:X59">
    <cfRule type="dataBar" priority="375">
      <dataBar>
        <cfvo type="percent" val="&quot;S13/S$109&quot;"/>
        <cfvo type="percent" val="&quot;S13/S$109&quot;"/>
        <color rgb="FF638EC6"/>
      </dataBar>
      <extLst>
        <ext xmlns:x14="http://schemas.microsoft.com/office/spreadsheetml/2009/9/main" uri="{B025F937-C7B1-47D3-B67F-A62EFF666E3E}">
          <x14:id>{2F791D0D-83A1-42AA-A8CE-0D2F3A3D41F2}</x14:id>
        </ext>
      </extLst>
    </cfRule>
  </conditionalFormatting>
  <conditionalFormatting sqref="B57">
    <cfRule type="expression" dxfId="576" priority="373" stopIfTrue="1">
      <formula>#REF!="Ⅲ[再生可能エネルギー供給量]"</formula>
    </cfRule>
    <cfRule type="expression" dxfId="575" priority="374" stopIfTrue="1">
      <formula>#REF!="Ⅱ[エネルギー使用量差]"</formula>
    </cfRule>
  </conditionalFormatting>
  <conditionalFormatting sqref="E41:E48">
    <cfRule type="expression" dxfId="574" priority="371" stopIfTrue="1">
      <formula>#REF!="Ⅲ[再生可能エネルギー供給量]"</formula>
    </cfRule>
    <cfRule type="expression" dxfId="573" priority="372" stopIfTrue="1">
      <formula>#REF!="Ⅱ[エネルギー使用量差]"</formula>
    </cfRule>
  </conditionalFormatting>
  <conditionalFormatting sqref="E40">
    <cfRule type="expression" dxfId="572" priority="369" stopIfTrue="1">
      <formula>#REF!="Ⅲ[再生可能エネルギー供給量]"</formula>
    </cfRule>
    <cfRule type="expression" dxfId="571" priority="370" stopIfTrue="1">
      <formula>#REF!="Ⅱ[エネルギー使用量差]"</formula>
    </cfRule>
  </conditionalFormatting>
  <conditionalFormatting sqref="B40:B49">
    <cfRule type="expression" dxfId="570" priority="367" stopIfTrue="1">
      <formula>#REF!="Ⅲ[再生可能エネルギー供給量]"</formula>
    </cfRule>
    <cfRule type="expression" dxfId="569" priority="368" stopIfTrue="1">
      <formula>#REF!="Ⅱ[エネルギー使用量差]"</formula>
    </cfRule>
  </conditionalFormatting>
  <conditionalFormatting sqref="S39:S52">
    <cfRule type="dataBar" priority="366">
      <dataBar>
        <cfvo type="num" val="0"/>
        <cfvo type="num" val="$S$156"/>
        <color rgb="FF638EC6"/>
      </dataBar>
      <extLst>
        <ext xmlns:x14="http://schemas.microsoft.com/office/spreadsheetml/2009/9/main" uri="{B025F937-C7B1-47D3-B67F-A62EFF666E3E}">
          <x14:id>{700D7591-3ADF-49E9-ACD1-5550BE779F12}</x14:id>
        </ext>
      </extLst>
    </cfRule>
  </conditionalFormatting>
  <conditionalFormatting sqref="T39:T52">
    <cfRule type="dataBar" priority="365">
      <dataBar>
        <cfvo type="num" val="0"/>
        <cfvo type="num" val="$T$156"/>
        <color rgb="FF638EC6"/>
      </dataBar>
      <extLst>
        <ext xmlns:x14="http://schemas.microsoft.com/office/spreadsheetml/2009/9/main" uri="{B025F937-C7B1-47D3-B67F-A62EFF666E3E}">
          <x14:id>{7C89CFD3-DE77-42F1-8B39-73EDAC6911EA}</x14:id>
        </ext>
      </extLst>
    </cfRule>
  </conditionalFormatting>
  <conditionalFormatting sqref="U39:U52">
    <cfRule type="dataBar" priority="364">
      <dataBar>
        <cfvo type="num" val="0"/>
        <cfvo type="num" val="$U$156"/>
        <color rgb="FF638EC6"/>
      </dataBar>
      <extLst>
        <ext xmlns:x14="http://schemas.microsoft.com/office/spreadsheetml/2009/9/main" uri="{B025F937-C7B1-47D3-B67F-A62EFF666E3E}">
          <x14:id>{72762017-D5DD-4A61-9479-5FA843820F27}</x14:id>
        </ext>
      </extLst>
    </cfRule>
  </conditionalFormatting>
  <conditionalFormatting sqref="V39:V52">
    <cfRule type="dataBar" priority="363">
      <dataBar>
        <cfvo type="num" val="0"/>
        <cfvo type="num" val="$V$156"/>
        <color rgb="FF638EC6"/>
      </dataBar>
      <extLst>
        <ext xmlns:x14="http://schemas.microsoft.com/office/spreadsheetml/2009/9/main" uri="{B025F937-C7B1-47D3-B67F-A62EFF666E3E}">
          <x14:id>{0B5B7E80-E48F-41A8-A5C2-6F00FF611629}</x14:id>
        </ext>
      </extLst>
    </cfRule>
  </conditionalFormatting>
  <conditionalFormatting sqref="W39:W52">
    <cfRule type="dataBar" priority="362">
      <dataBar>
        <cfvo type="num" val="0"/>
        <cfvo type="num" val="$W$156"/>
        <color rgb="FF638EC6"/>
      </dataBar>
      <extLst>
        <ext xmlns:x14="http://schemas.microsoft.com/office/spreadsheetml/2009/9/main" uri="{B025F937-C7B1-47D3-B67F-A62EFF666E3E}">
          <x14:id>{2428AA47-DEC5-4BE6-A7B3-65DFBE23B89F}</x14:id>
        </ext>
      </extLst>
    </cfRule>
  </conditionalFormatting>
  <conditionalFormatting sqref="B58:B59">
    <cfRule type="expression" dxfId="568" priority="360" stopIfTrue="1">
      <formula>#REF!="Ⅲ[再生可能エネルギー供給量]"</formula>
    </cfRule>
    <cfRule type="expression" dxfId="567" priority="361" stopIfTrue="1">
      <formula>#REF!="Ⅱ[エネルギー使用量差]"</formula>
    </cfRule>
  </conditionalFormatting>
  <conditionalFormatting sqref="B37:AD38 B54:AD56 B39:X53 B57:X60 AE37:AF60 AE77:AF77">
    <cfRule type="expression" dxfId="566" priority="359">
      <formula>$J$6="No"</formula>
    </cfRule>
  </conditionalFormatting>
  <conditionalFormatting sqref="B64:E65">
    <cfRule type="expression" dxfId="565" priority="357" stopIfTrue="1">
      <formula>#REF!="Ⅲ[再生可能エネルギー供給量]"</formula>
    </cfRule>
    <cfRule type="expression" dxfId="564" priority="358" stopIfTrue="1">
      <formula>#REF!="Ⅱ[エネルギー使用量差]"</formula>
    </cfRule>
  </conditionalFormatting>
  <conditionalFormatting sqref="Q64">
    <cfRule type="expression" dxfId="563" priority="355" stopIfTrue="1">
      <formula>#REF!="Ⅲ[再生可能エネルギー供給量]"</formula>
    </cfRule>
    <cfRule type="expression" dxfId="562" priority="356" stopIfTrue="1">
      <formula>#REF!="Ⅱ[エネルギー使用量差]"</formula>
    </cfRule>
  </conditionalFormatting>
  <conditionalFormatting sqref="Q71 B71:E71">
    <cfRule type="expression" dxfId="561" priority="353" stopIfTrue="1">
      <formula>#REF!="Ⅲ[再生可能エネルギー供給量]"</formula>
    </cfRule>
    <cfRule type="expression" dxfId="560" priority="354" stopIfTrue="1">
      <formula>#REF!="Ⅱ[エネルギー使用量差]"</formula>
    </cfRule>
  </conditionalFormatting>
  <conditionalFormatting sqref="R71">
    <cfRule type="expression" dxfId="559" priority="351" stopIfTrue="1">
      <formula>#REF!="Ⅲ[再生可能エネルギー供給量]"</formula>
    </cfRule>
    <cfRule type="expression" dxfId="558" priority="352" stopIfTrue="1">
      <formula>#REF!="Ⅱ[エネルギー使用量差]"</formula>
    </cfRule>
  </conditionalFormatting>
  <conditionalFormatting sqref="B66">
    <cfRule type="expression" dxfId="557" priority="349" stopIfTrue="1">
      <formula>#REF!="Ⅲ[再生可能エネルギー供給量]"</formula>
    </cfRule>
    <cfRule type="expression" dxfId="556" priority="350" stopIfTrue="1">
      <formula>#REF!="Ⅱ[エネルギー使用量差]"</formula>
    </cfRule>
  </conditionalFormatting>
  <conditionalFormatting sqref="E66:E70">
    <cfRule type="expression" dxfId="555" priority="347" stopIfTrue="1">
      <formula>#REF!="Ⅲ[再生可能エネルギー供給量]"</formula>
    </cfRule>
    <cfRule type="expression" dxfId="554" priority="348" stopIfTrue="1">
      <formula>#REF!="Ⅱ[エネルギー使用量差]"</formula>
    </cfRule>
  </conditionalFormatting>
  <conditionalFormatting sqref="S66:S70">
    <cfRule type="dataBar" priority="346">
      <dataBar>
        <cfvo type="num" val="0"/>
        <cfvo type="num" val="$S$156"/>
        <color rgb="FF638EC6"/>
      </dataBar>
      <extLst>
        <ext xmlns:x14="http://schemas.microsoft.com/office/spreadsheetml/2009/9/main" uri="{B025F937-C7B1-47D3-B67F-A62EFF666E3E}">
          <x14:id>{69110C70-43C2-4F6A-B91D-618BBFA44882}</x14:id>
        </ext>
      </extLst>
    </cfRule>
  </conditionalFormatting>
  <conditionalFormatting sqref="T66:T70">
    <cfRule type="dataBar" priority="345">
      <dataBar>
        <cfvo type="num" val="0"/>
        <cfvo type="num" val="$T$156"/>
        <color rgb="FF638EC6"/>
      </dataBar>
      <extLst>
        <ext xmlns:x14="http://schemas.microsoft.com/office/spreadsheetml/2009/9/main" uri="{B025F937-C7B1-47D3-B67F-A62EFF666E3E}">
          <x14:id>{34E51EB8-D90D-4DBE-BD8B-67DD6376BD1B}</x14:id>
        </ext>
      </extLst>
    </cfRule>
  </conditionalFormatting>
  <conditionalFormatting sqref="U66:U70">
    <cfRule type="dataBar" priority="344">
      <dataBar>
        <cfvo type="num" val="0"/>
        <cfvo type="num" val="$U$156"/>
        <color rgb="FF638EC6"/>
      </dataBar>
      <extLst>
        <ext xmlns:x14="http://schemas.microsoft.com/office/spreadsheetml/2009/9/main" uri="{B025F937-C7B1-47D3-B67F-A62EFF666E3E}">
          <x14:id>{21ECF1C6-ED3E-4AC9-AD03-EC9CDF21DE05}</x14:id>
        </ext>
      </extLst>
    </cfRule>
  </conditionalFormatting>
  <conditionalFormatting sqref="V66:V70">
    <cfRule type="dataBar" priority="343">
      <dataBar>
        <cfvo type="num" val="0"/>
        <cfvo type="num" val="$V$156"/>
        <color rgb="FF638EC6"/>
      </dataBar>
      <extLst>
        <ext xmlns:x14="http://schemas.microsoft.com/office/spreadsheetml/2009/9/main" uri="{B025F937-C7B1-47D3-B67F-A62EFF666E3E}">
          <x14:id>{99844DB7-3462-40B6-80CA-4F70766105D6}</x14:id>
        </ext>
      </extLst>
    </cfRule>
  </conditionalFormatting>
  <conditionalFormatting sqref="W66:W70">
    <cfRule type="dataBar" priority="342">
      <dataBar>
        <cfvo type="num" val="0"/>
        <cfvo type="num" val="$W$156"/>
        <color rgb="FF638EC6"/>
      </dataBar>
      <extLst>
        <ext xmlns:x14="http://schemas.microsoft.com/office/spreadsheetml/2009/9/main" uri="{B025F937-C7B1-47D3-B67F-A62EFF666E3E}">
          <x14:id>{FB3F67FC-E228-4C4F-A209-E46714EF6CF6}</x14:id>
        </ext>
      </extLst>
    </cfRule>
  </conditionalFormatting>
  <conditionalFormatting sqref="B67:B70">
    <cfRule type="expression" dxfId="553" priority="340" stopIfTrue="1">
      <formula>#REF!="Ⅲ[再生可能エネルギー供給量]"</formula>
    </cfRule>
    <cfRule type="expression" dxfId="552" priority="341" stopIfTrue="1">
      <formula>#REF!="Ⅱ[エネルギー使用量差]"</formula>
    </cfRule>
  </conditionalFormatting>
  <conditionalFormatting sqref="B64:E64 L64:AD64 B65:AD65 B66:X71 AE64:AF71">
    <cfRule type="expression" dxfId="551" priority="339">
      <formula>$J$7="No"</formula>
    </cfRule>
  </conditionalFormatting>
  <conditionalFormatting sqref="B75:C75 E75:E76">
    <cfRule type="expression" dxfId="550" priority="337" stopIfTrue="1">
      <formula>#REF!="Ⅲ[再生可能エネルギー供給量]"</formula>
    </cfRule>
    <cfRule type="expression" dxfId="549" priority="338" stopIfTrue="1">
      <formula>#REF!="Ⅱ[エネルギー使用量差]"</formula>
    </cfRule>
  </conditionalFormatting>
  <conditionalFormatting sqref="B88:E88">
    <cfRule type="expression" dxfId="548" priority="334" stopIfTrue="1">
      <formula>#REF!="Ⅲ[再生可能エネルギー供給量]"</formula>
    </cfRule>
    <cfRule type="expression" dxfId="547" priority="336" stopIfTrue="1">
      <formula>#REF!="Ⅱ[エネルギー使用量差]"</formula>
    </cfRule>
  </conditionalFormatting>
  <conditionalFormatting sqref="D79:J87">
    <cfRule type="expression" dxfId="546" priority="335">
      <formula>$B$78=燃料法</formula>
    </cfRule>
  </conditionalFormatting>
  <conditionalFormatting sqref="D77:J78 D83:J87 X77 S83:X83 AE83:AF83 AE77:AF77">
    <cfRule type="expression" dxfId="545" priority="332">
      <formula>$B$78="燃費法"</formula>
    </cfRule>
  </conditionalFormatting>
  <conditionalFormatting sqref="D77:J82">
    <cfRule type="expression" dxfId="544" priority="333">
      <formula>$B$78="改良トンキロ法"</formula>
    </cfRule>
  </conditionalFormatting>
  <conditionalFormatting sqref="D79:J87">
    <cfRule type="expression" dxfId="543" priority="331">
      <formula>$B$78="燃料法"</formula>
    </cfRule>
  </conditionalFormatting>
  <conditionalFormatting sqref="Q78:Q79">
    <cfRule type="expression" dxfId="542" priority="321">
      <formula>$B$78="改良トンキロ法"</formula>
    </cfRule>
  </conditionalFormatting>
  <conditionalFormatting sqref="R78">
    <cfRule type="expression" dxfId="541" priority="320">
      <formula>$B$78="改良トンキロ法"</formula>
    </cfRule>
  </conditionalFormatting>
  <conditionalFormatting sqref="Q75">
    <cfRule type="expression" dxfId="540" priority="329" stopIfTrue="1">
      <formula>#REF!="Ⅲ[再生可能エネルギー供給量]"</formula>
    </cfRule>
    <cfRule type="expression" dxfId="539" priority="330" stopIfTrue="1">
      <formula>#REF!="Ⅱ[エネルギー使用量差]"</formula>
    </cfRule>
  </conditionalFormatting>
  <conditionalFormatting sqref="Q88">
    <cfRule type="expression" dxfId="538" priority="327" stopIfTrue="1">
      <formula>#REF!="Ⅲ[再生可能エネルギー供給量]"</formula>
    </cfRule>
    <cfRule type="expression" dxfId="537" priority="328" stopIfTrue="1">
      <formula>#REF!="Ⅱ[エネルギー使用量差]"</formula>
    </cfRule>
  </conditionalFormatting>
  <conditionalFormatting sqref="Q83">
    <cfRule type="expression" dxfId="536" priority="326">
      <formula>$B$78="燃費法"</formula>
    </cfRule>
  </conditionalFormatting>
  <conditionalFormatting sqref="Q83">
    <cfRule type="expression" dxfId="535" priority="325">
      <formula>$B$78="燃料法"</formula>
    </cfRule>
  </conditionalFormatting>
  <conditionalFormatting sqref="Q80:Q82">
    <cfRule type="expression" dxfId="534" priority="324">
      <formula>$B$78="燃料法"</formula>
    </cfRule>
  </conditionalFormatting>
  <conditionalFormatting sqref="Q77">
    <cfRule type="expression" dxfId="533" priority="322">
      <formula>$B$78="燃費法"</formula>
    </cfRule>
  </conditionalFormatting>
  <conditionalFormatting sqref="Q77">
    <cfRule type="expression" dxfId="532" priority="323">
      <formula>$B$78="改良トンキロ法"</formula>
    </cfRule>
  </conditionalFormatting>
  <conditionalFormatting sqref="S83">
    <cfRule type="dataBar" priority="319">
      <dataBar>
        <cfvo type="num" val="0"/>
        <cfvo type="num" val="$S$156"/>
        <color rgb="FF638EC6"/>
      </dataBar>
      <extLst>
        <ext xmlns:x14="http://schemas.microsoft.com/office/spreadsheetml/2009/9/main" uri="{B025F937-C7B1-47D3-B67F-A62EFF666E3E}">
          <x14:id>{D02FAC2D-7EAD-40CA-915F-FE610FF3CFE7}</x14:id>
        </ext>
      </extLst>
    </cfRule>
  </conditionalFormatting>
  <conditionalFormatting sqref="T83">
    <cfRule type="dataBar" priority="318">
      <dataBar>
        <cfvo type="num" val="0"/>
        <cfvo type="num" val="$T$156"/>
        <color rgb="FF638EC6"/>
      </dataBar>
      <extLst>
        <ext xmlns:x14="http://schemas.microsoft.com/office/spreadsheetml/2009/9/main" uri="{B025F937-C7B1-47D3-B67F-A62EFF666E3E}">
          <x14:id>{76F67DD5-3D39-4CEF-8994-C09414427712}</x14:id>
        </ext>
      </extLst>
    </cfRule>
  </conditionalFormatting>
  <conditionalFormatting sqref="U83">
    <cfRule type="dataBar" priority="317">
      <dataBar>
        <cfvo type="num" val="0"/>
        <cfvo type="num" val="$U$156"/>
        <color rgb="FF638EC6"/>
      </dataBar>
      <extLst>
        <ext xmlns:x14="http://schemas.microsoft.com/office/spreadsheetml/2009/9/main" uri="{B025F937-C7B1-47D3-B67F-A62EFF666E3E}">
          <x14:id>{3841C54B-076D-4130-AC95-4DF419E55694}</x14:id>
        </ext>
      </extLst>
    </cfRule>
  </conditionalFormatting>
  <conditionalFormatting sqref="V83">
    <cfRule type="dataBar" priority="316">
      <dataBar>
        <cfvo type="num" val="0"/>
        <cfvo type="num" val="$V$156"/>
        <color rgb="FF638EC6"/>
      </dataBar>
      <extLst>
        <ext xmlns:x14="http://schemas.microsoft.com/office/spreadsheetml/2009/9/main" uri="{B025F937-C7B1-47D3-B67F-A62EFF666E3E}">
          <x14:id>{07B6BEAB-83D1-4256-824D-916DF094BAE8}</x14:id>
        </ext>
      </extLst>
    </cfRule>
  </conditionalFormatting>
  <conditionalFormatting sqref="W79">
    <cfRule type="dataBar" priority="315">
      <dataBar>
        <cfvo type="num" val="0"/>
        <cfvo type="num" val="$W$156"/>
        <color rgb="FF638EC6"/>
      </dataBar>
      <extLst>
        <ext xmlns:x14="http://schemas.microsoft.com/office/spreadsheetml/2009/9/main" uri="{B025F937-C7B1-47D3-B67F-A62EFF666E3E}">
          <x14:id>{B37C74A7-507D-40AE-BDC5-ADAA6B00EBC7}</x14:id>
        </ext>
      </extLst>
    </cfRule>
  </conditionalFormatting>
  <conditionalFormatting sqref="S77:W77">
    <cfRule type="expression" dxfId="531" priority="313">
      <formula>$B$78="燃費法"</formula>
    </cfRule>
  </conditionalFormatting>
  <conditionalFormatting sqref="S77:W79">
    <cfRule type="expression" dxfId="530" priority="314">
      <formula>$B$78="改良トンキロ法"</formula>
    </cfRule>
  </conditionalFormatting>
  <conditionalFormatting sqref="S79:W83">
    <cfRule type="expression" dxfId="529" priority="312">
      <formula>$B$78="燃料法"</formula>
    </cfRule>
  </conditionalFormatting>
  <conditionalFormatting sqref="S79">
    <cfRule type="dataBar" priority="311">
      <dataBar>
        <cfvo type="num" val="0"/>
        <cfvo type="num" val="$S$156"/>
        <color rgb="FF638EC6"/>
      </dataBar>
      <extLst>
        <ext xmlns:x14="http://schemas.microsoft.com/office/spreadsheetml/2009/9/main" uri="{B025F937-C7B1-47D3-B67F-A62EFF666E3E}">
          <x14:id>{9B4557DA-50A0-4AFB-B9B9-F26A924BC0C0}</x14:id>
        </ext>
      </extLst>
    </cfRule>
  </conditionalFormatting>
  <conditionalFormatting sqref="T79">
    <cfRule type="dataBar" priority="310">
      <dataBar>
        <cfvo type="num" val="0"/>
        <cfvo type="num" val="$T$156"/>
        <color rgb="FF638EC6"/>
      </dataBar>
      <extLst>
        <ext xmlns:x14="http://schemas.microsoft.com/office/spreadsheetml/2009/9/main" uri="{B025F937-C7B1-47D3-B67F-A62EFF666E3E}">
          <x14:id>{84657294-9CED-450C-91C3-F8C5CB5750CB}</x14:id>
        </ext>
      </extLst>
    </cfRule>
  </conditionalFormatting>
  <conditionalFormatting sqref="U77">
    <cfRule type="dataBar" priority="309">
      <dataBar>
        <cfvo type="num" val="0"/>
        <cfvo type="num" val="$U$156"/>
        <color rgb="FF638EC6"/>
      </dataBar>
      <extLst>
        <ext xmlns:x14="http://schemas.microsoft.com/office/spreadsheetml/2009/9/main" uri="{B025F937-C7B1-47D3-B67F-A62EFF666E3E}">
          <x14:id>{4B439899-5EF4-4582-80B8-8A196028E9F7}</x14:id>
        </ext>
      </extLst>
    </cfRule>
  </conditionalFormatting>
  <conditionalFormatting sqref="V77">
    <cfRule type="dataBar" priority="308">
      <dataBar>
        <cfvo type="num" val="0"/>
        <cfvo type="num" val="$V$156"/>
        <color rgb="FF638EC6"/>
      </dataBar>
      <extLst>
        <ext xmlns:x14="http://schemas.microsoft.com/office/spreadsheetml/2009/9/main" uri="{B025F937-C7B1-47D3-B67F-A62EFF666E3E}">
          <x14:id>{301EADE6-7A41-49F8-B660-8B97792B35D8}</x14:id>
        </ext>
      </extLst>
    </cfRule>
  </conditionalFormatting>
  <conditionalFormatting sqref="W77">
    <cfRule type="dataBar" priority="307">
      <dataBar>
        <cfvo type="num" val="0"/>
        <cfvo type="num" val="$W$156"/>
        <color rgb="FF638EC6"/>
      </dataBar>
      <extLst>
        <ext xmlns:x14="http://schemas.microsoft.com/office/spreadsheetml/2009/9/main" uri="{B025F937-C7B1-47D3-B67F-A62EFF666E3E}">
          <x14:id>{45F067C6-D396-4B70-B642-0C5B28F01C51}</x14:id>
        </ext>
      </extLst>
    </cfRule>
  </conditionalFormatting>
  <conditionalFormatting sqref="B75:E75 B76:AD76 B77:X88 AE75:AF88 L75:AF75 AE92:AF92">
    <cfRule type="expression" dxfId="528" priority="306">
      <formula>$J$8="No"</formula>
    </cfRule>
  </conditionalFormatting>
  <conditionalFormatting sqref="B92:E93">
    <cfRule type="expression" dxfId="527" priority="304" stopIfTrue="1">
      <formula>#REF!="Ⅲ[再生可能エネルギー供給量]"</formula>
    </cfRule>
    <cfRule type="expression" dxfId="526" priority="305" stopIfTrue="1">
      <formula>#REF!="Ⅱ[エネルギー使用量差]"</formula>
    </cfRule>
  </conditionalFormatting>
  <conditionalFormatting sqref="Q92">
    <cfRule type="expression" dxfId="525" priority="302" stopIfTrue="1">
      <formula>#REF!="Ⅲ[再生可能エネルギー供給量]"</formula>
    </cfRule>
    <cfRule type="expression" dxfId="524" priority="303" stopIfTrue="1">
      <formula>#REF!="Ⅱ[エネルギー使用量差]"</formula>
    </cfRule>
  </conditionalFormatting>
  <conditionalFormatting sqref="R98">
    <cfRule type="expression" dxfId="523" priority="298" stopIfTrue="1">
      <formula>#REF!="Ⅲ[再生可能エネルギー供給量]"</formula>
    </cfRule>
    <cfRule type="expression" dxfId="522" priority="299" stopIfTrue="1">
      <formula>#REF!="Ⅱ[エネルギー使用量差]"</formula>
    </cfRule>
  </conditionalFormatting>
  <conditionalFormatting sqref="Q98">
    <cfRule type="expression" dxfId="521" priority="300" stopIfTrue="1">
      <formula>#REF!="Ⅲ[再生可能エネルギー供給量]"</formula>
    </cfRule>
    <cfRule type="expression" dxfId="520" priority="301" stopIfTrue="1">
      <formula>#REF!="Ⅱ[エネルギー使用量差]"</formula>
    </cfRule>
  </conditionalFormatting>
  <conditionalFormatting sqref="S94:S97">
    <cfRule type="dataBar" priority="297">
      <dataBar>
        <cfvo type="num" val="0"/>
        <cfvo type="num" val="$S$156"/>
        <color rgb="FF638EC6"/>
      </dataBar>
      <extLst>
        <ext xmlns:x14="http://schemas.microsoft.com/office/spreadsheetml/2009/9/main" uri="{B025F937-C7B1-47D3-B67F-A62EFF666E3E}">
          <x14:id>{488283B9-4727-4657-AFA2-B4E31B31D49D}</x14:id>
        </ext>
      </extLst>
    </cfRule>
  </conditionalFormatting>
  <conditionalFormatting sqref="T94:T97">
    <cfRule type="dataBar" priority="296">
      <dataBar>
        <cfvo type="num" val="0"/>
        <cfvo type="num" val="$T$156"/>
        <color rgb="FF638EC6"/>
      </dataBar>
      <extLst>
        <ext xmlns:x14="http://schemas.microsoft.com/office/spreadsheetml/2009/9/main" uri="{B025F937-C7B1-47D3-B67F-A62EFF666E3E}">
          <x14:id>{54A6729C-94EB-47D9-9F8C-FC69CAC11C9F}</x14:id>
        </ext>
      </extLst>
    </cfRule>
  </conditionalFormatting>
  <conditionalFormatting sqref="U94:U97">
    <cfRule type="dataBar" priority="295">
      <dataBar>
        <cfvo type="num" val="0"/>
        <cfvo type="num" val="$U$156"/>
        <color rgb="FF638EC6"/>
      </dataBar>
      <extLst>
        <ext xmlns:x14="http://schemas.microsoft.com/office/spreadsheetml/2009/9/main" uri="{B025F937-C7B1-47D3-B67F-A62EFF666E3E}">
          <x14:id>{9B863ED3-A9B1-4601-A546-00EE875EE59F}</x14:id>
        </ext>
      </extLst>
    </cfRule>
  </conditionalFormatting>
  <conditionalFormatting sqref="V94:V97">
    <cfRule type="dataBar" priority="294">
      <dataBar>
        <cfvo type="num" val="0"/>
        <cfvo type="num" val="$V$156"/>
        <color rgb="FF638EC6"/>
      </dataBar>
      <extLst>
        <ext xmlns:x14="http://schemas.microsoft.com/office/spreadsheetml/2009/9/main" uri="{B025F937-C7B1-47D3-B67F-A62EFF666E3E}">
          <x14:id>{77014E93-7820-49A4-B41F-5F674904F1CE}</x14:id>
        </ext>
      </extLst>
    </cfRule>
  </conditionalFormatting>
  <conditionalFormatting sqref="W94:W97">
    <cfRule type="dataBar" priority="293">
      <dataBar>
        <cfvo type="num" val="0"/>
        <cfvo type="num" val="$W$156"/>
        <color rgb="FF638EC6"/>
      </dataBar>
      <extLst>
        <ext xmlns:x14="http://schemas.microsoft.com/office/spreadsheetml/2009/9/main" uri="{B025F937-C7B1-47D3-B67F-A62EFF666E3E}">
          <x14:id>{8F622F00-36E2-41FC-9C81-7AA1EFAEBCD1}</x14:id>
        </ext>
      </extLst>
    </cfRule>
  </conditionalFormatting>
  <conditionalFormatting sqref="B92:E92 L92:AD92 B93:AD93 B94:X98 AE92:AF98 AE104:AF106">
    <cfRule type="expression" dxfId="519" priority="292">
      <formula>$J$9="No"</formula>
    </cfRule>
  </conditionalFormatting>
  <conditionalFormatting sqref="B102:E103">
    <cfRule type="expression" dxfId="518" priority="290" stopIfTrue="1">
      <formula>#REF!="Ⅲ[再生可能エネルギー供給量]"</formula>
    </cfRule>
    <cfRule type="expression" dxfId="517" priority="291" stopIfTrue="1">
      <formula>#REF!="Ⅱ[エネルギー使用量差]"</formula>
    </cfRule>
  </conditionalFormatting>
  <conditionalFormatting sqref="Q102">
    <cfRule type="expression" dxfId="516" priority="288" stopIfTrue="1">
      <formula>#REF!="Ⅲ[再生可能エネルギー供給量]"</formula>
    </cfRule>
    <cfRule type="expression" dxfId="515" priority="289" stopIfTrue="1">
      <formula>#REF!="Ⅱ[エネルギー使用量差]"</formula>
    </cfRule>
  </conditionalFormatting>
  <conditionalFormatting sqref="R107">
    <cfRule type="expression" dxfId="514" priority="284" stopIfTrue="1">
      <formula>#REF!="Ⅲ[再生可能エネルギー供給量]"</formula>
    </cfRule>
    <cfRule type="expression" dxfId="513" priority="285" stopIfTrue="1">
      <formula>#REF!="Ⅱ[エネルギー使用量差]"</formula>
    </cfRule>
  </conditionalFormatting>
  <conditionalFormatting sqref="Q107">
    <cfRule type="expression" dxfId="512" priority="286" stopIfTrue="1">
      <formula>#REF!="Ⅲ[再生可能エネルギー供給量]"</formula>
    </cfRule>
    <cfRule type="expression" dxfId="511" priority="287" stopIfTrue="1">
      <formula>#REF!="Ⅱ[エネルギー使用量差]"</formula>
    </cfRule>
  </conditionalFormatting>
  <conditionalFormatting sqref="S104:S106">
    <cfRule type="dataBar" priority="283">
      <dataBar>
        <cfvo type="num" val="0"/>
        <cfvo type="num" val="$S$156"/>
        <color rgb="FF638EC6"/>
      </dataBar>
      <extLst>
        <ext xmlns:x14="http://schemas.microsoft.com/office/spreadsheetml/2009/9/main" uri="{B025F937-C7B1-47D3-B67F-A62EFF666E3E}">
          <x14:id>{81F5B3DB-A0A2-4381-89DA-C5A22CAAA36B}</x14:id>
        </ext>
      </extLst>
    </cfRule>
  </conditionalFormatting>
  <conditionalFormatting sqref="T104:T106">
    <cfRule type="dataBar" priority="282">
      <dataBar>
        <cfvo type="num" val="0"/>
        <cfvo type="num" val="$T$156"/>
        <color rgb="FF638EC6"/>
      </dataBar>
      <extLst>
        <ext xmlns:x14="http://schemas.microsoft.com/office/spreadsheetml/2009/9/main" uri="{B025F937-C7B1-47D3-B67F-A62EFF666E3E}">
          <x14:id>{9F146BE4-B731-4311-A206-E5AE38895925}</x14:id>
        </ext>
      </extLst>
    </cfRule>
  </conditionalFormatting>
  <conditionalFormatting sqref="U104:U106">
    <cfRule type="dataBar" priority="281">
      <dataBar>
        <cfvo type="num" val="0"/>
        <cfvo type="num" val="$U$156"/>
        <color rgb="FF638EC6"/>
      </dataBar>
      <extLst>
        <ext xmlns:x14="http://schemas.microsoft.com/office/spreadsheetml/2009/9/main" uri="{B025F937-C7B1-47D3-B67F-A62EFF666E3E}">
          <x14:id>{BC6BEC0A-DEDA-4040-B201-BBC87E56E5F0}</x14:id>
        </ext>
      </extLst>
    </cfRule>
  </conditionalFormatting>
  <conditionalFormatting sqref="V104:V106">
    <cfRule type="dataBar" priority="280">
      <dataBar>
        <cfvo type="num" val="0"/>
        <cfvo type="num" val="$V$156"/>
        <color rgb="FF638EC6"/>
      </dataBar>
      <extLst>
        <ext xmlns:x14="http://schemas.microsoft.com/office/spreadsheetml/2009/9/main" uri="{B025F937-C7B1-47D3-B67F-A62EFF666E3E}">
          <x14:id>{98893214-860D-40C9-9F71-1DA5E9DAAF87}</x14:id>
        </ext>
      </extLst>
    </cfRule>
  </conditionalFormatting>
  <conditionalFormatting sqref="W104:W106">
    <cfRule type="dataBar" priority="279">
      <dataBar>
        <cfvo type="num" val="0"/>
        <cfvo type="num" val="$W$156"/>
        <color rgb="FF638EC6"/>
      </dataBar>
      <extLst>
        <ext xmlns:x14="http://schemas.microsoft.com/office/spreadsheetml/2009/9/main" uri="{B025F937-C7B1-47D3-B67F-A62EFF666E3E}">
          <x14:id>{8862E54A-019D-4A1D-9FBD-A3877A00E398}</x14:id>
        </ext>
      </extLst>
    </cfRule>
  </conditionalFormatting>
  <conditionalFormatting sqref="B104">
    <cfRule type="expression" dxfId="510" priority="277" stopIfTrue="1">
      <formula>#REF!="Ⅲ[再生可能エネルギー供給量]"</formula>
    </cfRule>
    <cfRule type="expression" dxfId="509" priority="278" stopIfTrue="1">
      <formula>#REF!="Ⅱ[エネルギー使用量差]"</formula>
    </cfRule>
  </conditionalFormatting>
  <conditionalFormatting sqref="B105">
    <cfRule type="expression" dxfId="508" priority="275" stopIfTrue="1">
      <formula>#REF!="Ⅲ[再生可能エネルギー供給量]"</formula>
    </cfRule>
    <cfRule type="expression" dxfId="507" priority="276" stopIfTrue="1">
      <formula>#REF!="Ⅱ[エネルギー使用量差]"</formula>
    </cfRule>
  </conditionalFormatting>
  <conditionalFormatting sqref="B106">
    <cfRule type="expression" dxfId="506" priority="273" stopIfTrue="1">
      <formula>#REF!="Ⅲ[再生可能エネルギー供給量]"</formula>
    </cfRule>
    <cfRule type="expression" dxfId="505" priority="274" stopIfTrue="1">
      <formula>#REF!="Ⅱ[エネルギー使用量差]"</formula>
    </cfRule>
  </conditionalFormatting>
  <conditionalFormatting sqref="B102:E102 L102:AD102 B103:AD103 B104:X107 AE102:AF107">
    <cfRule type="expression" dxfId="504" priority="272">
      <formula>$J$10="No"</formula>
    </cfRule>
  </conditionalFormatting>
  <conditionalFormatting sqref="Q137">
    <cfRule type="expression" dxfId="503" priority="270" stopIfTrue="1">
      <formula>#REF!="Ⅲ[再生可能エネルギー供給量]"</formula>
    </cfRule>
    <cfRule type="expression" dxfId="502" priority="271" stopIfTrue="1">
      <formula>#REF!="Ⅱ[エネルギー使用量差]"</formula>
    </cfRule>
  </conditionalFormatting>
  <conditionalFormatting sqref="Q154">
    <cfRule type="expression" dxfId="501" priority="268" stopIfTrue="1">
      <formula>#REF!="Ⅲ[再生可能エネルギー供給量]"</formula>
    </cfRule>
    <cfRule type="expression" dxfId="500" priority="269" stopIfTrue="1">
      <formula>#REF!="Ⅱ[エネルギー使用量差]"</formula>
    </cfRule>
  </conditionalFormatting>
  <conditionalFormatting sqref="B137:C137 Y137:Z137 B138:D138 Y138:AA138">
    <cfRule type="expression" dxfId="499" priority="266" stopIfTrue="1">
      <formula>#REF!="Ⅲ[再生可能エネルギー供給量]"</formula>
    </cfRule>
    <cfRule type="expression" dxfId="498" priority="267" stopIfTrue="1">
      <formula>#REF!="Ⅱ[エネルギー使用量差]"</formula>
    </cfRule>
  </conditionalFormatting>
  <conditionalFormatting sqref="E138 AB138">
    <cfRule type="expression" dxfId="497" priority="264" stopIfTrue="1">
      <formula>#REF!="Ⅲ[再生可能エネルギー供給量]"</formula>
    </cfRule>
    <cfRule type="expression" dxfId="496" priority="265" stopIfTrue="1">
      <formula>#REF!="Ⅱ[エネルギー使用量差]"</formula>
    </cfRule>
  </conditionalFormatting>
  <conditionalFormatting sqref="C139:C141 Z139:Z141">
    <cfRule type="expression" dxfId="495" priority="263">
      <formula>$B$135="熱量配分"</formula>
    </cfRule>
  </conditionalFormatting>
  <conditionalFormatting sqref="D139:D141 AA139:AA141">
    <cfRule type="expression" dxfId="494" priority="262">
      <formula>$B$135="金額配分"</formula>
    </cfRule>
  </conditionalFormatting>
  <conditionalFormatting sqref="M139:O141">
    <cfRule type="expression" dxfId="493" priority="261">
      <formula>$B$135="代替"</formula>
    </cfRule>
  </conditionalFormatting>
  <conditionalFormatting sqref="E144 AB144 J144">
    <cfRule type="expression" dxfId="492" priority="259">
      <formula>$B$135="金額配分"</formula>
    </cfRule>
  </conditionalFormatting>
  <conditionalFormatting sqref="E139:E140">
    <cfRule type="expression" dxfId="491" priority="258">
      <formula>$B$135="体積配分"</formula>
    </cfRule>
  </conditionalFormatting>
  <conditionalFormatting sqref="B134:AF176">
    <cfRule type="expression" dxfId="490" priority="257">
      <formula>$J$11="No"</formula>
    </cfRule>
  </conditionalFormatting>
  <conditionalFormatting sqref="F21:K21">
    <cfRule type="expression" dxfId="489" priority="256">
      <formula>$J$5="No"</formula>
    </cfRule>
  </conditionalFormatting>
  <conditionalFormatting sqref="F64:K64">
    <cfRule type="expression" dxfId="488" priority="255">
      <formula>$J$6="No"</formula>
    </cfRule>
  </conditionalFormatting>
  <conditionalFormatting sqref="F75:K75">
    <cfRule type="expression" dxfId="487" priority="254">
      <formula>$J$6="No"</formula>
    </cfRule>
  </conditionalFormatting>
  <conditionalFormatting sqref="F92:K92">
    <cfRule type="expression" dxfId="486" priority="253">
      <formula>$J$6="No"</formula>
    </cfRule>
  </conditionalFormatting>
  <conditionalFormatting sqref="F102:K102">
    <cfRule type="expression" dxfId="485" priority="252">
      <formula>$J$6="No"</formula>
    </cfRule>
  </conditionalFormatting>
  <conditionalFormatting sqref="B31">
    <cfRule type="expression" dxfId="484" priority="250" stopIfTrue="1">
      <formula>#REF!="Ⅲ[再生可能エネルギー供給量]"</formula>
    </cfRule>
    <cfRule type="expression" dxfId="483" priority="251" stopIfTrue="1">
      <formula>#REF!="Ⅱ[エネルギー使用量差]"</formula>
    </cfRule>
  </conditionalFormatting>
  <conditionalFormatting sqref="AE79:AF79 AE83:AF83 AE104:AF106 AE127:AF129">
    <cfRule type="expression" dxfId="482" priority="159">
      <formula>IF(AE79=0,FALSE, IF(AE79&gt;0.01,FALSE,TRUE))</formula>
    </cfRule>
  </conditionalFormatting>
  <conditionalFormatting sqref="AE79:AF83">
    <cfRule type="expression" dxfId="481" priority="230">
      <formula>$B$78="燃料法"</formula>
    </cfRule>
  </conditionalFormatting>
  <conditionalFormatting sqref="Y23:AD33">
    <cfRule type="expression" dxfId="480" priority="90">
      <formula>$J$5="No"</formula>
    </cfRule>
  </conditionalFormatting>
  <conditionalFormatting sqref="AD24">
    <cfRule type="expression" dxfId="479" priority="89">
      <formula>IF(AD24=0,FALSE, IF(AD24&gt;0.01,FALSE,TRUE))</formula>
    </cfRule>
  </conditionalFormatting>
  <conditionalFormatting sqref="AD23">
    <cfRule type="expression" dxfId="478" priority="88">
      <formula>IF(AD23=0,FALSE, IF(AD23&gt;0.01,FALSE,TRUE))</formula>
    </cfRule>
  </conditionalFormatting>
  <conditionalFormatting sqref="AD25">
    <cfRule type="expression" dxfId="477" priority="87">
      <formula>IF(AD25=0,FALSE, IF(AD25&gt;0.01,FALSE,TRUE))</formula>
    </cfRule>
  </conditionalFormatting>
  <conditionalFormatting sqref="AD26">
    <cfRule type="expression" dxfId="476" priority="86">
      <formula>IF(AD26=0,FALSE, IF(AD26&gt;0.01,FALSE,TRUE))</formula>
    </cfRule>
  </conditionalFormatting>
  <conditionalFormatting sqref="AD27">
    <cfRule type="expression" dxfId="475" priority="85">
      <formula>IF(AD27=0,FALSE, IF(AD27&gt;0.01,FALSE,TRUE))</formula>
    </cfRule>
  </conditionalFormatting>
  <conditionalFormatting sqref="AD28">
    <cfRule type="expression" dxfId="474" priority="84">
      <formula>IF(AD28=0,FALSE, IF(AD28&gt;0.01,FALSE,TRUE))</formula>
    </cfRule>
  </conditionalFormatting>
  <conditionalFormatting sqref="AD29">
    <cfRule type="expression" dxfId="473" priority="83">
      <formula>IF(AD29=0,FALSE, IF(AD29&gt;0.01,FALSE,TRUE))</formula>
    </cfRule>
  </conditionalFormatting>
  <conditionalFormatting sqref="AD30">
    <cfRule type="expression" dxfId="472" priority="82">
      <formula>IF(AD30=0,FALSE, IF(AD30&gt;0.01,FALSE,TRUE))</formula>
    </cfRule>
  </conditionalFormatting>
  <conditionalFormatting sqref="AD31">
    <cfRule type="expression" dxfId="471" priority="81">
      <formula>IF(AD31=0,FALSE, IF(AD31&gt;0.01,FALSE,TRUE))</formula>
    </cfRule>
  </conditionalFormatting>
  <conditionalFormatting sqref="AD32">
    <cfRule type="expression" dxfId="470" priority="80">
      <formula>IF(AD32=0,FALSE, IF(AD32&gt;0.01,FALSE,TRUE))</formula>
    </cfRule>
  </conditionalFormatting>
  <conditionalFormatting sqref="Y39:AD53">
    <cfRule type="expression" dxfId="469" priority="79">
      <formula>$J$6="No"</formula>
    </cfRule>
  </conditionalFormatting>
  <conditionalFormatting sqref="AD39">
    <cfRule type="expression" dxfId="468" priority="78">
      <formula>$J$6="No"</formula>
    </cfRule>
  </conditionalFormatting>
  <conditionalFormatting sqref="AD39">
    <cfRule type="expression" dxfId="467" priority="77">
      <formula>IF(AD39=0,FALSE, IF(AD39&gt;0.01,FALSE,TRUE))</formula>
    </cfRule>
  </conditionalFormatting>
  <conditionalFormatting sqref="AD40">
    <cfRule type="expression" dxfId="466" priority="76">
      <formula>$J$6="No"</formula>
    </cfRule>
  </conditionalFormatting>
  <conditionalFormatting sqref="AD40">
    <cfRule type="expression" dxfId="465" priority="75">
      <formula>IF(AD40=0,FALSE, IF(AD40&gt;0.01,FALSE,TRUE))</formula>
    </cfRule>
  </conditionalFormatting>
  <conditionalFormatting sqref="AD41">
    <cfRule type="expression" dxfId="464" priority="74">
      <formula>$J$6="No"</formula>
    </cfRule>
  </conditionalFormatting>
  <conditionalFormatting sqref="AD41">
    <cfRule type="expression" dxfId="463" priority="73">
      <formula>IF(AD41=0,FALSE, IF(AD41&gt;0.01,FALSE,TRUE))</formula>
    </cfRule>
  </conditionalFormatting>
  <conditionalFormatting sqref="AD42">
    <cfRule type="expression" dxfId="462" priority="72">
      <formula>$J$6="No"</formula>
    </cfRule>
  </conditionalFormatting>
  <conditionalFormatting sqref="AD42">
    <cfRule type="expression" dxfId="461" priority="71">
      <formula>IF(AD42=0,FALSE, IF(AD42&gt;0.01,FALSE,TRUE))</formula>
    </cfRule>
  </conditionalFormatting>
  <conditionalFormatting sqref="AD43">
    <cfRule type="expression" dxfId="460" priority="70">
      <formula>$J$6="No"</formula>
    </cfRule>
  </conditionalFormatting>
  <conditionalFormatting sqref="AD43">
    <cfRule type="expression" dxfId="459" priority="69">
      <formula>IF(AD43=0,FALSE, IF(AD43&gt;0.01,FALSE,TRUE))</formula>
    </cfRule>
  </conditionalFormatting>
  <conditionalFormatting sqref="AD44">
    <cfRule type="expression" dxfId="458" priority="68">
      <formula>$J$6="No"</formula>
    </cfRule>
  </conditionalFormatting>
  <conditionalFormatting sqref="AD44">
    <cfRule type="expression" dxfId="457" priority="67">
      <formula>IF(AD44=0,FALSE, IF(AD44&gt;0.01,FALSE,TRUE))</formula>
    </cfRule>
  </conditionalFormatting>
  <conditionalFormatting sqref="AD45">
    <cfRule type="expression" dxfId="456" priority="66">
      <formula>$J$6="No"</formula>
    </cfRule>
  </conditionalFormatting>
  <conditionalFormatting sqref="AD45">
    <cfRule type="expression" dxfId="455" priority="65">
      <formula>IF(AD45=0,FALSE, IF(AD45&gt;0.01,FALSE,TRUE))</formula>
    </cfRule>
  </conditionalFormatting>
  <conditionalFormatting sqref="AD46">
    <cfRule type="expression" dxfId="454" priority="64">
      <formula>$J$6="No"</formula>
    </cfRule>
  </conditionalFormatting>
  <conditionalFormatting sqref="AD46">
    <cfRule type="expression" dxfId="453" priority="63">
      <formula>IF(AD46=0,FALSE, IF(AD46&gt;0.01,FALSE,TRUE))</formula>
    </cfRule>
  </conditionalFormatting>
  <conditionalFormatting sqref="AD47">
    <cfRule type="expression" dxfId="452" priority="62">
      <formula>$J$6="No"</formula>
    </cfRule>
  </conditionalFormatting>
  <conditionalFormatting sqref="AD47">
    <cfRule type="expression" dxfId="451" priority="61">
      <formula>IF(AD47=0,FALSE, IF(AD47&gt;0.01,FALSE,TRUE))</formula>
    </cfRule>
  </conditionalFormatting>
  <conditionalFormatting sqref="AD48">
    <cfRule type="expression" dxfId="450" priority="60">
      <formula>$J$6="No"</formula>
    </cfRule>
  </conditionalFormatting>
  <conditionalFormatting sqref="AD48">
    <cfRule type="expression" dxfId="449" priority="59">
      <formula>IF(AD48=0,FALSE, IF(AD48&gt;0.01,FALSE,TRUE))</formula>
    </cfRule>
  </conditionalFormatting>
  <conditionalFormatting sqref="AD49">
    <cfRule type="expression" dxfId="448" priority="58">
      <formula>$J$6="No"</formula>
    </cfRule>
  </conditionalFormatting>
  <conditionalFormatting sqref="AD49">
    <cfRule type="expression" dxfId="447" priority="57">
      <formula>IF(AD49=0,FALSE, IF(AD49&gt;0.01,FALSE,TRUE))</formula>
    </cfRule>
  </conditionalFormatting>
  <conditionalFormatting sqref="AD50">
    <cfRule type="expression" dxfId="446" priority="56">
      <formula>$J$6="No"</formula>
    </cfRule>
  </conditionalFormatting>
  <conditionalFormatting sqref="AD50">
    <cfRule type="expression" dxfId="445" priority="55">
      <formula>IF(AD50=0,FALSE, IF(AD50&gt;0.01,FALSE,TRUE))</formula>
    </cfRule>
  </conditionalFormatting>
  <conditionalFormatting sqref="AD51">
    <cfRule type="expression" dxfId="444" priority="54">
      <formula>$J$6="No"</formula>
    </cfRule>
  </conditionalFormatting>
  <conditionalFormatting sqref="AD51">
    <cfRule type="expression" dxfId="443" priority="53">
      <formula>IF(AD51=0,FALSE, IF(AD51&gt;0.01,FALSE,TRUE))</formula>
    </cfRule>
  </conditionalFormatting>
  <conditionalFormatting sqref="AD52">
    <cfRule type="expression" dxfId="442" priority="52">
      <formula>$J$6="No"</formula>
    </cfRule>
  </conditionalFormatting>
  <conditionalFormatting sqref="AD52">
    <cfRule type="expression" dxfId="441" priority="51">
      <formula>IF(AD52=0,FALSE, IF(AD52&gt;0.01,FALSE,TRUE))</formula>
    </cfRule>
  </conditionalFormatting>
  <conditionalFormatting sqref="Y57:AD60">
    <cfRule type="expression" dxfId="440" priority="48">
      <formula>$J$6="No"</formula>
    </cfRule>
  </conditionalFormatting>
  <conditionalFormatting sqref="Y60:AD60">
    <cfRule type="expression" dxfId="439" priority="47">
      <formula>$J$5="No"</formula>
    </cfRule>
  </conditionalFormatting>
  <conditionalFormatting sqref="AD57">
    <cfRule type="expression" dxfId="438" priority="46">
      <formula>IF(AD57=0,FALSE, IF(AD57&gt;0.01,FALSE,TRUE))</formula>
    </cfRule>
  </conditionalFormatting>
  <conditionalFormatting sqref="AD58">
    <cfRule type="expression" dxfId="437" priority="45">
      <formula>$J$6="No"</formula>
    </cfRule>
  </conditionalFormatting>
  <conditionalFormatting sqref="AD58">
    <cfRule type="expression" dxfId="436" priority="44">
      <formula>IF(AD58=0,FALSE, IF(AD58&gt;0.01,FALSE,TRUE))</formula>
    </cfRule>
  </conditionalFormatting>
  <conditionalFormatting sqref="AD59">
    <cfRule type="expression" dxfId="435" priority="43">
      <formula>$J$6="No"</formula>
    </cfRule>
  </conditionalFormatting>
  <conditionalFormatting sqref="AD59">
    <cfRule type="expression" dxfId="434" priority="42">
      <formula>IF(AD59=0,FALSE, IF(AD59&gt;0.01,FALSE,TRUE))</formula>
    </cfRule>
  </conditionalFormatting>
  <conditionalFormatting sqref="Y66:AC70">
    <cfRule type="expression" dxfId="433" priority="41">
      <formula>$J$6="No"</formula>
    </cfRule>
  </conditionalFormatting>
  <conditionalFormatting sqref="Y66:AD71">
    <cfRule type="expression" dxfId="432" priority="40">
      <formula>$J$7="No"</formula>
    </cfRule>
  </conditionalFormatting>
  <conditionalFormatting sqref="AD66">
    <cfRule type="expression" dxfId="431" priority="39">
      <formula>IF(AD66=0,FALSE, IF(AD66&gt;0.01,FALSE,TRUE))</formula>
    </cfRule>
  </conditionalFormatting>
  <conditionalFormatting sqref="AD67">
    <cfRule type="expression" dxfId="430" priority="38">
      <formula>IF(AD67=0,FALSE, IF(AD67&gt;0.01,FALSE,TRUE))</formula>
    </cfRule>
  </conditionalFormatting>
  <conditionalFormatting sqref="AD69">
    <cfRule type="expression" dxfId="429" priority="37">
      <formula>IF(AD69=0,FALSE, IF(AD69&gt;0.01,FALSE,TRUE))</formula>
    </cfRule>
  </conditionalFormatting>
  <conditionalFormatting sqref="AD68">
    <cfRule type="expression" dxfId="428" priority="36">
      <formula>IF(AD68=0,FALSE, IF(AD68&gt;0.01,FALSE,TRUE))</formula>
    </cfRule>
  </conditionalFormatting>
  <conditionalFormatting sqref="AD70">
    <cfRule type="expression" dxfId="427" priority="35">
      <formula>IF(AD70=0,FALSE, IF(AD70&gt;0.01,FALSE,TRUE))</formula>
    </cfRule>
  </conditionalFormatting>
  <conditionalFormatting sqref="Y77:AD77 Y83:AD83">
    <cfRule type="expression" dxfId="426" priority="30">
      <formula>$B$78="燃費法"</formula>
    </cfRule>
  </conditionalFormatting>
  <conditionalFormatting sqref="Y77:AD79">
    <cfRule type="expression" dxfId="425" priority="34">
      <formula>$B$78="改良トンキロ法"</formula>
    </cfRule>
  </conditionalFormatting>
  <conditionalFormatting sqref="Y77:AC77">
    <cfRule type="expression" dxfId="424" priority="33">
      <formula>$J$6="No"</formula>
    </cfRule>
  </conditionalFormatting>
  <conditionalFormatting sqref="Y77:AD88">
    <cfRule type="expression" dxfId="423" priority="32">
      <formula>$J$8="No"</formula>
    </cfRule>
  </conditionalFormatting>
  <conditionalFormatting sqref="AD77">
    <cfRule type="expression" dxfId="422" priority="31">
      <formula>IF(AD77=0,FALSE, IF(AD77&gt;0.01,FALSE,TRUE))</formula>
    </cfRule>
  </conditionalFormatting>
  <conditionalFormatting sqref="Y79:AD83">
    <cfRule type="expression" dxfId="421" priority="29">
      <formula>$B$78="燃料法"</formula>
    </cfRule>
  </conditionalFormatting>
  <conditionalFormatting sqref="AD79">
    <cfRule type="expression" dxfId="420" priority="28">
      <formula>IF(AD79=0,FALSE, IF(AD79&gt;0.01,FALSE,TRUE))</formula>
    </cfRule>
  </conditionalFormatting>
  <conditionalFormatting sqref="AD83">
    <cfRule type="expression" dxfId="419" priority="27">
      <formula>IF(AD83=0,FALSE, IF(AD83&gt;0.01,FALSE,TRUE))</formula>
    </cfRule>
  </conditionalFormatting>
  <conditionalFormatting sqref="Y94:AD98">
    <cfRule type="expression" dxfId="418" priority="26">
      <formula>$J$9="No"</formula>
    </cfRule>
  </conditionalFormatting>
  <conditionalFormatting sqref="AD94">
    <cfRule type="expression" dxfId="417" priority="25">
      <formula>IF(AD94=0,FALSE, IF(AD94&gt;0.01,FALSE,TRUE))</formula>
    </cfRule>
  </conditionalFormatting>
  <conditionalFormatting sqref="AD95">
    <cfRule type="expression" dxfId="416" priority="24">
      <formula>IF(AD95=0,FALSE, IF(AD95&gt;0.01,FALSE,TRUE))</formula>
    </cfRule>
  </conditionalFormatting>
  <conditionalFormatting sqref="AD96">
    <cfRule type="expression" dxfId="415" priority="23">
      <formula>IF(AD96=0,FALSE, IF(AD96&gt;0.01,FALSE,TRUE))</formula>
    </cfRule>
  </conditionalFormatting>
  <conditionalFormatting sqref="AD97">
    <cfRule type="expression" dxfId="414" priority="22">
      <formula>IF(AD97=0,FALSE, IF(AD97&gt;0.01,FALSE,TRUE))</formula>
    </cfRule>
  </conditionalFormatting>
  <conditionalFormatting sqref="Y104:AD107">
    <cfRule type="expression" dxfId="413" priority="21">
      <formula>$J$10="No"</formula>
    </cfRule>
  </conditionalFormatting>
  <conditionalFormatting sqref="AD104">
    <cfRule type="expression" dxfId="412" priority="20">
      <formula>$J$9="No"</formula>
    </cfRule>
  </conditionalFormatting>
  <conditionalFormatting sqref="AD104">
    <cfRule type="expression" dxfId="411" priority="19">
      <formula>IF(AD104=0,FALSE, IF(AD104&gt;0.01,FALSE,TRUE))</formula>
    </cfRule>
  </conditionalFormatting>
  <conditionalFormatting sqref="AD105">
    <cfRule type="expression" dxfId="410" priority="18">
      <formula>$J$9="No"</formula>
    </cfRule>
  </conditionalFormatting>
  <conditionalFormatting sqref="AD105">
    <cfRule type="expression" dxfId="409" priority="17">
      <formula>IF(AD105=0,FALSE, IF(AD105&gt;0.01,FALSE,TRUE))</formula>
    </cfRule>
  </conditionalFormatting>
  <conditionalFormatting sqref="AD106">
    <cfRule type="expression" dxfId="408" priority="16">
      <formula>$J$9="No"</formula>
    </cfRule>
  </conditionalFormatting>
  <conditionalFormatting sqref="AD106">
    <cfRule type="expression" dxfId="407" priority="15">
      <formula>IF(AD106=0,FALSE, IF(AD106&gt;0.01,FALSE,TRUE))</formula>
    </cfRule>
  </conditionalFormatting>
  <conditionalFormatting sqref="AD113">
    <cfRule type="expression" dxfId="406" priority="14">
      <formula>IF(AD113=0,FALSE, IF(AD113&gt;0.01,FALSE,TRUE))</formula>
    </cfRule>
  </conditionalFormatting>
  <conditionalFormatting sqref="AD114">
    <cfRule type="expression" dxfId="405" priority="13">
      <formula>IF(AD114=0,FALSE, IF(AD114&gt;0.01,FALSE,TRUE))</formula>
    </cfRule>
  </conditionalFormatting>
  <conditionalFormatting sqref="AD115">
    <cfRule type="expression" dxfId="404" priority="12">
      <formula>IF(AD115=0,FALSE, IF(AD115&gt;0.01,FALSE,TRUE))</formula>
    </cfRule>
  </conditionalFormatting>
  <conditionalFormatting sqref="AD116">
    <cfRule type="expression" dxfId="403" priority="11">
      <formula>IF(AD116=0,FALSE, IF(AD116&gt;0.01,FALSE,TRUE))</formula>
    </cfRule>
  </conditionalFormatting>
  <conditionalFormatting sqref="AD117">
    <cfRule type="expression" dxfId="402" priority="10">
      <formula>IF(AD117=0,FALSE, IF(AD117&gt;0.01,FALSE,TRUE))</formula>
    </cfRule>
  </conditionalFormatting>
  <conditionalFormatting sqref="AD118">
    <cfRule type="expression" dxfId="401" priority="9">
      <formula>IF(AD118=0,FALSE, IF(AD118&gt;0.01,FALSE,TRUE))</formula>
    </cfRule>
  </conditionalFormatting>
  <conditionalFormatting sqref="AD119">
    <cfRule type="expression" dxfId="400" priority="8">
      <formula>IF(AD119=0,FALSE, IF(AD119&gt;0.01,FALSE,TRUE))</formula>
    </cfRule>
  </conditionalFormatting>
  <conditionalFormatting sqref="AD120">
    <cfRule type="expression" dxfId="399" priority="7">
      <formula>IF(AD120=0,FALSE, IF(AD120&gt;0.01,FALSE,TRUE))</formula>
    </cfRule>
  </conditionalFormatting>
  <conditionalFormatting sqref="AD121">
    <cfRule type="expression" dxfId="398" priority="6">
      <formula>IF(AD121=0,FALSE, IF(AD121&gt;0.01,FALSE,TRUE))</formula>
    </cfRule>
  </conditionalFormatting>
  <conditionalFormatting sqref="AD122">
    <cfRule type="expression" dxfId="397" priority="5">
      <formula>IF(AD122=0,FALSE, IF(AD122&gt;0.01,FALSE,TRUE))</formula>
    </cfRule>
  </conditionalFormatting>
  <conditionalFormatting sqref="AD127">
    <cfRule type="expression" dxfId="396" priority="3">
      <formula>IF(AD127=0,FALSE, IF(AD127&gt;0.01,FALSE,TRUE))</formula>
    </cfRule>
  </conditionalFormatting>
  <conditionalFormatting sqref="AD128">
    <cfRule type="expression" dxfId="395" priority="2">
      <formula>IF(AD128=0,FALSE, IF(AD128&gt;0.01,FALSE,TRUE))</formula>
    </cfRule>
  </conditionalFormatting>
  <conditionalFormatting sqref="AD129">
    <cfRule type="expression" dxfId="394" priority="1">
      <formula>IF(AD129=0,FALSE, IF(AD129&gt;0.01,FALSE,TRUE))</formula>
    </cfRule>
  </conditionalFormatting>
  <dataValidations count="16">
    <dataValidation allowBlank="1" showInputMessage="1" showErrorMessage="1" prompt="計測値と同じ単位に合わせて入力してください" sqref="N139:N141"/>
    <dataValidation type="decimal" allowBlank="1" showInputMessage="1" showErrorMessage="1" error="0から1までの数値を入力してください。" sqref="O139:O141">
      <formula1>0</formula1>
      <formula2>1</formula2>
    </dataValidation>
    <dataValidation type="whole" allowBlank="1" showInputMessage="1" showErrorMessage="1" sqref="F86:J86">
      <formula1>0</formula1>
      <formula2>100</formula2>
    </dataValidation>
    <dataValidation type="list" allowBlank="1" showInputMessage="1" showErrorMessage="1" sqref="J5:J11">
      <formula1>"Yes, No"</formula1>
    </dataValidation>
    <dataValidation allowBlank="1" showInputMessage="1" showErrorMessage="1" promptTitle="廃棄物とは" prompt="産業廃棄物として処理委託している場合、当該項目にデータを入力します。_x000a_また、廃水処理を外部委託している場合など、廃水処理に伴うエネルギー等がユーティリティの項目に含まれていない場合も当該項目にてデータを入力します。" sqref="G9:I9 B96:C96"/>
    <dataValidation allowBlank="1" showInputMessage="1" showErrorMessage="1" promptTitle="原材料とは" prompt="最終製品の原料となるものを指します。（記載区分の判断に迷うものは、適切と思われる区分に記載してください。ユーティリティ、副資材の項目に記載しても合計値に変化はありません）" sqref="G5:I5"/>
    <dataValidation allowBlank="1" showInputMessage="1" showErrorMessage="1" promptTitle="プロセスの区分" prompt="プロセス区分は、データ収集・管理をしやすい大きさで適宜設定しください。" sqref="B13:K13"/>
    <dataValidation allowBlank="1" showInputMessage="1" showErrorMessage="1" promptTitle="活動量とは" prompt="貯蔵・輸送量あたりの原材料使用量" sqref="F21:K21"/>
    <dataValidation allowBlank="1" showInputMessage="1" showErrorMessage="1" promptTitle="活動量とは" prompt="貯蔵・輸送量あたりのユーティリティ使用量" sqref="F37:K37"/>
    <dataValidation allowBlank="1" showInputMessage="1" showErrorMessage="1" promptTitle="活動量とは" prompt="貯蔵・輸送量あたりの直接的な温室効果ガス排出量" sqref="F102:K102"/>
    <dataValidation allowBlank="1" showInputMessage="1" showErrorMessage="1" promptTitle="活動量とは" prompt="貯蔵・輸送量あたりの廃棄物処理量" sqref="F92:K92"/>
    <dataValidation allowBlank="1" showInputMessage="1" showErrorMessage="1" promptTitle="活動量とは" prompt="貯蔵・輸送量あたりの輸送量" sqref="F75:K75"/>
    <dataValidation allowBlank="1" showInputMessage="1" showErrorMessage="1" promptTitle="活動量とは" prompt="貯蔵・輸送量あたりの副資材使用量" sqref="F64:K64"/>
    <dataValidation allowBlank="1" showInputMessage="1" showErrorMessage="1" promptTitle="活動量とは" prompt="貯蔵・輸送量あたりの再生可能エネルギー使用量" sqref="F55:K55"/>
    <dataValidation allowBlank="1" showInputMessage="1" showErrorMessage="1" promptTitle="副資材とは" prompt="最終製品に残らない投入物を指します。（記載区分の判断に迷うものは、適切と思われる区分に記載してください。原材料、ユーティリティの項目に記載しても合計値に変化はありません）" sqref="G7:I7"/>
    <dataValidation type="list" allowBlank="1" showInputMessage="1" showErrorMessage="1" sqref="B23:D32">
      <formula1>$B$11:$B$59</formula1>
    </dataValidation>
  </dataValidations>
  <printOptions horizontalCentered="1" verticalCentered="1"/>
  <pageMargins left="0.70866141732283472" right="0.70866141732283472" top="0.74803149606299213" bottom="0.74803149606299213" header="0.31496062992125984" footer="0.31496062992125984"/>
  <pageSetup paperSize="9" scale="16" orientation="landscape" r:id="rId1"/>
  <headerFooter scaleWithDoc="0">
    <oddHeader xml:space="preserve">&amp;R&amp;A </oddHeader>
    <oddFooter>&amp;C&amp;P/&amp;N</oddFooter>
  </headerFooter>
  <ignoredErrors>
    <ignoredError sqref="F202:J202" formula="1"/>
  </ignoredErrors>
  <drawing r:id="rId2"/>
  <extLst>
    <ext xmlns:x14="http://schemas.microsoft.com/office/spreadsheetml/2009/9/main" uri="{78C0D931-6437-407d-A8EE-F0AAD7539E65}">
      <x14:conditionalFormattings>
        <x14:conditionalFormatting xmlns:xm="http://schemas.microsoft.com/office/excel/2006/main">
          <x14:cfRule type="dataBar" id="{1BA84A4D-C445-4A7F-8621-67E247FC83B8}">
            <x14:dataBar minLength="0" maxLength="100" gradient="0">
              <x14:cfvo type="percent">
                <xm:f>"S13/S$109"</xm:f>
              </x14:cfvo>
              <x14:cfvo type="percent">
                <xm:f>"S13/S$109"</xm:f>
              </x14:cfvo>
              <x14:negativeFillColor rgb="FFFF0000"/>
              <x14:axisColor rgb="FF000000"/>
            </x14:dataBar>
          </x14:cfRule>
          <xm:sqref>S130:X130 X127:X129</xm:sqref>
        </x14:conditionalFormatting>
        <x14:conditionalFormatting xmlns:xm="http://schemas.microsoft.com/office/excel/2006/main">
          <x14:cfRule type="dataBar" id="{8C6F647C-7245-4F12-867D-C35F3497C295}">
            <x14:dataBar minLength="0" maxLength="100" gradient="0">
              <x14:cfvo type="num">
                <xm:f>0</xm:f>
              </x14:cfvo>
              <x14:cfvo type="num">
                <xm:f>$S$156</xm:f>
              </x14:cfvo>
              <x14:negativeFillColor rgb="FFFF0000"/>
              <x14:axisColor theme="0"/>
            </x14:dataBar>
          </x14:cfRule>
          <xm:sqref>S127:S129 S57:S59 S77</xm:sqref>
        </x14:conditionalFormatting>
        <x14:conditionalFormatting xmlns:xm="http://schemas.microsoft.com/office/excel/2006/main">
          <x14:cfRule type="dataBar" id="{81C0AF26-3EDF-452D-8C0A-8A731E2E5915}">
            <x14:dataBar minLength="0" maxLength="100" gradient="0">
              <x14:cfvo type="num">
                <xm:f>0</xm:f>
              </x14:cfvo>
              <x14:cfvo type="num">
                <xm:f>$T$156</xm:f>
              </x14:cfvo>
              <x14:negativeFillColor rgb="FFFF0000"/>
              <x14:axisColor theme="0"/>
            </x14:dataBar>
          </x14:cfRule>
          <xm:sqref>T127:T129 T57:T59 T77</xm:sqref>
        </x14:conditionalFormatting>
        <x14:conditionalFormatting xmlns:xm="http://schemas.microsoft.com/office/excel/2006/main">
          <x14:cfRule type="dataBar" id="{ACC259E2-5A42-4F3C-BEB7-028618B00E05}">
            <x14:dataBar minLength="0" maxLength="100" gradient="0" negativeBarColorSameAsPositive="1">
              <x14:cfvo type="num">
                <xm:f>0</xm:f>
              </x14:cfvo>
              <x14:cfvo type="num">
                <xm:f>$U$156</xm:f>
              </x14:cfvo>
              <x14:axisColor theme="0"/>
            </x14:dataBar>
          </x14:cfRule>
          <xm:sqref>U127:U129 U57:U59 U79</xm:sqref>
        </x14:conditionalFormatting>
        <x14:conditionalFormatting xmlns:xm="http://schemas.microsoft.com/office/excel/2006/main">
          <x14:cfRule type="dataBar" id="{3B7CBADE-53A6-48A9-85CE-AB13BD7096CD}">
            <x14:dataBar minLength="0" maxLength="100" gradient="0">
              <x14:cfvo type="num">
                <xm:f>0</xm:f>
              </x14:cfvo>
              <x14:cfvo type="num">
                <xm:f>$V$156</xm:f>
              </x14:cfvo>
              <x14:negativeFillColor rgb="FFFF0000"/>
              <x14:axisColor theme="0"/>
            </x14:dataBar>
          </x14:cfRule>
          <xm:sqref>V127:V129 V57:V59 V79</xm:sqref>
        </x14:conditionalFormatting>
        <x14:conditionalFormatting xmlns:xm="http://schemas.microsoft.com/office/excel/2006/main">
          <x14:cfRule type="dataBar" id="{AD0D7902-22B6-4FA3-AA8B-C54E929ACFBD}">
            <x14:dataBar minLength="0" maxLength="100" gradient="0">
              <x14:cfvo type="num">
                <xm:f>0</xm:f>
              </x14:cfvo>
              <x14:cfvo type="num">
                <xm:f>$W$156</xm:f>
              </x14:cfvo>
              <x14:negativeFillColor rgb="FFFF0000"/>
              <x14:axisColor theme="0"/>
            </x14:dataBar>
          </x14:cfRule>
          <xm:sqref>W127:W129 W57:W59 W83</xm:sqref>
        </x14:conditionalFormatting>
        <x14:conditionalFormatting xmlns:xm="http://schemas.microsoft.com/office/excel/2006/main">
          <x14:cfRule type="dataBar" id="{54E6D6A2-54AB-498D-9AA3-12D482B63A85}">
            <x14:dataBar minLength="0" maxLength="100" gradient="0">
              <x14:cfvo type="percent">
                <xm:f>"S13/S$109"</xm:f>
              </x14:cfvo>
              <x14:cfvo type="percent">
                <xm:f>"S13/S$109"</xm:f>
              </x14:cfvo>
              <x14:negativeFillColor rgb="FFFF0000"/>
              <x14:axisColor rgb="FF000000"/>
            </x14:dataBar>
          </x14:cfRule>
          <xm:sqref>S33:X33 X23:X32</xm:sqref>
        </x14:conditionalFormatting>
        <x14:conditionalFormatting xmlns:xm="http://schemas.microsoft.com/office/excel/2006/main">
          <x14:cfRule type="dataBar" id="{D97CF928-383D-4A29-83B9-BDF90EFD4EDE}">
            <x14:dataBar minLength="0" maxLength="100" gradient="0">
              <x14:cfvo type="num">
                <xm:f>0</xm:f>
              </x14:cfvo>
              <x14:cfvo type="num">
                <xm:f>$S$156</xm:f>
              </x14:cfvo>
              <x14:negativeFillColor rgb="FFFF0000"/>
              <x14:axisColor theme="0"/>
            </x14:dataBar>
          </x14:cfRule>
          <xm:sqref>S23:S32</xm:sqref>
        </x14:conditionalFormatting>
        <x14:conditionalFormatting xmlns:xm="http://schemas.microsoft.com/office/excel/2006/main">
          <x14:cfRule type="dataBar" id="{A5496A91-BAE0-482C-B0A4-C9A8E9095B9A}">
            <x14:dataBar minLength="0" maxLength="100" gradient="0">
              <x14:cfvo type="num">
                <xm:f>0</xm:f>
              </x14:cfvo>
              <x14:cfvo type="num">
                <xm:f>$T$156</xm:f>
              </x14:cfvo>
              <x14:negativeFillColor rgb="FFFF0000"/>
              <x14:axisColor theme="0"/>
            </x14:dataBar>
          </x14:cfRule>
          <xm:sqref>T23:T32</xm:sqref>
        </x14:conditionalFormatting>
        <x14:conditionalFormatting xmlns:xm="http://schemas.microsoft.com/office/excel/2006/main">
          <x14:cfRule type="dataBar" id="{7A78CC03-AB29-436E-84B2-72D174EBE483}">
            <x14:dataBar minLength="0" maxLength="100" gradient="0" negativeBarColorSameAsPositive="1">
              <x14:cfvo type="num">
                <xm:f>0</xm:f>
              </x14:cfvo>
              <x14:cfvo type="num">
                <xm:f>$U$156</xm:f>
              </x14:cfvo>
              <x14:axisColor theme="0"/>
            </x14:dataBar>
          </x14:cfRule>
          <xm:sqref>U23:U32</xm:sqref>
        </x14:conditionalFormatting>
        <x14:conditionalFormatting xmlns:xm="http://schemas.microsoft.com/office/excel/2006/main">
          <x14:cfRule type="dataBar" id="{8BE0AE78-86F5-4958-ABA7-686DF5D1D416}">
            <x14:dataBar minLength="0" maxLength="100" gradient="0">
              <x14:cfvo type="num">
                <xm:f>0</xm:f>
              </x14:cfvo>
              <x14:cfvo type="num">
                <xm:f>$V$156</xm:f>
              </x14:cfvo>
              <x14:negativeFillColor rgb="FFFF0000"/>
              <x14:axisColor theme="0"/>
            </x14:dataBar>
          </x14:cfRule>
          <xm:sqref>V23:V32</xm:sqref>
        </x14:conditionalFormatting>
        <x14:conditionalFormatting xmlns:xm="http://schemas.microsoft.com/office/excel/2006/main">
          <x14:cfRule type="dataBar" id="{E8A2DB12-C4CB-483D-B1EC-0941F443D25E}">
            <x14:dataBar minLength="0" maxLength="100" gradient="0">
              <x14:cfvo type="num">
                <xm:f>0</xm:f>
              </x14:cfvo>
              <x14:cfvo type="num">
                <xm:f>$W$156</xm:f>
              </x14:cfvo>
              <x14:negativeFillColor rgb="FFFF0000"/>
              <x14:axisColor theme="0"/>
            </x14:dataBar>
          </x14:cfRule>
          <xm:sqref>W23:W32</xm:sqref>
        </x14:conditionalFormatting>
        <x14:conditionalFormatting xmlns:xm="http://schemas.microsoft.com/office/excel/2006/main">
          <x14:cfRule type="dataBar" id="{2F791D0D-83A1-42AA-A8CE-0D2F3A3D41F2}">
            <x14:dataBar minLength="0" maxLength="100" gradient="0">
              <x14:cfvo type="percent">
                <xm:f>"S13/S$109"</xm:f>
              </x14:cfvo>
              <x14:cfvo type="percent">
                <xm:f>"S13/S$109"</xm:f>
              </x14:cfvo>
              <x14:negativeFillColor rgb="FFFF0000"/>
              <x14:axisColor rgb="FF000000"/>
            </x14:dataBar>
          </x14:cfRule>
          <xm:sqref>S60:X60 X57:X59</xm:sqref>
        </x14:conditionalFormatting>
        <x14:conditionalFormatting xmlns:xm="http://schemas.microsoft.com/office/excel/2006/main">
          <x14:cfRule type="dataBar" id="{700D7591-3ADF-49E9-ACD1-5550BE779F12}">
            <x14:dataBar minLength="0" maxLength="100" gradient="0">
              <x14:cfvo type="num">
                <xm:f>0</xm:f>
              </x14:cfvo>
              <x14:cfvo type="num">
                <xm:f>$S$156</xm:f>
              </x14:cfvo>
              <x14:negativeFillColor rgb="FFFF0000"/>
              <x14:axisColor theme="0"/>
            </x14:dataBar>
          </x14:cfRule>
          <xm:sqref>S39:S52</xm:sqref>
        </x14:conditionalFormatting>
        <x14:conditionalFormatting xmlns:xm="http://schemas.microsoft.com/office/excel/2006/main">
          <x14:cfRule type="dataBar" id="{7C89CFD3-DE77-42F1-8B39-73EDAC6911EA}">
            <x14:dataBar minLength="0" maxLength="100" gradient="0">
              <x14:cfvo type="num">
                <xm:f>0</xm:f>
              </x14:cfvo>
              <x14:cfvo type="num">
                <xm:f>$T$156</xm:f>
              </x14:cfvo>
              <x14:negativeFillColor rgb="FFFF0000"/>
              <x14:axisColor theme="0"/>
            </x14:dataBar>
          </x14:cfRule>
          <xm:sqref>T39:T52</xm:sqref>
        </x14:conditionalFormatting>
        <x14:conditionalFormatting xmlns:xm="http://schemas.microsoft.com/office/excel/2006/main">
          <x14:cfRule type="dataBar" id="{72762017-D5DD-4A61-9479-5FA843820F27}">
            <x14:dataBar minLength="0" maxLength="100" gradient="0" negativeBarColorSameAsPositive="1">
              <x14:cfvo type="num">
                <xm:f>0</xm:f>
              </x14:cfvo>
              <x14:cfvo type="num">
                <xm:f>$U$156</xm:f>
              </x14:cfvo>
              <x14:axisColor theme="0"/>
            </x14:dataBar>
          </x14:cfRule>
          <xm:sqref>U39:U52</xm:sqref>
        </x14:conditionalFormatting>
        <x14:conditionalFormatting xmlns:xm="http://schemas.microsoft.com/office/excel/2006/main">
          <x14:cfRule type="dataBar" id="{0B5B7E80-E48F-41A8-A5C2-6F00FF611629}">
            <x14:dataBar minLength="0" maxLength="100" gradient="0">
              <x14:cfvo type="num">
                <xm:f>0</xm:f>
              </x14:cfvo>
              <x14:cfvo type="num">
                <xm:f>$V$156</xm:f>
              </x14:cfvo>
              <x14:negativeFillColor rgb="FFFF0000"/>
              <x14:axisColor theme="0"/>
            </x14:dataBar>
          </x14:cfRule>
          <xm:sqref>V39:V52</xm:sqref>
        </x14:conditionalFormatting>
        <x14:conditionalFormatting xmlns:xm="http://schemas.microsoft.com/office/excel/2006/main">
          <x14:cfRule type="dataBar" id="{2428AA47-DEC5-4BE6-A7B3-65DFBE23B89F}">
            <x14:dataBar minLength="0" maxLength="100" gradient="0">
              <x14:cfvo type="num">
                <xm:f>0</xm:f>
              </x14:cfvo>
              <x14:cfvo type="num">
                <xm:f>$W$156</xm:f>
              </x14:cfvo>
              <x14:negativeFillColor rgb="FFFF0000"/>
              <x14:axisColor theme="0"/>
            </x14:dataBar>
          </x14:cfRule>
          <xm:sqref>W39:W52</xm:sqref>
        </x14:conditionalFormatting>
        <x14:conditionalFormatting xmlns:xm="http://schemas.microsoft.com/office/excel/2006/main">
          <x14:cfRule type="dataBar" id="{69110C70-43C2-4F6A-B91D-618BBFA44882}">
            <x14:dataBar minLength="0" maxLength="100" gradient="0">
              <x14:cfvo type="num">
                <xm:f>0</xm:f>
              </x14:cfvo>
              <x14:cfvo type="num">
                <xm:f>$S$156</xm:f>
              </x14:cfvo>
              <x14:negativeFillColor rgb="FFFF0000"/>
              <x14:axisColor theme="0"/>
            </x14:dataBar>
          </x14:cfRule>
          <xm:sqref>S66:S70</xm:sqref>
        </x14:conditionalFormatting>
        <x14:conditionalFormatting xmlns:xm="http://schemas.microsoft.com/office/excel/2006/main">
          <x14:cfRule type="dataBar" id="{34E51EB8-D90D-4DBE-BD8B-67DD6376BD1B}">
            <x14:dataBar minLength="0" maxLength="100" gradient="0">
              <x14:cfvo type="num">
                <xm:f>0</xm:f>
              </x14:cfvo>
              <x14:cfvo type="num">
                <xm:f>$T$156</xm:f>
              </x14:cfvo>
              <x14:negativeFillColor rgb="FFFF0000"/>
              <x14:axisColor theme="0"/>
            </x14:dataBar>
          </x14:cfRule>
          <xm:sqref>T66:T70</xm:sqref>
        </x14:conditionalFormatting>
        <x14:conditionalFormatting xmlns:xm="http://schemas.microsoft.com/office/excel/2006/main">
          <x14:cfRule type="dataBar" id="{21ECF1C6-ED3E-4AC9-AD03-EC9CDF21DE05}">
            <x14:dataBar minLength="0" maxLength="100" gradient="0" negativeBarColorSameAsPositive="1">
              <x14:cfvo type="num">
                <xm:f>0</xm:f>
              </x14:cfvo>
              <x14:cfvo type="num">
                <xm:f>$U$156</xm:f>
              </x14:cfvo>
              <x14:axisColor theme="0"/>
            </x14:dataBar>
          </x14:cfRule>
          <xm:sqref>U66:U70</xm:sqref>
        </x14:conditionalFormatting>
        <x14:conditionalFormatting xmlns:xm="http://schemas.microsoft.com/office/excel/2006/main">
          <x14:cfRule type="dataBar" id="{99844DB7-3462-40B6-80CA-4F70766105D6}">
            <x14:dataBar minLength="0" maxLength="100" gradient="0">
              <x14:cfvo type="num">
                <xm:f>0</xm:f>
              </x14:cfvo>
              <x14:cfvo type="num">
                <xm:f>$V$156</xm:f>
              </x14:cfvo>
              <x14:negativeFillColor rgb="FFFF0000"/>
              <x14:axisColor theme="0"/>
            </x14:dataBar>
          </x14:cfRule>
          <xm:sqref>V66:V70</xm:sqref>
        </x14:conditionalFormatting>
        <x14:conditionalFormatting xmlns:xm="http://schemas.microsoft.com/office/excel/2006/main">
          <x14:cfRule type="dataBar" id="{FB3F67FC-E228-4C4F-A209-E46714EF6CF6}">
            <x14:dataBar minLength="0" maxLength="100" gradient="0">
              <x14:cfvo type="num">
                <xm:f>0</xm:f>
              </x14:cfvo>
              <x14:cfvo type="num">
                <xm:f>$W$156</xm:f>
              </x14:cfvo>
              <x14:negativeFillColor rgb="FFFF0000"/>
              <x14:axisColor theme="0"/>
            </x14:dataBar>
          </x14:cfRule>
          <xm:sqref>W66:W70</xm:sqref>
        </x14:conditionalFormatting>
        <x14:conditionalFormatting xmlns:xm="http://schemas.microsoft.com/office/excel/2006/main">
          <x14:cfRule type="dataBar" id="{D02FAC2D-7EAD-40CA-915F-FE610FF3CFE7}">
            <x14:dataBar minLength="0" maxLength="100" gradient="0">
              <x14:cfvo type="num">
                <xm:f>0</xm:f>
              </x14:cfvo>
              <x14:cfvo type="num">
                <xm:f>$S$156</xm:f>
              </x14:cfvo>
              <x14:negativeFillColor rgb="FFFF0000"/>
              <x14:axisColor theme="0"/>
            </x14:dataBar>
          </x14:cfRule>
          <xm:sqref>S83</xm:sqref>
        </x14:conditionalFormatting>
        <x14:conditionalFormatting xmlns:xm="http://schemas.microsoft.com/office/excel/2006/main">
          <x14:cfRule type="dataBar" id="{76F67DD5-3D39-4CEF-8994-C09414427712}">
            <x14:dataBar minLength="0" maxLength="100" gradient="0">
              <x14:cfvo type="num">
                <xm:f>0</xm:f>
              </x14:cfvo>
              <x14:cfvo type="num">
                <xm:f>$T$156</xm:f>
              </x14:cfvo>
              <x14:negativeFillColor rgb="FFFF0000"/>
              <x14:axisColor theme="0"/>
            </x14:dataBar>
          </x14:cfRule>
          <xm:sqref>T83</xm:sqref>
        </x14:conditionalFormatting>
        <x14:conditionalFormatting xmlns:xm="http://schemas.microsoft.com/office/excel/2006/main">
          <x14:cfRule type="dataBar" id="{3841C54B-076D-4130-AC95-4DF419E55694}">
            <x14:dataBar minLength="0" maxLength="100" gradient="0" negativeBarColorSameAsPositive="1">
              <x14:cfvo type="num">
                <xm:f>0</xm:f>
              </x14:cfvo>
              <x14:cfvo type="num">
                <xm:f>$U$156</xm:f>
              </x14:cfvo>
              <x14:axisColor theme="0"/>
            </x14:dataBar>
          </x14:cfRule>
          <xm:sqref>U83</xm:sqref>
        </x14:conditionalFormatting>
        <x14:conditionalFormatting xmlns:xm="http://schemas.microsoft.com/office/excel/2006/main">
          <x14:cfRule type="dataBar" id="{07B6BEAB-83D1-4256-824D-916DF094BAE8}">
            <x14:dataBar minLength="0" maxLength="100" gradient="0">
              <x14:cfvo type="num">
                <xm:f>0</xm:f>
              </x14:cfvo>
              <x14:cfvo type="num">
                <xm:f>$V$156</xm:f>
              </x14:cfvo>
              <x14:negativeFillColor rgb="FFFF0000"/>
              <x14:axisColor theme="0"/>
            </x14:dataBar>
          </x14:cfRule>
          <xm:sqref>V83</xm:sqref>
        </x14:conditionalFormatting>
        <x14:conditionalFormatting xmlns:xm="http://schemas.microsoft.com/office/excel/2006/main">
          <x14:cfRule type="dataBar" id="{B37C74A7-507D-40AE-BDC5-ADAA6B00EBC7}">
            <x14:dataBar minLength="0" maxLength="100" gradient="0">
              <x14:cfvo type="num">
                <xm:f>0</xm:f>
              </x14:cfvo>
              <x14:cfvo type="num">
                <xm:f>$W$156</xm:f>
              </x14:cfvo>
              <x14:negativeFillColor rgb="FFFF0000"/>
              <x14:axisColor theme="0"/>
            </x14:dataBar>
          </x14:cfRule>
          <xm:sqref>W79</xm:sqref>
        </x14:conditionalFormatting>
        <x14:conditionalFormatting xmlns:xm="http://schemas.microsoft.com/office/excel/2006/main">
          <x14:cfRule type="dataBar" id="{9B4557DA-50A0-4AFB-B9B9-F26A924BC0C0}">
            <x14:dataBar minLength="0" maxLength="100" gradient="0">
              <x14:cfvo type="num">
                <xm:f>0</xm:f>
              </x14:cfvo>
              <x14:cfvo type="num">
                <xm:f>$S$156</xm:f>
              </x14:cfvo>
              <x14:negativeFillColor rgb="FFFF0000"/>
              <x14:axisColor theme="0"/>
            </x14:dataBar>
          </x14:cfRule>
          <xm:sqref>S79</xm:sqref>
        </x14:conditionalFormatting>
        <x14:conditionalFormatting xmlns:xm="http://schemas.microsoft.com/office/excel/2006/main">
          <x14:cfRule type="dataBar" id="{84657294-9CED-450C-91C3-F8C5CB5750CB}">
            <x14:dataBar minLength="0" maxLength="100" gradient="0">
              <x14:cfvo type="num">
                <xm:f>0</xm:f>
              </x14:cfvo>
              <x14:cfvo type="num">
                <xm:f>$T$156</xm:f>
              </x14:cfvo>
              <x14:negativeFillColor rgb="FFFF0000"/>
              <x14:axisColor theme="0"/>
            </x14:dataBar>
          </x14:cfRule>
          <xm:sqref>T79</xm:sqref>
        </x14:conditionalFormatting>
        <x14:conditionalFormatting xmlns:xm="http://schemas.microsoft.com/office/excel/2006/main">
          <x14:cfRule type="dataBar" id="{4B439899-5EF4-4582-80B8-8A196028E9F7}">
            <x14:dataBar minLength="0" maxLength="100" gradient="0" negativeBarColorSameAsPositive="1">
              <x14:cfvo type="num">
                <xm:f>0</xm:f>
              </x14:cfvo>
              <x14:cfvo type="num">
                <xm:f>$U$156</xm:f>
              </x14:cfvo>
              <x14:axisColor theme="0"/>
            </x14:dataBar>
          </x14:cfRule>
          <xm:sqref>U77</xm:sqref>
        </x14:conditionalFormatting>
        <x14:conditionalFormatting xmlns:xm="http://schemas.microsoft.com/office/excel/2006/main">
          <x14:cfRule type="dataBar" id="{301EADE6-7A41-49F8-B660-8B97792B35D8}">
            <x14:dataBar minLength="0" maxLength="100" gradient="0">
              <x14:cfvo type="num">
                <xm:f>0</xm:f>
              </x14:cfvo>
              <x14:cfvo type="num">
                <xm:f>$V$156</xm:f>
              </x14:cfvo>
              <x14:negativeFillColor rgb="FFFF0000"/>
              <x14:axisColor theme="0"/>
            </x14:dataBar>
          </x14:cfRule>
          <xm:sqref>V77</xm:sqref>
        </x14:conditionalFormatting>
        <x14:conditionalFormatting xmlns:xm="http://schemas.microsoft.com/office/excel/2006/main">
          <x14:cfRule type="dataBar" id="{45F067C6-D396-4B70-B642-0C5B28F01C51}">
            <x14:dataBar minLength="0" maxLength="100" gradient="0">
              <x14:cfvo type="num">
                <xm:f>0</xm:f>
              </x14:cfvo>
              <x14:cfvo type="num">
                <xm:f>$W$156</xm:f>
              </x14:cfvo>
              <x14:negativeFillColor rgb="FFFF0000"/>
              <x14:axisColor theme="0"/>
            </x14:dataBar>
          </x14:cfRule>
          <xm:sqref>W77</xm:sqref>
        </x14:conditionalFormatting>
        <x14:conditionalFormatting xmlns:xm="http://schemas.microsoft.com/office/excel/2006/main">
          <x14:cfRule type="dataBar" id="{488283B9-4727-4657-AFA2-B4E31B31D49D}">
            <x14:dataBar minLength="0" maxLength="100" gradient="0">
              <x14:cfvo type="num">
                <xm:f>0</xm:f>
              </x14:cfvo>
              <x14:cfvo type="num">
                <xm:f>$S$156</xm:f>
              </x14:cfvo>
              <x14:negativeFillColor rgb="FFFF0000"/>
              <x14:axisColor theme="0"/>
            </x14:dataBar>
          </x14:cfRule>
          <xm:sqref>S94:S97</xm:sqref>
        </x14:conditionalFormatting>
        <x14:conditionalFormatting xmlns:xm="http://schemas.microsoft.com/office/excel/2006/main">
          <x14:cfRule type="dataBar" id="{54A6729C-94EB-47D9-9F8C-FC69CAC11C9F}">
            <x14:dataBar minLength="0" maxLength="100" gradient="0">
              <x14:cfvo type="num">
                <xm:f>0</xm:f>
              </x14:cfvo>
              <x14:cfvo type="num">
                <xm:f>$T$156</xm:f>
              </x14:cfvo>
              <x14:negativeFillColor rgb="FFFF0000"/>
              <x14:axisColor theme="0"/>
            </x14:dataBar>
          </x14:cfRule>
          <xm:sqref>T94:T97</xm:sqref>
        </x14:conditionalFormatting>
        <x14:conditionalFormatting xmlns:xm="http://schemas.microsoft.com/office/excel/2006/main">
          <x14:cfRule type="dataBar" id="{9B863ED3-A9B1-4601-A546-00EE875EE59F}">
            <x14:dataBar minLength="0" maxLength="100" gradient="0" negativeBarColorSameAsPositive="1">
              <x14:cfvo type="num">
                <xm:f>0</xm:f>
              </x14:cfvo>
              <x14:cfvo type="num">
                <xm:f>$U$156</xm:f>
              </x14:cfvo>
              <x14:axisColor theme="0"/>
            </x14:dataBar>
          </x14:cfRule>
          <xm:sqref>U94:U97</xm:sqref>
        </x14:conditionalFormatting>
        <x14:conditionalFormatting xmlns:xm="http://schemas.microsoft.com/office/excel/2006/main">
          <x14:cfRule type="dataBar" id="{77014E93-7820-49A4-B41F-5F674904F1CE}">
            <x14:dataBar minLength="0" maxLength="100" gradient="0">
              <x14:cfvo type="num">
                <xm:f>0</xm:f>
              </x14:cfvo>
              <x14:cfvo type="num">
                <xm:f>$V$156</xm:f>
              </x14:cfvo>
              <x14:negativeFillColor rgb="FFFF0000"/>
              <x14:axisColor theme="0"/>
            </x14:dataBar>
          </x14:cfRule>
          <xm:sqref>V94:V97</xm:sqref>
        </x14:conditionalFormatting>
        <x14:conditionalFormatting xmlns:xm="http://schemas.microsoft.com/office/excel/2006/main">
          <x14:cfRule type="dataBar" id="{8F622F00-36E2-41FC-9C81-7AA1EFAEBCD1}">
            <x14:dataBar minLength="0" maxLength="100" gradient="0">
              <x14:cfvo type="num">
                <xm:f>0</xm:f>
              </x14:cfvo>
              <x14:cfvo type="num">
                <xm:f>$W$156</xm:f>
              </x14:cfvo>
              <x14:negativeFillColor rgb="FFFF0000"/>
              <x14:axisColor theme="0"/>
            </x14:dataBar>
          </x14:cfRule>
          <xm:sqref>W94:W97</xm:sqref>
        </x14:conditionalFormatting>
        <x14:conditionalFormatting xmlns:xm="http://schemas.microsoft.com/office/excel/2006/main">
          <x14:cfRule type="dataBar" id="{81F5B3DB-A0A2-4381-89DA-C5A22CAAA36B}">
            <x14:dataBar minLength="0" maxLength="100" gradient="0">
              <x14:cfvo type="num">
                <xm:f>0</xm:f>
              </x14:cfvo>
              <x14:cfvo type="num">
                <xm:f>$S$156</xm:f>
              </x14:cfvo>
              <x14:negativeFillColor rgb="FFFF0000"/>
              <x14:axisColor theme="0"/>
            </x14:dataBar>
          </x14:cfRule>
          <xm:sqref>S104:S106</xm:sqref>
        </x14:conditionalFormatting>
        <x14:conditionalFormatting xmlns:xm="http://schemas.microsoft.com/office/excel/2006/main">
          <x14:cfRule type="dataBar" id="{9F146BE4-B731-4311-A206-E5AE38895925}">
            <x14:dataBar minLength="0" maxLength="100" gradient="0">
              <x14:cfvo type="num">
                <xm:f>0</xm:f>
              </x14:cfvo>
              <x14:cfvo type="num">
                <xm:f>$T$156</xm:f>
              </x14:cfvo>
              <x14:negativeFillColor rgb="FFFF0000"/>
              <x14:axisColor theme="0"/>
            </x14:dataBar>
          </x14:cfRule>
          <xm:sqref>T104:T106</xm:sqref>
        </x14:conditionalFormatting>
        <x14:conditionalFormatting xmlns:xm="http://schemas.microsoft.com/office/excel/2006/main">
          <x14:cfRule type="dataBar" id="{BC6BEC0A-DEDA-4040-B201-BBC87E56E5F0}">
            <x14:dataBar minLength="0" maxLength="100" gradient="0" negativeBarColorSameAsPositive="1">
              <x14:cfvo type="num">
                <xm:f>0</xm:f>
              </x14:cfvo>
              <x14:cfvo type="num">
                <xm:f>$U$156</xm:f>
              </x14:cfvo>
              <x14:axisColor theme="0"/>
            </x14:dataBar>
          </x14:cfRule>
          <xm:sqref>U104:U106</xm:sqref>
        </x14:conditionalFormatting>
        <x14:conditionalFormatting xmlns:xm="http://schemas.microsoft.com/office/excel/2006/main">
          <x14:cfRule type="dataBar" id="{98893214-860D-40C9-9F71-1DA5E9DAAF87}">
            <x14:dataBar minLength="0" maxLength="100" gradient="0">
              <x14:cfvo type="num">
                <xm:f>0</xm:f>
              </x14:cfvo>
              <x14:cfvo type="num">
                <xm:f>$V$156</xm:f>
              </x14:cfvo>
              <x14:negativeFillColor rgb="FFFF0000"/>
              <x14:axisColor theme="0"/>
            </x14:dataBar>
          </x14:cfRule>
          <xm:sqref>V104:V106</xm:sqref>
        </x14:conditionalFormatting>
        <x14:conditionalFormatting xmlns:xm="http://schemas.microsoft.com/office/excel/2006/main">
          <x14:cfRule type="dataBar" id="{8862E54A-019D-4A1D-9FBD-A3877A00E398}">
            <x14:dataBar minLength="0" maxLength="100" gradient="0">
              <x14:cfvo type="num">
                <xm:f>0</xm:f>
              </x14:cfvo>
              <x14:cfvo type="num">
                <xm:f>$W$156</xm:f>
              </x14:cfvo>
              <x14:negativeFillColor rgb="FFFF0000"/>
              <x14:axisColor theme="0"/>
            </x14:dataBar>
          </x14:cfRule>
          <xm:sqref>W104:W106</xm:sqref>
        </x14:conditionalFormatting>
        <x14:conditionalFormatting xmlns:xm="http://schemas.microsoft.com/office/excel/2006/main">
          <x14:cfRule type="expression" priority="747" stopIfTrue="1" id="{07698425-9F16-4C49-B551-785B4D1CB511}">
            <xm:f>'製造(P)'!#REF!="Ⅲ[再生可能エネルギー供給量]"</xm:f>
            <x14:dxf>
              <fill>
                <patternFill patternType="darkGrid">
                  <bgColor theme="0"/>
                </patternFill>
              </fill>
            </x14:dxf>
          </x14:cfRule>
          <x14:cfRule type="expression" priority="748" stopIfTrue="1" id="{D009D6FB-99F3-4E00-B666-EFFFE26001D4}">
            <xm:f>'製造(P)'!#REF!="Ⅱ[エネルギー使用量差]"</xm:f>
            <x14:dxf>
              <fill>
                <patternFill patternType="darkGrid">
                  <bgColor theme="0"/>
                </patternFill>
              </fill>
            </x14:dxf>
          </x14:cfRule>
          <xm:sqref>AG111:AI111 AH112:AI123</xm:sqref>
        </x14:conditionalFormatting>
        <x14:conditionalFormatting xmlns:xm="http://schemas.microsoft.com/office/excel/2006/main">
          <x14:cfRule type="expression" priority="745" stopIfTrue="1" id="{FC8ACF7F-8424-4914-84AE-D4C314208817}">
            <xm:f>'製造(P)'!#REF!="Ⅲ[再生可能エネルギー供給量]"</xm:f>
            <x14:dxf>
              <fill>
                <patternFill patternType="darkGrid">
                  <bgColor theme="0"/>
                </patternFill>
              </fill>
            </x14:dxf>
          </x14:cfRule>
          <x14:cfRule type="expression" priority="746" stopIfTrue="1" id="{D47FBCFC-DFBF-479E-B045-78F1267431DB}">
            <xm:f>'製造(P)'!#REF!="Ⅱ[エネルギー使用量差]"</xm:f>
            <x14:dxf>
              <fill>
                <patternFill patternType="darkGrid">
                  <bgColor theme="0"/>
                </patternFill>
              </fill>
            </x14:dxf>
          </x14:cfRule>
          <xm:sqref>AG109:AI110</xm:sqref>
        </x14:conditionalFormatting>
        <x14:conditionalFormatting xmlns:xm="http://schemas.microsoft.com/office/excel/2006/main">
          <x14:cfRule type="expression" priority="743" stopIfTrue="1" id="{B382BD77-3E0C-45FA-A6FC-E0727A350CD5}">
            <xm:f>'製造(P)'!#REF!="Ⅲ[再生可能エネルギー供給量]"</xm:f>
            <x14:dxf>
              <fill>
                <patternFill patternType="darkGrid">
                  <bgColor theme="0"/>
                </patternFill>
              </fill>
            </x14:dxf>
          </x14:cfRule>
          <x14:cfRule type="expression" priority="744" stopIfTrue="1" id="{D5042873-3565-46CB-80C8-3CD262351CE3}">
            <xm:f>'製造(P)'!#REF!="Ⅱ[エネルギー使用量差]"</xm:f>
            <x14:dxf>
              <fill>
                <patternFill patternType="darkGrid">
                  <bgColor theme="0"/>
                </patternFill>
              </fill>
            </x14:dxf>
          </x14:cfRule>
          <xm:sqref>B111:E112</xm:sqref>
        </x14:conditionalFormatting>
        <x14:conditionalFormatting xmlns:xm="http://schemas.microsoft.com/office/excel/2006/main">
          <x14:cfRule type="expression" priority="741" stopIfTrue="1" id="{5A2A22E4-055F-4E34-945E-1F0B276F9793}">
            <xm:f>'製造(P)'!#REF!="Ⅲ[再生可能エネルギー供給量]"</xm:f>
            <x14:dxf>
              <fill>
                <patternFill patternType="darkGrid">
                  <bgColor theme="0"/>
                </patternFill>
              </fill>
            </x14:dxf>
          </x14:cfRule>
          <x14:cfRule type="expression" priority="742" stopIfTrue="1" id="{64A4BEC1-683D-4E2F-B54E-34B1D348BF45}">
            <xm:f>'製造(P)'!#REF!="Ⅱ[エネルギー使用量差]"</xm:f>
            <x14:dxf>
              <fill>
                <patternFill patternType="darkGrid">
                  <bgColor theme="0"/>
                </patternFill>
              </fill>
            </x14:dxf>
          </x14:cfRule>
          <xm:sqref>Q111</xm:sqref>
        </x14:conditionalFormatting>
        <x14:conditionalFormatting xmlns:xm="http://schemas.microsoft.com/office/excel/2006/main">
          <x14:cfRule type="expression" priority="737" stopIfTrue="1" id="{996262AD-366C-4BBF-9A16-EE24F308EE1B}">
            <xm:f>'製造(P)'!#REF!="Ⅲ[再生可能エネルギー供給量]"</xm:f>
            <x14:dxf>
              <fill>
                <patternFill patternType="darkGrid">
                  <bgColor theme="0"/>
                </patternFill>
              </fill>
            </x14:dxf>
          </x14:cfRule>
          <x14:cfRule type="expression" priority="738" stopIfTrue="1" id="{4A94C182-8C04-4A50-9EBB-694CEF91D2A8}">
            <xm:f>'製造(P)'!#REF!="Ⅱ[エネルギー使用量差]"</xm:f>
            <x14:dxf>
              <fill>
                <patternFill patternType="darkGrid">
                  <bgColor theme="0"/>
                </patternFill>
              </fill>
            </x14:dxf>
          </x14:cfRule>
          <xm:sqref>R123</xm:sqref>
        </x14:conditionalFormatting>
        <x14:conditionalFormatting xmlns:xm="http://schemas.microsoft.com/office/excel/2006/main">
          <x14:cfRule type="expression" priority="739" stopIfTrue="1" id="{2C665D6D-9DA5-4D55-8F40-B11FD495C13D}">
            <xm:f>'製造(P)'!#REF!="Ⅲ[再生可能エネルギー供給量]"</xm:f>
            <x14:dxf>
              <fill>
                <patternFill patternType="darkGrid">
                  <bgColor theme="0"/>
                </patternFill>
              </fill>
            </x14:dxf>
          </x14:cfRule>
          <x14:cfRule type="expression" priority="740" stopIfTrue="1" id="{AD8FB569-DF0C-4DF5-A57B-01C14F6723D7}">
            <xm:f>'製造(P)'!#REF!="Ⅱ[エネルギー使用量差]"</xm:f>
            <x14:dxf>
              <fill>
                <patternFill patternType="darkGrid">
                  <bgColor theme="0"/>
                </patternFill>
              </fill>
            </x14:dxf>
          </x14:cfRule>
          <xm:sqref>Q123</xm:sqref>
        </x14:conditionalFormatting>
        <x14:conditionalFormatting xmlns:xm="http://schemas.microsoft.com/office/excel/2006/main">
          <x14:cfRule type="dataBar" priority="736" id="{F34EDE1E-6641-4FB4-8A01-761BF48E4295}">
            <x14:dataBar minLength="0" maxLength="100" gradient="0">
              <x14:cfvo type="num">
                <xm:f>0</xm:f>
              </x14:cfvo>
              <x14:cfvo type="num">
                <xm:f>'製造(P)'!$S$156</xm:f>
              </x14:cfvo>
              <x14:fillColor rgb="FF638EC6"/>
              <x14:negativeFillColor rgb="FFFF0000"/>
              <x14:axisColor rgb="FF000000"/>
            </x14:dataBar>
          </x14:cfRule>
          <xm:sqref>S113:W122</xm:sqref>
        </x14:conditionalFormatting>
        <x14:conditionalFormatting xmlns:xm="http://schemas.microsoft.com/office/excel/2006/main">
          <x14:cfRule type="expression" priority="683" stopIfTrue="1" id="{EAB0BBC3-622C-49E4-8488-AC744DD011E9}">
            <xm:f>'製造(P)'!#REF!="Ⅲ[再生可能エネルギー供給量]"</xm:f>
            <x14:dxf>
              <fill>
                <patternFill patternType="darkGrid">
                  <bgColor theme="0"/>
                </patternFill>
              </fill>
            </x14:dxf>
          </x14:cfRule>
          <x14:cfRule type="expression" priority="684" stopIfTrue="1" id="{B8B138CF-D1ED-4B54-AEEA-492A5B5A3B86}">
            <xm:f>'製造(P)'!#REF!="Ⅱ[エネルギー使用量差]"</xm:f>
            <x14:dxf>
              <fill>
                <patternFill patternType="darkGrid">
                  <bgColor theme="0"/>
                </patternFill>
              </fill>
            </x14:dxf>
          </x14:cfRule>
          <xm:sqref>AG124:AH127</xm:sqref>
        </x14:conditionalFormatting>
        <x14:conditionalFormatting xmlns:xm="http://schemas.microsoft.com/office/excel/2006/main">
          <x14:cfRule type="expression" priority="677" stopIfTrue="1" id="{167CBFE6-021D-49F8-8DC1-8FF0BF86A8EF}">
            <xm:f>'製造(P)'!#REF!="Ⅲ[再生可能エネルギー供給量]"</xm:f>
            <x14:dxf>
              <fill>
                <patternFill patternType="darkGrid">
                  <bgColor theme="0"/>
                </patternFill>
              </fill>
            </x14:dxf>
          </x14:cfRule>
          <x14:cfRule type="expression" priority="678" stopIfTrue="1" id="{FECF3894-66A4-41E8-9C9E-5E6789082E45}">
            <xm:f>'製造(P)'!#REF!="Ⅱ[エネルギー使用量差]"</xm:f>
            <x14:dxf>
              <fill>
                <patternFill patternType="darkGrid">
                  <bgColor theme="0"/>
                </patternFill>
              </fill>
            </x14:dxf>
          </x14:cfRule>
          <xm:sqref>Q130 B130:E130</xm:sqref>
        </x14:conditionalFormatting>
        <x14:conditionalFormatting xmlns:xm="http://schemas.microsoft.com/office/excel/2006/main">
          <x14:cfRule type="expression" priority="679" stopIfTrue="1" id="{4CFB5883-4BD3-4413-A973-79B4DFE4F84A}">
            <xm:f>'製造(P)'!#REF!="Ⅲ[再生可能エネルギー供給量]"</xm:f>
            <x14:dxf>
              <fill>
                <patternFill patternType="darkGrid">
                  <bgColor theme="0"/>
                </patternFill>
              </fill>
            </x14:dxf>
          </x14:cfRule>
          <x14:cfRule type="expression" priority="680" stopIfTrue="1" id="{B3271333-A3DE-4F43-BDCD-656E06DEE4E9}">
            <xm:f>'製造(P)'!#REF!="Ⅱ[エネルギー使用量差]"</xm:f>
            <x14:dxf>
              <fill>
                <patternFill patternType="darkGrid">
                  <bgColor theme="0"/>
                </patternFill>
              </fill>
            </x14:dxf>
          </x14:cfRule>
          <xm:sqref>Q125</xm:sqref>
        </x14:conditionalFormatting>
        <x14:conditionalFormatting xmlns:xm="http://schemas.microsoft.com/office/excel/2006/main">
          <x14:cfRule type="expression" priority="675" stopIfTrue="1" id="{8058E436-118E-43B1-835A-920A1E9FFCAB}">
            <xm:f>'製造(P)'!#REF!="Ⅲ[再生可能エネルギー供給量]"</xm:f>
            <x14:dxf>
              <fill>
                <patternFill patternType="darkGrid">
                  <bgColor theme="0"/>
                </patternFill>
              </fill>
            </x14:dxf>
          </x14:cfRule>
          <x14:cfRule type="expression" priority="676" stopIfTrue="1" id="{05DFE7CB-D2B7-4967-B44F-549124CFACF8}">
            <xm:f>'製造(P)'!#REF!="Ⅱ[エネルギー使用量差]"</xm:f>
            <x14:dxf>
              <fill>
                <patternFill patternType="darkGrid">
                  <bgColor theme="0"/>
                </patternFill>
              </fill>
            </x14:dxf>
          </x14:cfRule>
          <xm:sqref>R130</xm:sqref>
        </x14:conditionalFormatting>
        <x14:conditionalFormatting xmlns:xm="http://schemas.microsoft.com/office/excel/2006/main">
          <x14:cfRule type="expression" priority="673" stopIfTrue="1" id="{EE4CF361-71BC-4CB0-9760-3D96F6963481}">
            <xm:f>'製造(P)'!#REF!="Ⅲ[再生可能エネルギー供給量]"</xm:f>
            <x14:dxf>
              <fill>
                <patternFill patternType="darkGrid">
                  <bgColor theme="0"/>
                </patternFill>
              </fill>
            </x14:dxf>
          </x14:cfRule>
          <x14:cfRule type="expression" priority="674" stopIfTrue="1" id="{84765376-1D31-4F34-890E-982D54D015DB}">
            <xm:f>'製造(P)'!#REF!="Ⅱ[エネルギー使用量差]"</xm:f>
            <x14:dxf>
              <fill>
                <patternFill patternType="darkGrid">
                  <bgColor theme="0"/>
                </patternFill>
              </fill>
            </x14:dxf>
          </x14:cfRule>
          <xm:sqref>AG128:AH129</xm:sqref>
        </x14:conditionalFormatting>
        <x14:conditionalFormatting xmlns:xm="http://schemas.microsoft.com/office/excel/2006/main">
          <x14:cfRule type="expression" priority="634" stopIfTrue="1" id="{4FC9AB17-E3DA-4CC0-AA82-5E934BCE38D4}">
            <xm:f>'製造(P)'!#REF!="Ⅲ[再生可能エネルギー供給量]"</xm:f>
            <x14:dxf>
              <fill>
                <patternFill patternType="darkGrid">
                  <bgColor theme="0"/>
                </patternFill>
              </fill>
            </x14:dxf>
          </x14:cfRule>
          <x14:cfRule type="expression" priority="635" stopIfTrue="1" id="{536A8719-6041-48DF-B350-5DFB9999C11D}">
            <xm:f>'製造(P)'!#REF!="Ⅱ[エネルギー使用量差]"</xm:f>
            <x14:dxf>
              <fill>
                <patternFill patternType="darkGrid">
                  <bgColor theme="0"/>
                </patternFill>
              </fill>
            </x14:dxf>
          </x14:cfRule>
          <xm:sqref>AG55:AH57</xm:sqref>
        </x14:conditionalFormatting>
        <x14:conditionalFormatting xmlns:xm="http://schemas.microsoft.com/office/excel/2006/main">
          <x14:cfRule type="expression" priority="624" stopIfTrue="1" id="{6977222E-48F7-4486-89A5-DC841FE026C1}">
            <xm:f>'製造(P)'!#REF!="Ⅲ[再生可能エネルギー供給量]"</xm:f>
            <x14:dxf>
              <fill>
                <patternFill patternType="darkGrid">
                  <bgColor theme="0"/>
                </patternFill>
              </fill>
            </x14:dxf>
          </x14:cfRule>
          <x14:cfRule type="expression" priority="625" stopIfTrue="1" id="{62DD6ECE-61DB-4C1F-9276-8C825F064AFF}">
            <xm:f>'製造(P)'!#REF!="Ⅱ[エネルギー使用量差]"</xm:f>
            <x14:dxf>
              <fill>
                <patternFill patternType="darkGrid">
                  <bgColor theme="0"/>
                </patternFill>
              </fill>
            </x14:dxf>
          </x14:cfRule>
          <xm:sqref>AG58:AH59</xm:sqref>
        </x14:conditionalFormatting>
      </x14:conditionalFormattings>
    </ext>
    <ext xmlns:x14="http://schemas.microsoft.com/office/spreadsheetml/2009/9/main" uri="{CCE6A557-97BC-4b89-ADB6-D9C93CAAB3DF}">
      <x14:dataValidations xmlns:xm="http://schemas.microsoft.com/office/excel/2006/main" count="18">
        <x14:dataValidation type="list" allowBlank="1" showInputMessage="1" showErrorMessage="1">
          <x14:formula1>
            <xm:f>Color!$Y$6:$Y$8</xm:f>
          </x14:formula1>
          <xm:sqref>E43</xm:sqref>
        </x14:dataValidation>
        <x14:dataValidation type="list" allowBlank="1" showInputMessage="1" showErrorMessage="1">
          <x14:formula1>
            <xm:f>Color!$Y$4:$Y$8</xm:f>
          </x14:formula1>
          <xm:sqref>E44:E48</xm:sqref>
        </x14:dataValidation>
        <x14:dataValidation type="list" allowBlank="1" showInputMessage="1" showErrorMessage="1">
          <x14:formula1>
            <xm:f>Color!$X$4:$X$6</xm:f>
          </x14:formula1>
          <xm:sqref>E41:E42</xm:sqref>
        </x14:dataValidation>
        <x14:dataValidation type="list" allowBlank="1" showInputMessage="1" showErrorMessage="1">
          <x14:formula1>
            <xm:f>Color!$Z$4:$Z$6</xm:f>
          </x14:formula1>
          <xm:sqref>E40</xm:sqref>
        </x14:dataValidation>
        <x14:dataValidation type="list" allowBlank="1" showInputMessage="1" showErrorMessage="1">
          <x14:formula1>
            <xm:f>Color!$U$4:$U$21</xm:f>
          </x14:formula1>
          <xm:sqref>D96</xm:sqref>
        </x14:dataValidation>
        <x14:dataValidation type="list" allowBlank="1" showInputMessage="1" showErrorMessage="1">
          <x14:formula1>
            <xm:f>輸送算定用!$A$2:$A$3</xm:f>
          </x14:formula1>
          <xm:sqref>F78:J78 F81:J81 F85:J85</xm:sqref>
        </x14:dataValidation>
        <x14:dataValidation type="list" allowBlank="1" showInputMessage="1" showErrorMessage="1">
          <x14:formula1>
            <xm:f>輸送算定用!$B$17:$B$22</xm:f>
          </x14:formula1>
          <xm:sqref>F82:J82</xm:sqref>
        </x14:dataValidation>
        <x14:dataValidation type="list" allowBlank="1" showInputMessage="1" showErrorMessage="1">
          <x14:formula1>
            <xm:f>輸送算定用!$A$25:$A$27</xm:f>
          </x14:formula1>
          <xm:sqref>B78</xm:sqref>
        </x14:dataValidation>
        <x14:dataValidation type="list" allowBlank="1">
          <x14:formula1>
            <xm:f>輸送算定用!$E$17:$E$22</xm:f>
          </x14:formula1>
          <xm:sqref>F87:J87</xm:sqref>
        </x14:dataValidation>
        <x14:dataValidation type="list" allowBlank="1" showInputMessage="1" showErrorMessage="1">
          <x14:formula1>
            <xm:f>Color!$M$4:$M$8</xm:f>
          </x14:formula1>
          <xm:sqref>Q189 Q184 Q219 Q214 Q209 Q204 Q199 Q194</xm:sqref>
        </x14:dataValidation>
        <x14:dataValidation type="list" allowBlank="1" showInputMessage="1" showErrorMessage="1">
          <x14:formula1>
            <xm:f>Color!$U$4:$U$22</xm:f>
          </x14:formula1>
          <xm:sqref>D95 D97</xm:sqref>
        </x14:dataValidation>
        <x14:dataValidation type="list" allowBlank="1" showInputMessage="1" showErrorMessage="1">
          <x14:formula1>
            <xm:f>Color!$G$4:$G$5</xm:f>
          </x14:formula1>
          <xm:sqref>F144</xm:sqref>
        </x14:dataValidation>
        <x14:dataValidation type="list" allowBlank="1" showInputMessage="1" showErrorMessage="1">
          <x14:formula1>
            <xm:f>IDEAGLIO補助ﾘｽﾄ!$B$2:$B$50</xm:f>
          </x14:formula1>
          <xm:sqref>D50:D52</xm:sqref>
        </x14:dataValidation>
        <x14:dataValidation type="list" allowBlank="1" showInputMessage="1" showErrorMessage="1">
          <x14:formula1>
            <xm:f>GWP!$A$4:$A$36</xm:f>
          </x14:formula1>
          <xm:sqref>B104:D106</xm:sqref>
        </x14:dataValidation>
        <x14:dataValidation type="list" allowBlank="1" showInputMessage="1" showErrorMessage="1">
          <x14:formula1>
            <xm:f>共通データ!$B$32:$B$37</xm:f>
          </x14:formula1>
          <xm:sqref>B57:D59</xm:sqref>
        </x14:dataValidation>
        <x14:dataValidation type="list" allowBlank="1" showInputMessage="1" showErrorMessage="1" promptTitle="配分基準の選択" prompt="原則として熱量基準、もしくは質量基準を選択してください。">
          <x14:formula1>
            <xm:f>Color!$M$4:$M$8</xm:f>
          </x14:formula1>
          <xm:sqref>B135</xm:sqref>
        </x14:dataValidation>
        <x14:dataValidation type="list" allowBlank="1" showInputMessage="1" showErrorMessage="1">
          <x14:formula1>
            <xm:f>Color!$AO$9</xm:f>
          </x14:formula1>
          <xm:sqref>AE113:AF122 AE94:AF97 AE83:AF83 AE79:AF79 AE77:AF77 AE66:AF70 AE57:AF59 AE39:AF52 AE23:AF32</xm:sqref>
        </x14:dataValidation>
        <x14:dataValidation type="list" allowBlank="1" showInputMessage="1" showErrorMessage="1">
          <x14:formula1>
            <xm:f>補助ﾘｽﾄ!$B$11:$B$52</xm:f>
          </x14:formula1>
          <xm:sqref>B66:D70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Y221"/>
  <sheetViews>
    <sheetView view="pageBreakPreview" zoomScale="70" zoomScaleNormal="60" zoomScaleSheetLayoutView="70" workbookViewId="0">
      <selection activeCell="B1" sqref="B1:D1"/>
    </sheetView>
  </sheetViews>
  <sheetFormatPr defaultColWidth="8.8984375" defaultRowHeight="13.2"/>
  <cols>
    <col min="1" max="1" width="4.09765625" style="59" customWidth="1"/>
    <col min="2" max="2" width="14" style="59" bestFit="1" customWidth="1"/>
    <col min="3" max="3" width="7.09765625" style="59" customWidth="1"/>
    <col min="4" max="4" width="12.8984375" style="59" customWidth="1"/>
    <col min="5" max="5" width="13.3984375" style="59" customWidth="1"/>
    <col min="6" max="10" width="12" style="221" customWidth="1"/>
    <col min="11" max="11" width="10.09765625" style="59" customWidth="1"/>
    <col min="12" max="12" width="9" style="59" customWidth="1"/>
    <col min="13" max="13" width="21.69921875" style="59" customWidth="1"/>
    <col min="14" max="14" width="11.09765625" style="59" customWidth="1"/>
    <col min="15" max="15" width="13.3984375" style="59" bestFit="1" customWidth="1"/>
    <col min="16" max="18" width="8.8984375" style="59"/>
    <col min="19" max="19" width="13" style="221" bestFit="1" customWidth="1"/>
    <col min="20" max="24" width="11.3984375" style="221" bestFit="1" customWidth="1"/>
    <col min="25" max="25" width="6.8984375" style="224" bestFit="1" customWidth="1"/>
    <col min="26" max="29" width="4.59765625" style="224" customWidth="1"/>
    <col min="30" max="30" width="5.8984375" style="224" customWidth="1"/>
    <col min="31" max="31" width="17.09765625" style="224" customWidth="1"/>
    <col min="32" max="32" width="17.09765625" style="224" hidden="1" customWidth="1"/>
    <col min="33" max="33" width="8.8984375" style="235" hidden="1" customWidth="1"/>
    <col min="34" max="34" width="14.09765625" style="235" hidden="1" customWidth="1"/>
    <col min="35" max="35" width="8.8984375" style="235" hidden="1" customWidth="1"/>
    <col min="36" max="36" width="8.8984375" style="206" hidden="1" customWidth="1"/>
    <col min="37" max="37" width="16.59765625" style="235" hidden="1" customWidth="1"/>
    <col min="38" max="39" width="8.8984375" style="235" hidden="1" customWidth="1"/>
    <col min="40" max="43" width="8.8984375" style="59" hidden="1" customWidth="1"/>
    <col min="44" max="16384" width="8.8984375" style="59"/>
  </cols>
  <sheetData>
    <row r="1" spans="1:39" ht="15.6" thickTop="1" thickBot="1">
      <c r="B1" s="843" t="s">
        <v>7433</v>
      </c>
      <c r="C1" s="844"/>
      <c r="D1" s="845"/>
      <c r="E1" s="149"/>
      <c r="F1" s="220"/>
      <c r="G1" s="220"/>
      <c r="H1" s="220"/>
      <c r="I1" s="220"/>
      <c r="J1" s="220"/>
      <c r="K1" s="149"/>
      <c r="L1" s="149"/>
      <c r="M1" s="149"/>
      <c r="N1" s="149"/>
      <c r="O1" s="149"/>
      <c r="P1" s="149"/>
      <c r="Q1" s="149"/>
      <c r="R1" s="149"/>
      <c r="S1" s="220"/>
      <c r="T1" s="220"/>
      <c r="U1" s="220"/>
      <c r="V1" s="220"/>
      <c r="W1" s="220"/>
      <c r="X1" s="220"/>
      <c r="Y1" s="222"/>
      <c r="Z1" s="222"/>
      <c r="AA1" s="222"/>
      <c r="AB1" s="222"/>
      <c r="AC1" s="222"/>
      <c r="AD1" s="222"/>
      <c r="AE1" s="222"/>
      <c r="AF1" s="222"/>
      <c r="AG1" s="59"/>
      <c r="AH1" s="59"/>
      <c r="AI1" s="59"/>
      <c r="AJ1" s="534"/>
      <c r="AK1" s="212"/>
      <c r="AL1" s="59"/>
      <c r="AM1" s="59"/>
    </row>
    <row r="2" spans="1:39" ht="15" thickTop="1">
      <c r="B2" s="386"/>
      <c r="C2" s="386"/>
      <c r="D2" s="386"/>
      <c r="E2" s="143"/>
      <c r="F2" s="385"/>
      <c r="G2" s="385"/>
      <c r="H2" s="385"/>
      <c r="I2" s="385"/>
      <c r="J2" s="385"/>
      <c r="K2" s="149"/>
      <c r="L2" s="149"/>
      <c r="M2" s="149"/>
      <c r="N2" s="149"/>
      <c r="O2" s="149"/>
      <c r="P2" s="149"/>
      <c r="Q2" s="149"/>
      <c r="R2" s="149"/>
      <c r="S2" s="220"/>
      <c r="T2" s="220"/>
      <c r="U2" s="220"/>
      <c r="V2" s="220"/>
      <c r="W2" s="220"/>
      <c r="X2" s="220"/>
      <c r="Y2" s="222"/>
      <c r="Z2" s="222"/>
      <c r="AA2" s="222"/>
      <c r="AB2" s="222"/>
      <c r="AC2" s="222"/>
      <c r="AD2" s="222"/>
      <c r="AE2" s="388"/>
      <c r="AF2" s="388"/>
      <c r="AG2" s="59"/>
      <c r="AH2" s="59"/>
      <c r="AI2" s="59"/>
      <c r="AJ2" s="535"/>
      <c r="AK2" s="153"/>
      <c r="AL2" s="59"/>
      <c r="AM2" s="59"/>
    </row>
    <row r="3" spans="1:39">
      <c r="B3" s="915" t="s">
        <v>7812</v>
      </c>
      <c r="C3" s="915"/>
      <c r="D3" s="915"/>
      <c r="E3" s="915"/>
      <c r="F3" s="390"/>
      <c r="G3" s="915" t="s">
        <v>7836</v>
      </c>
      <c r="H3" s="915"/>
      <c r="I3" s="915"/>
      <c r="J3" s="915"/>
      <c r="K3" s="915"/>
      <c r="L3" s="915"/>
      <c r="M3" s="149"/>
      <c r="N3" s="149"/>
      <c r="O3" s="149"/>
      <c r="P3" s="149"/>
      <c r="Q3" s="149"/>
      <c r="R3" s="149"/>
      <c r="S3" s="220"/>
      <c r="T3" s="220"/>
      <c r="U3" s="220"/>
      <c r="V3" s="220"/>
      <c r="W3" s="220"/>
      <c r="X3" s="220"/>
      <c r="Y3" s="222"/>
      <c r="Z3" s="222"/>
      <c r="AA3" s="222"/>
      <c r="AB3" s="222"/>
      <c r="AC3" s="222"/>
      <c r="AD3" s="222"/>
      <c r="AE3" s="222"/>
      <c r="AF3" s="222"/>
      <c r="AG3" s="59"/>
      <c r="AH3" s="59"/>
      <c r="AI3" s="59"/>
      <c r="AJ3" s="535"/>
      <c r="AK3" s="153"/>
      <c r="AL3" s="59"/>
      <c r="AM3" s="59"/>
    </row>
    <row r="4" spans="1:39">
      <c r="B4" s="149"/>
      <c r="C4" s="149"/>
      <c r="D4" s="149"/>
      <c r="E4" s="149"/>
      <c r="F4" s="149"/>
      <c r="G4" s="149"/>
      <c r="H4" s="149"/>
      <c r="I4" s="149"/>
      <c r="J4" s="149"/>
      <c r="K4" s="916" t="s">
        <v>7841</v>
      </c>
      <c r="L4" s="916"/>
      <c r="M4" s="149"/>
      <c r="N4" s="149"/>
      <c r="O4" s="149"/>
      <c r="P4" s="149"/>
      <c r="Q4" s="149"/>
      <c r="R4" s="149"/>
      <c r="S4" s="220"/>
      <c r="T4" s="220"/>
      <c r="U4" s="220"/>
      <c r="V4" s="220"/>
      <c r="W4" s="220"/>
      <c r="X4" s="220"/>
      <c r="Y4" s="222"/>
      <c r="Z4" s="222"/>
      <c r="AA4" s="222"/>
      <c r="AB4" s="222"/>
      <c r="AC4" s="222"/>
      <c r="AD4" s="222"/>
      <c r="AE4" s="222"/>
      <c r="AF4" s="222"/>
      <c r="AG4" s="59"/>
      <c r="AH4" s="59"/>
      <c r="AI4" s="59"/>
      <c r="AJ4" s="535"/>
      <c r="AK4" s="153"/>
      <c r="AL4" s="59"/>
      <c r="AM4" s="59"/>
    </row>
    <row r="5" spans="1:39">
      <c r="B5" s="969" t="s">
        <v>7816</v>
      </c>
      <c r="C5" s="959"/>
      <c r="D5" s="633" t="s">
        <v>7817</v>
      </c>
      <c r="E5" s="391" t="s">
        <v>136</v>
      </c>
      <c r="F5" s="149"/>
      <c r="G5" s="914" t="s">
        <v>6965</v>
      </c>
      <c r="H5" s="914"/>
      <c r="I5" s="914"/>
      <c r="J5" s="685" t="s">
        <v>7809</v>
      </c>
      <c r="K5" s="917" t="s">
        <v>7848</v>
      </c>
      <c r="L5" s="918"/>
      <c r="M5" s="149"/>
      <c r="N5" s="149"/>
      <c r="O5" s="149"/>
      <c r="P5" s="149"/>
      <c r="Q5" s="149"/>
      <c r="R5" s="149"/>
      <c r="S5" s="220"/>
      <c r="T5" s="220"/>
      <c r="U5" s="220"/>
      <c r="V5" s="220"/>
      <c r="W5" s="220"/>
      <c r="X5" s="220"/>
      <c r="Y5" s="222"/>
      <c r="Z5" s="222"/>
      <c r="AA5" s="222"/>
      <c r="AB5" s="222"/>
      <c r="AC5" s="222"/>
      <c r="AD5" s="222"/>
      <c r="AE5" s="222"/>
      <c r="AF5" s="222"/>
      <c r="AG5" s="59"/>
      <c r="AH5" s="59"/>
      <c r="AI5" s="59"/>
      <c r="AJ5" s="535"/>
      <c r="AK5" s="153"/>
      <c r="AL5" s="59"/>
      <c r="AM5" s="59"/>
    </row>
    <row r="6" spans="1:39">
      <c r="B6" s="62" t="s">
        <v>7812</v>
      </c>
      <c r="C6" s="488" t="str">
        <f>'貯蔵・輸送(ST)'!C6</f>
        <v>[Nm3]</v>
      </c>
      <c r="D6" s="691">
        <v>100</v>
      </c>
      <c r="E6" s="654" t="s">
        <v>192</v>
      </c>
      <c r="F6" s="149"/>
      <c r="G6" s="922" t="s">
        <v>7837</v>
      </c>
      <c r="H6" s="922"/>
      <c r="I6" s="922"/>
      <c r="J6" s="685" t="s">
        <v>7834</v>
      </c>
      <c r="K6" s="919" t="s">
        <v>7847</v>
      </c>
      <c r="L6" s="920"/>
      <c r="M6" s="149"/>
      <c r="N6" s="149"/>
      <c r="O6" s="149"/>
      <c r="P6" s="149"/>
      <c r="Q6" s="149"/>
      <c r="R6" s="149"/>
      <c r="S6" s="220"/>
      <c r="T6" s="220"/>
      <c r="U6" s="220"/>
      <c r="V6" s="220"/>
      <c r="W6" s="220"/>
      <c r="X6" s="220"/>
      <c r="Y6" s="222"/>
      <c r="Z6" s="222"/>
      <c r="AA6" s="222"/>
      <c r="AB6" s="222"/>
      <c r="AC6" s="222"/>
      <c r="AD6" s="222"/>
      <c r="AE6" s="222"/>
      <c r="AF6" s="222"/>
      <c r="AG6" s="59"/>
      <c r="AH6" s="59"/>
      <c r="AI6" s="59"/>
      <c r="AJ6" s="535"/>
      <c r="AK6" s="153"/>
      <c r="AL6" s="59"/>
      <c r="AM6" s="59"/>
    </row>
    <row r="7" spans="1:39">
      <c r="B7" s="149"/>
      <c r="C7" s="149"/>
      <c r="D7" s="149"/>
      <c r="E7" s="149"/>
      <c r="F7" s="149"/>
      <c r="G7" s="914" t="s">
        <v>6967</v>
      </c>
      <c r="H7" s="914"/>
      <c r="I7" s="914"/>
      <c r="J7" s="685" t="s">
        <v>7809</v>
      </c>
      <c r="K7" s="917" t="s">
        <v>7846</v>
      </c>
      <c r="L7" s="921"/>
      <c r="M7" s="149"/>
      <c r="N7" s="149"/>
      <c r="O7" s="149"/>
      <c r="P7" s="149"/>
      <c r="Q7" s="149"/>
      <c r="R7" s="149"/>
      <c r="S7" s="220"/>
      <c r="T7" s="220"/>
      <c r="U7" s="220"/>
      <c r="V7" s="220"/>
      <c r="W7" s="220"/>
      <c r="X7" s="220"/>
      <c r="Y7" s="222"/>
      <c r="Z7" s="222"/>
      <c r="AA7" s="222"/>
      <c r="AB7" s="222"/>
      <c r="AC7" s="222"/>
      <c r="AD7" s="222"/>
      <c r="AE7" s="222"/>
      <c r="AF7" s="222"/>
      <c r="AG7" s="59"/>
      <c r="AH7" s="59"/>
      <c r="AI7" s="59"/>
      <c r="AJ7" s="535"/>
      <c r="AK7" s="153"/>
      <c r="AL7" s="59"/>
      <c r="AM7" s="59"/>
    </row>
    <row r="8" spans="1:39">
      <c r="B8" s="960" t="str">
        <f>B6</f>
        <v>供給量</v>
      </c>
      <c r="C8" s="961"/>
      <c r="D8" s="632" t="s">
        <v>7820</v>
      </c>
      <c r="E8" s="149"/>
      <c r="F8" s="149"/>
      <c r="G8" s="914" t="s">
        <v>6973</v>
      </c>
      <c r="H8" s="914"/>
      <c r="I8" s="914"/>
      <c r="J8" s="685" t="s">
        <v>7809</v>
      </c>
      <c r="K8" s="917" t="s">
        <v>7845</v>
      </c>
      <c r="L8" s="921"/>
      <c r="M8" s="149"/>
      <c r="N8" s="149"/>
      <c r="O8" s="149"/>
      <c r="P8" s="149"/>
      <c r="Q8" s="149"/>
      <c r="R8" s="220"/>
      <c r="S8" s="220"/>
      <c r="T8" s="220"/>
      <c r="U8" s="220"/>
      <c r="V8" s="220"/>
      <c r="W8" s="220"/>
      <c r="X8" s="222"/>
      <c r="Y8" s="222"/>
      <c r="Z8" s="222"/>
      <c r="AA8" s="222"/>
      <c r="AB8" s="222"/>
      <c r="AC8" s="222"/>
      <c r="AD8" s="149"/>
      <c r="AE8" s="149"/>
      <c r="AF8" s="149"/>
      <c r="AG8" s="59"/>
      <c r="AH8" s="59"/>
      <c r="AI8" s="535"/>
      <c r="AJ8" s="153"/>
      <c r="AK8" s="59"/>
      <c r="AL8" s="59"/>
      <c r="AM8" s="59"/>
    </row>
    <row r="9" spans="1:39">
      <c r="B9" s="960" t="s">
        <v>7547</v>
      </c>
      <c r="C9" s="961"/>
      <c r="D9" s="689">
        <f>IFERROR(IF($C6="[kg]",D6,IF($C6="[t]",D6*1000,IF($C6="[1000Nm3]",D6*共通データ!$C$29*1000,D6*共通データ!$C$29))),"")</f>
        <v>8.99</v>
      </c>
      <c r="E9" s="149"/>
      <c r="F9" s="149"/>
      <c r="G9" s="914" t="s">
        <v>7839</v>
      </c>
      <c r="H9" s="914"/>
      <c r="I9" s="914"/>
      <c r="J9" s="685" t="s">
        <v>7809</v>
      </c>
      <c r="K9" s="917" t="s">
        <v>7842</v>
      </c>
      <c r="L9" s="921"/>
      <c r="M9" s="149"/>
      <c r="N9" s="149"/>
      <c r="O9" s="149"/>
      <c r="P9" s="149"/>
      <c r="Q9" s="149"/>
      <c r="R9" s="220"/>
      <c r="S9" s="220"/>
      <c r="T9" s="220"/>
      <c r="U9" s="220"/>
      <c r="V9" s="220"/>
      <c r="W9" s="220"/>
      <c r="X9" s="222"/>
      <c r="Y9" s="222"/>
      <c r="Z9" s="222"/>
      <c r="AA9" s="222"/>
      <c r="AB9" s="222"/>
      <c r="AC9" s="222"/>
      <c r="AD9" s="149"/>
      <c r="AE9" s="149"/>
      <c r="AF9" s="149"/>
      <c r="AG9" s="59"/>
      <c r="AH9" s="59"/>
      <c r="AI9" s="535"/>
      <c r="AJ9" s="153"/>
      <c r="AK9" s="59"/>
      <c r="AL9" s="59"/>
      <c r="AM9" s="59"/>
    </row>
    <row r="10" spans="1:39">
      <c r="B10" s="960" t="s">
        <v>7548</v>
      </c>
      <c r="C10" s="961"/>
      <c r="D10" s="690">
        <f>IFERROR(D9*共通データ!$H$29,"")</f>
        <v>1078.8</v>
      </c>
      <c r="E10" s="149"/>
      <c r="F10" s="149"/>
      <c r="G10" s="914" t="s">
        <v>7838</v>
      </c>
      <c r="H10" s="914"/>
      <c r="I10" s="914"/>
      <c r="J10" s="685" t="s">
        <v>7809</v>
      </c>
      <c r="K10" s="917" t="s">
        <v>7843</v>
      </c>
      <c r="L10" s="921"/>
      <c r="M10" s="149"/>
      <c r="N10" s="149"/>
      <c r="O10" s="149"/>
      <c r="P10" s="149"/>
      <c r="Q10" s="149"/>
      <c r="R10" s="220"/>
      <c r="S10" s="220"/>
      <c r="T10" s="220"/>
      <c r="U10" s="220"/>
      <c r="V10" s="220"/>
      <c r="W10" s="220"/>
      <c r="X10" s="222"/>
      <c r="Y10" s="222"/>
      <c r="Z10" s="222"/>
      <c r="AA10" s="222"/>
      <c r="AB10" s="222"/>
      <c r="AC10" s="222"/>
      <c r="AD10" s="149"/>
      <c r="AE10" s="149"/>
      <c r="AF10" s="149"/>
      <c r="AG10" s="59"/>
      <c r="AH10" s="59"/>
      <c r="AI10" s="535"/>
      <c r="AJ10" s="153"/>
      <c r="AK10" s="59"/>
      <c r="AL10" s="59"/>
      <c r="AM10" s="59"/>
    </row>
    <row r="11" spans="1:39">
      <c r="B11" s="1072" t="s">
        <v>7549</v>
      </c>
      <c r="C11" s="1073"/>
      <c r="D11" s="690">
        <f>IFERROR(D9/共通データ!$C$29,"")</f>
        <v>100.00000000000001</v>
      </c>
      <c r="E11" s="149"/>
      <c r="F11" s="149"/>
      <c r="G11" s="914" t="s">
        <v>7840</v>
      </c>
      <c r="H11" s="914"/>
      <c r="I11" s="914"/>
      <c r="J11" s="685" t="s">
        <v>7809</v>
      </c>
      <c r="K11" s="917" t="s">
        <v>7844</v>
      </c>
      <c r="L11" s="918"/>
      <c r="M11" s="149"/>
      <c r="N11" s="149"/>
      <c r="O11" s="149"/>
      <c r="P11" s="149"/>
      <c r="Q11" s="149"/>
      <c r="R11" s="220"/>
      <c r="S11" s="220"/>
      <c r="T11" s="220"/>
      <c r="U11" s="220"/>
      <c r="V11" s="220"/>
      <c r="W11" s="220"/>
      <c r="X11" s="222"/>
      <c r="Y11" s="222"/>
      <c r="Z11" s="222"/>
      <c r="AA11" s="222"/>
      <c r="AB11" s="222"/>
      <c r="AC11" s="222"/>
      <c r="AD11" s="149"/>
      <c r="AE11" s="149"/>
      <c r="AF11" s="149"/>
      <c r="AG11" s="59"/>
      <c r="AH11" s="59"/>
      <c r="AI11" s="535"/>
      <c r="AJ11" s="153"/>
      <c r="AK11" s="59"/>
      <c r="AL11" s="59"/>
      <c r="AM11" s="59"/>
    </row>
    <row r="12" spans="1:39">
      <c r="B12" s="311"/>
      <c r="C12" s="150"/>
      <c r="D12" s="245"/>
      <c r="E12" s="246"/>
      <c r="F12" s="153"/>
      <c r="G12" s="153"/>
      <c r="H12" s="153"/>
      <c r="I12" s="220"/>
      <c r="J12" s="220"/>
      <c r="K12" s="149"/>
      <c r="L12" s="149"/>
      <c r="M12" s="149"/>
      <c r="N12" s="149"/>
      <c r="O12" s="149"/>
      <c r="P12" s="149"/>
      <c r="Q12" s="149"/>
      <c r="R12" s="149"/>
      <c r="S12" s="220"/>
      <c r="T12" s="220"/>
      <c r="U12" s="220"/>
      <c r="V12" s="220"/>
      <c r="W12" s="220"/>
      <c r="X12" s="220"/>
      <c r="Y12" s="222"/>
      <c r="Z12" s="222"/>
      <c r="AA12" s="222"/>
      <c r="AB12" s="222"/>
      <c r="AC12" s="222"/>
      <c r="AD12" s="222"/>
      <c r="AE12" s="222"/>
      <c r="AF12" s="222"/>
      <c r="AG12" s="59"/>
      <c r="AH12" s="59"/>
      <c r="AI12" s="59"/>
      <c r="AJ12" s="535"/>
      <c r="AK12" s="153"/>
      <c r="AL12" s="59"/>
      <c r="AM12" s="59"/>
    </row>
    <row r="13" spans="1:39" customFormat="1" ht="13.8">
      <c r="A13" s="89"/>
      <c r="B13" s="989" t="s">
        <v>7656</v>
      </c>
      <c r="C13" s="989"/>
      <c r="D13" s="1051"/>
      <c r="E13" s="1051"/>
      <c r="F13" s="1051"/>
      <c r="G13" s="1051"/>
      <c r="H13" s="1051"/>
      <c r="I13" s="1051"/>
      <c r="J13" s="1051"/>
      <c r="K13" s="1051"/>
      <c r="L13" s="89"/>
      <c r="M13" s="89"/>
      <c r="N13" s="89"/>
      <c r="O13" s="89"/>
      <c r="P13" s="89"/>
      <c r="Q13" s="89"/>
      <c r="R13" s="89"/>
      <c r="S13" s="89"/>
      <c r="T13" s="89"/>
      <c r="U13" s="89"/>
      <c r="V13" s="89"/>
      <c r="W13" s="89"/>
      <c r="X13" s="89"/>
      <c r="Y13" s="89"/>
      <c r="Z13" s="89"/>
      <c r="AA13" s="89"/>
      <c r="AB13" s="89"/>
      <c r="AC13" s="89"/>
      <c r="AD13" s="802"/>
      <c r="AE13" s="802"/>
      <c r="AF13" s="802"/>
      <c r="AJ13" s="536"/>
    </row>
    <row r="14" spans="1:39" customFormat="1" ht="13.8">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02"/>
      <c r="AF14" s="802"/>
      <c r="AJ14" s="536"/>
    </row>
    <row r="15" spans="1:39" customFormat="1" ht="13.8">
      <c r="A15" s="89"/>
      <c r="B15" s="980" t="s">
        <v>181</v>
      </c>
      <c r="C15" s="981"/>
      <c r="D15" s="86"/>
      <c r="E15" s="86"/>
      <c r="F15" s="450" t="s">
        <v>200</v>
      </c>
      <c r="G15" s="450" t="s">
        <v>201</v>
      </c>
      <c r="H15" s="450" t="s">
        <v>202</v>
      </c>
      <c r="I15" s="450" t="s">
        <v>203</v>
      </c>
      <c r="J15" s="450" t="s">
        <v>204</v>
      </c>
      <c r="K15" s="143"/>
      <c r="L15" s="89"/>
      <c r="M15" s="89"/>
      <c r="N15" s="89"/>
      <c r="O15" s="89"/>
      <c r="P15" s="89"/>
      <c r="Q15" s="89"/>
      <c r="R15" s="89"/>
      <c r="S15" s="89"/>
      <c r="T15" s="89"/>
      <c r="U15" s="89"/>
      <c r="V15" s="89"/>
      <c r="W15" s="89"/>
      <c r="X15" s="89"/>
      <c r="Y15" s="89"/>
      <c r="Z15" s="89"/>
      <c r="AA15" s="89"/>
      <c r="AB15" s="89"/>
      <c r="AC15" s="89"/>
      <c r="AD15" s="89"/>
      <c r="AE15" s="802"/>
      <c r="AF15" s="802"/>
      <c r="AJ15" s="536"/>
    </row>
    <row r="16" spans="1:39" s="319" customFormat="1" ht="13.8">
      <c r="A16" s="317"/>
      <c r="B16" s="1070" t="s">
        <v>182</v>
      </c>
      <c r="C16" s="1071"/>
      <c r="D16" s="318"/>
      <c r="E16" s="318"/>
      <c r="F16" s="654" t="s">
        <v>7590</v>
      </c>
      <c r="G16" s="654" t="s">
        <v>7948</v>
      </c>
      <c r="H16" s="654" t="s">
        <v>7949</v>
      </c>
      <c r="I16" s="654" t="s">
        <v>192</v>
      </c>
      <c r="J16" s="654" t="s">
        <v>192</v>
      </c>
      <c r="K16" s="393"/>
      <c r="L16" s="317"/>
      <c r="M16" s="317"/>
      <c r="N16" s="317"/>
      <c r="O16" s="317"/>
      <c r="P16" s="317"/>
      <c r="Q16" s="317"/>
      <c r="R16" s="317"/>
      <c r="S16" s="317"/>
      <c r="T16" s="317"/>
      <c r="U16" s="317"/>
      <c r="V16" s="317"/>
      <c r="W16" s="317"/>
      <c r="X16" s="317"/>
      <c r="Y16" s="317"/>
      <c r="Z16" s="317"/>
      <c r="AA16" s="317"/>
      <c r="AB16" s="317"/>
      <c r="AC16" s="317"/>
      <c r="AD16" s="317"/>
      <c r="AE16" s="802"/>
      <c r="AF16" s="802"/>
      <c r="AJ16" s="537"/>
    </row>
    <row r="17" spans="1:39" s="319" customFormat="1" ht="13.8">
      <c r="A17" s="317"/>
      <c r="B17" s="1070" t="s">
        <v>183</v>
      </c>
      <c r="C17" s="1071"/>
      <c r="D17" s="318"/>
      <c r="E17" s="318"/>
      <c r="F17" s="654" t="s">
        <v>192</v>
      </c>
      <c r="G17" s="654" t="s">
        <v>192</v>
      </c>
      <c r="H17" s="654" t="s">
        <v>192</v>
      </c>
      <c r="I17" s="654" t="s">
        <v>192</v>
      </c>
      <c r="J17" s="654" t="s">
        <v>192</v>
      </c>
      <c r="K17" s="393"/>
      <c r="L17" s="317"/>
      <c r="M17" s="317"/>
      <c r="N17" s="317"/>
      <c r="O17" s="317"/>
      <c r="P17" s="317"/>
      <c r="Q17" s="317"/>
      <c r="R17" s="317"/>
      <c r="S17" s="317"/>
      <c r="T17" s="317"/>
      <c r="U17" s="317"/>
      <c r="V17" s="317"/>
      <c r="W17" s="317"/>
      <c r="X17" s="317"/>
      <c r="Y17" s="317"/>
      <c r="Z17" s="317"/>
      <c r="AA17" s="317"/>
      <c r="AB17" s="317"/>
      <c r="AC17" s="317"/>
      <c r="AD17" s="317"/>
      <c r="AE17" s="802"/>
      <c r="AF17" s="802"/>
      <c r="AJ17" s="537"/>
    </row>
    <row r="18" spans="1:39">
      <c r="B18" s="149"/>
      <c r="C18" s="149"/>
      <c r="D18" s="149"/>
      <c r="E18" s="149"/>
      <c r="F18" s="220"/>
      <c r="G18" s="220"/>
      <c r="H18" s="220"/>
      <c r="I18" s="220"/>
      <c r="J18" s="220"/>
      <c r="K18" s="149"/>
      <c r="L18" s="149"/>
      <c r="M18" s="149"/>
      <c r="N18" s="149"/>
      <c r="O18" s="149"/>
      <c r="P18" s="149"/>
      <c r="Q18" s="149"/>
      <c r="R18" s="149"/>
      <c r="S18" s="220"/>
      <c r="T18" s="220"/>
      <c r="U18" s="220"/>
      <c r="V18" s="220"/>
      <c r="W18" s="220"/>
      <c r="X18" s="220"/>
      <c r="Y18" s="222"/>
      <c r="Z18" s="222"/>
      <c r="AA18" s="222"/>
      <c r="AB18" s="222"/>
      <c r="AC18" s="222"/>
      <c r="AD18" s="222"/>
      <c r="AE18" s="222"/>
      <c r="AF18" s="222"/>
      <c r="AG18" s="59"/>
      <c r="AH18" s="59"/>
      <c r="AI18" s="59"/>
      <c r="AJ18" s="534"/>
      <c r="AK18" s="212"/>
      <c r="AL18" s="59"/>
      <c r="AM18" s="59"/>
    </row>
    <row r="19" spans="1:39">
      <c r="B19" s="915" t="s">
        <v>7781</v>
      </c>
      <c r="C19" s="915"/>
      <c r="D19" s="915"/>
      <c r="E19" s="915"/>
      <c r="F19" s="915"/>
      <c r="G19" s="915"/>
      <c r="H19" s="915"/>
      <c r="I19" s="915"/>
      <c r="J19" s="915"/>
      <c r="K19" s="915"/>
      <c r="L19" s="915"/>
      <c r="M19" s="915"/>
      <c r="N19" s="915"/>
      <c r="O19" s="915"/>
      <c r="P19" s="149"/>
      <c r="Q19" s="935" t="s">
        <v>7789</v>
      </c>
      <c r="R19" s="935"/>
      <c r="S19" s="935"/>
      <c r="T19" s="935"/>
      <c r="U19" s="935"/>
      <c r="V19" s="935"/>
      <c r="W19" s="935"/>
      <c r="X19" s="935"/>
      <c r="Y19" s="935"/>
      <c r="Z19" s="935"/>
      <c r="AA19" s="935"/>
      <c r="AB19" s="935"/>
      <c r="AC19" s="935"/>
      <c r="AD19" s="935"/>
      <c r="AE19" s="811"/>
      <c r="AF19" s="811"/>
      <c r="AG19" s="59"/>
      <c r="AH19" s="59"/>
      <c r="AI19" s="59"/>
      <c r="AJ19" s="492"/>
      <c r="AK19" s="213"/>
      <c r="AL19" s="59"/>
      <c r="AM19" s="59"/>
    </row>
    <row r="20" spans="1:39" s="149" customFormat="1">
      <c r="F20" s="220"/>
      <c r="G20" s="220"/>
      <c r="H20" s="220"/>
      <c r="I20" s="220"/>
      <c r="J20" s="220"/>
      <c r="S20" s="220"/>
      <c r="T20" s="220"/>
      <c r="U20" s="220"/>
      <c r="V20" s="220"/>
      <c r="W20" s="220"/>
      <c r="X20" s="220"/>
      <c r="Y20" s="222"/>
      <c r="Z20" s="222"/>
      <c r="AA20" s="222"/>
      <c r="AB20" s="222"/>
      <c r="AC20" s="222"/>
      <c r="AD20" s="222"/>
      <c r="AE20" s="222"/>
      <c r="AF20" s="222"/>
      <c r="AG20" s="207"/>
      <c r="AH20" s="207"/>
      <c r="AJ20" s="534"/>
      <c r="AK20" s="212"/>
    </row>
    <row r="21" spans="1:39" ht="14.1" customHeight="1">
      <c r="B21" s="890" t="s">
        <v>7659</v>
      </c>
      <c r="C21" s="937"/>
      <c r="D21" s="891"/>
      <c r="E21" s="892"/>
      <c r="F21" s="938" t="s">
        <v>7669</v>
      </c>
      <c r="G21" s="939"/>
      <c r="H21" s="939"/>
      <c r="I21" s="939"/>
      <c r="J21" s="939"/>
      <c r="K21" s="940"/>
      <c r="L21" s="941" t="s">
        <v>136</v>
      </c>
      <c r="M21" s="943" t="s">
        <v>210</v>
      </c>
      <c r="N21" s="944"/>
      <c r="O21" s="945"/>
      <c r="P21" s="149"/>
      <c r="Q21" s="890" t="s">
        <v>6976</v>
      </c>
      <c r="R21" s="892"/>
      <c r="S21" s="933" t="s">
        <v>7666</v>
      </c>
      <c r="T21" s="934"/>
      <c r="U21" s="934"/>
      <c r="V21" s="934"/>
      <c r="W21" s="934"/>
      <c r="X21" s="934"/>
      <c r="Y21" s="955" t="s">
        <v>7543</v>
      </c>
      <c r="Z21" s="956"/>
      <c r="AA21" s="956"/>
      <c r="AB21" s="956"/>
      <c r="AC21" s="956"/>
      <c r="AD21" s="956"/>
      <c r="AE21" s="904" t="s">
        <v>7919</v>
      </c>
      <c r="AF21" s="810"/>
      <c r="AG21" s="207"/>
      <c r="AH21" s="207"/>
      <c r="AI21" s="59"/>
      <c r="AJ21" s="1019" t="s">
        <v>210</v>
      </c>
      <c r="AK21" s="1019"/>
      <c r="AL21" s="59"/>
      <c r="AM21" s="59"/>
    </row>
    <row r="22" spans="1:39" ht="13.8" thickBot="1">
      <c r="B22" s="893"/>
      <c r="C22" s="894"/>
      <c r="D22" s="894"/>
      <c r="E22" s="898"/>
      <c r="F22" s="312" t="s">
        <v>7879</v>
      </c>
      <c r="G22" s="312" t="s">
        <v>7880</v>
      </c>
      <c r="H22" s="312" t="s">
        <v>7061</v>
      </c>
      <c r="I22" s="312" t="s">
        <v>7062</v>
      </c>
      <c r="J22" s="312" t="s">
        <v>7063</v>
      </c>
      <c r="K22" s="313" t="s">
        <v>7436</v>
      </c>
      <c r="L22" s="942"/>
      <c r="M22" s="946"/>
      <c r="N22" s="947"/>
      <c r="O22" s="948"/>
      <c r="P22" s="149"/>
      <c r="Q22" s="896"/>
      <c r="R22" s="898"/>
      <c r="S22" s="312" t="s">
        <v>7879</v>
      </c>
      <c r="T22" s="312" t="s">
        <v>7880</v>
      </c>
      <c r="U22" s="312" t="s">
        <v>7061</v>
      </c>
      <c r="V22" s="312" t="s">
        <v>7062</v>
      </c>
      <c r="W22" s="312" t="s">
        <v>7063</v>
      </c>
      <c r="X22" s="313" t="s">
        <v>7436</v>
      </c>
      <c r="Y22" s="312" t="s">
        <v>7879</v>
      </c>
      <c r="Z22" s="312" t="s">
        <v>7880</v>
      </c>
      <c r="AA22" s="312" t="s">
        <v>7061</v>
      </c>
      <c r="AB22" s="312" t="s">
        <v>7062</v>
      </c>
      <c r="AC22" s="312" t="s">
        <v>7063</v>
      </c>
      <c r="AD22" s="313" t="s">
        <v>7436</v>
      </c>
      <c r="AE22" s="905"/>
      <c r="AF22" s="810"/>
      <c r="AG22" s="207"/>
      <c r="AH22" s="207"/>
      <c r="AI22" s="59"/>
      <c r="AJ22" s="1019"/>
      <c r="AK22" s="1019"/>
      <c r="AL22" s="59"/>
      <c r="AM22" s="59"/>
    </row>
    <row r="23" spans="1:39" ht="15" customHeight="1" thickBot="1">
      <c r="B23" s="907"/>
      <c r="C23" s="908"/>
      <c r="D23" s="909"/>
      <c r="E23" s="478" t="str">
        <f>IFERROR(IF(B23="","",VLOOKUP($B23,IDEAGLIO補助ﾘｽﾄ!$B$2:$F$50,4, FALSE)),"")</f>
        <v/>
      </c>
      <c r="F23" s="691">
        <v>0</v>
      </c>
      <c r="G23" s="691">
        <v>0</v>
      </c>
      <c r="H23" s="691">
        <v>0</v>
      </c>
      <c r="I23" s="691">
        <v>0</v>
      </c>
      <c r="J23" s="691">
        <v>0</v>
      </c>
      <c r="K23" s="692">
        <f t="shared" ref="K23:K32" si="0">SUM(F23:J23)</f>
        <v>0</v>
      </c>
      <c r="L23" s="639" t="s">
        <v>192</v>
      </c>
      <c r="M23" s="479" t="str">
        <f>IFERROR(VLOOKUP($B23,IDEAGLIO補助ﾘｽﾄ!$B$2:$F$50,3,FALSE),"")</f>
        <v/>
      </c>
      <c r="N23" s="480" t="str">
        <f>IFERROR(VLOOKUP($B23,IDEAGLIO補助ﾘｽﾄ!$B$2:$F$50,5,FALSE),"")</f>
        <v/>
      </c>
      <c r="O23" s="213" t="str">
        <f>IF(E23="","","[kgCO2/"&amp;E23&amp;"] ")</f>
        <v/>
      </c>
      <c r="P23" s="149"/>
      <c r="Q23" s="910" t="str">
        <f>IF(B23="","",B23)</f>
        <v/>
      </c>
      <c r="R23" s="911"/>
      <c r="S23" s="715">
        <f>IFERROR(F23*$N23,0)</f>
        <v>0</v>
      </c>
      <c r="T23" s="715">
        <f t="shared" ref="T23:W32" si="1">IFERROR(G23*$N23,0)</f>
        <v>0</v>
      </c>
      <c r="U23" s="715">
        <f t="shared" si="1"/>
        <v>0</v>
      </c>
      <c r="V23" s="715">
        <f t="shared" si="1"/>
        <v>0</v>
      </c>
      <c r="W23" s="715">
        <f t="shared" si="1"/>
        <v>0</v>
      </c>
      <c r="X23" s="715">
        <f t="shared" ref="X23:X32" si="2">SUM(S23:W23)</f>
        <v>0</v>
      </c>
      <c r="Y23" s="776" t="str">
        <f>IFERROR(IF(S23=0,"",S23*$AJ$170/('製造(P)'!$K$190+'貯蔵・輸送(ST)'!$K$190+'供給(D)'!$K$190)),"")</f>
        <v/>
      </c>
      <c r="Z23" s="776" t="str">
        <f>IFERROR(IF(T23=0,"",T23*$AJ$170/('製造(P)'!$K$190+'貯蔵・輸送(ST)'!$K$190+'供給(D)'!$K$190)),"")</f>
        <v/>
      </c>
      <c r="AA23" s="776" t="str">
        <f>IFERROR(IF(U23=0,"",U23*$AJ$170/('製造(P)'!$K$190+'貯蔵・輸送(ST)'!$K$190+'供給(D)'!$K$190)),"")</f>
        <v/>
      </c>
      <c r="AB23" s="776" t="str">
        <f>IFERROR(IF(V23=0,"",V23*$AJ$170/('製造(P)'!$K$190+'貯蔵・輸送(ST)'!$K$190+'供給(D)'!$K$190)),"")</f>
        <v/>
      </c>
      <c r="AC23" s="776" t="str">
        <f>IFERROR(IF(W23=0,"",W23*$AJ$170/('製造(P)'!$K$190+'貯蔵・輸送(ST)'!$K$190+'供給(D)'!$K$190)),"")</f>
        <v/>
      </c>
      <c r="AD23" s="778" t="str">
        <f>IFERROR(IF(X23=0,"",X23*$AJ$170/('製造(P)'!$K$190+'貯蔵・輸送(ST)'!$K$190+'供給(D)'!$K$190)),"")</f>
        <v/>
      </c>
      <c r="AE23" s="685"/>
      <c r="AF23" s="787"/>
      <c r="AG23" s="207" t="s">
        <v>6940</v>
      </c>
      <c r="AH23" s="207">
        <v>172411000</v>
      </c>
      <c r="AI23" s="59"/>
      <c r="AJ23" s="538">
        <f>VLOOKUP($AH23,IDEAv2原単位!$A$3:$F$4021,6,FALSE)</f>
        <v>1.2378879008784885E-2</v>
      </c>
      <c r="AK23" s="213" t="s">
        <v>54</v>
      </c>
      <c r="AL23" s="59"/>
      <c r="AM23" s="59"/>
    </row>
    <row r="24" spans="1:39" ht="15" customHeight="1" thickBot="1">
      <c r="B24" s="907"/>
      <c r="C24" s="908"/>
      <c r="D24" s="909"/>
      <c r="E24" s="478" t="str">
        <f>IFERROR(IF(B24="","",VLOOKUP($B24,IDEAGLIO補助ﾘｽﾄ!$B$2:$F$50,4, FALSE)),"")</f>
        <v/>
      </c>
      <c r="F24" s="691">
        <v>0</v>
      </c>
      <c r="G24" s="691">
        <v>0</v>
      </c>
      <c r="H24" s="691">
        <v>0</v>
      </c>
      <c r="I24" s="691">
        <v>0</v>
      </c>
      <c r="J24" s="691">
        <v>0</v>
      </c>
      <c r="K24" s="692">
        <f t="shared" ref="K24:K30" si="3">SUM(F24:J24)</f>
        <v>0</v>
      </c>
      <c r="L24" s="639" t="s">
        <v>192</v>
      </c>
      <c r="M24" s="479" t="str">
        <f>IFERROR(VLOOKUP($B24,IDEAGLIO補助ﾘｽﾄ!$B$2:$F$50,3,FALSE),"")</f>
        <v/>
      </c>
      <c r="N24" s="480" t="str">
        <f>IFERROR(VLOOKUP($B24,IDEAGLIO補助ﾘｽﾄ!$B$2:$F$50,5,FALSE),"")</f>
        <v/>
      </c>
      <c r="O24" s="213" t="str">
        <f t="shared" ref="O24:O30" si="4">IF(E24="","","[kgCO2/"&amp;E24&amp;"] ")</f>
        <v/>
      </c>
      <c r="P24" s="149"/>
      <c r="Q24" s="910" t="str">
        <f t="shared" ref="Q24:Q30" si="5">IF(B24="","",B24)</f>
        <v/>
      </c>
      <c r="R24" s="911"/>
      <c r="S24" s="715">
        <f t="shared" ref="S24:S30" si="6">IFERROR(F24*$N24,0)</f>
        <v>0</v>
      </c>
      <c r="T24" s="715">
        <f t="shared" ref="T24:T30" si="7">IFERROR(G24*$N24,0)</f>
        <v>0</v>
      </c>
      <c r="U24" s="715">
        <f t="shared" ref="U24:U30" si="8">IFERROR(H24*$N24,0)</f>
        <v>0</v>
      </c>
      <c r="V24" s="715">
        <f t="shared" ref="V24:V30" si="9">IFERROR(I24*$N24,0)</f>
        <v>0</v>
      </c>
      <c r="W24" s="715">
        <f t="shared" ref="W24:W30" si="10">IFERROR(J24*$N24,0)</f>
        <v>0</v>
      </c>
      <c r="X24" s="715">
        <f t="shared" ref="X24:X30" si="11">SUM(S24:W24)</f>
        <v>0</v>
      </c>
      <c r="Y24" s="776" t="str">
        <f>IFERROR(IF(S24=0,"",S24*$AJ$170/('製造(P)'!$K$190+'貯蔵・輸送(ST)'!$K$190+'供給(D)'!$K$190)),"")</f>
        <v/>
      </c>
      <c r="Z24" s="776" t="str">
        <f>IFERROR(IF(T24=0,"",T24*$AJ$170/('製造(P)'!$K$190+'貯蔵・輸送(ST)'!$K$190+'供給(D)'!$K$190)),"")</f>
        <v/>
      </c>
      <c r="AA24" s="776" t="str">
        <f>IFERROR(IF(U24=0,"",U24*$AJ$170/('製造(P)'!$K$190+'貯蔵・輸送(ST)'!$K$190+'供給(D)'!$K$190)),"")</f>
        <v/>
      </c>
      <c r="AB24" s="776" t="str">
        <f>IFERROR(IF(V24=0,"",V24*$AJ$170/('製造(P)'!$K$190+'貯蔵・輸送(ST)'!$K$190+'供給(D)'!$K$190)),"")</f>
        <v/>
      </c>
      <c r="AC24" s="776" t="str">
        <f>IFERROR(IF(W24=0,"",W24*$AJ$170/('製造(P)'!$K$190+'貯蔵・輸送(ST)'!$K$190+'供給(D)'!$K$190)),"")</f>
        <v/>
      </c>
      <c r="AD24" s="778" t="str">
        <f>IFERROR(IF(X24=0,"",X24*$AJ$170/('製造(P)'!$K$190+'貯蔵・輸送(ST)'!$K$190+'供給(D)'!$K$190)),"")</f>
        <v/>
      </c>
      <c r="AE24" s="685"/>
      <c r="AF24" s="787"/>
      <c r="AG24" s="207"/>
      <c r="AH24" s="207"/>
      <c r="AI24" s="59"/>
      <c r="AJ24" s="766"/>
      <c r="AK24" s="765"/>
      <c r="AL24" s="59"/>
      <c r="AM24" s="59"/>
    </row>
    <row r="25" spans="1:39" ht="15" customHeight="1" thickBot="1">
      <c r="B25" s="907"/>
      <c r="C25" s="908"/>
      <c r="D25" s="909"/>
      <c r="E25" s="478" t="str">
        <f>IFERROR(IF(B25="","",VLOOKUP($B25,IDEAGLIO補助ﾘｽﾄ!$B$2:$F$50,4, FALSE)),"")</f>
        <v/>
      </c>
      <c r="F25" s="691">
        <v>0</v>
      </c>
      <c r="G25" s="691">
        <v>0</v>
      </c>
      <c r="H25" s="691">
        <v>0</v>
      </c>
      <c r="I25" s="691">
        <v>0</v>
      </c>
      <c r="J25" s="691">
        <v>0</v>
      </c>
      <c r="K25" s="692">
        <f t="shared" si="3"/>
        <v>0</v>
      </c>
      <c r="L25" s="639" t="s">
        <v>192</v>
      </c>
      <c r="M25" s="479" t="str">
        <f>IFERROR(VLOOKUP($B25,IDEAGLIO補助ﾘｽﾄ!$B$2:$F$50,3,FALSE),"")</f>
        <v/>
      </c>
      <c r="N25" s="480" t="str">
        <f>IFERROR(VLOOKUP($B25,IDEAGLIO補助ﾘｽﾄ!$B$2:$F$50,5,FALSE),"")</f>
        <v/>
      </c>
      <c r="O25" s="213" t="str">
        <f t="shared" si="4"/>
        <v/>
      </c>
      <c r="P25" s="149"/>
      <c r="Q25" s="910" t="str">
        <f t="shared" si="5"/>
        <v/>
      </c>
      <c r="R25" s="911"/>
      <c r="S25" s="715">
        <f t="shared" si="6"/>
        <v>0</v>
      </c>
      <c r="T25" s="715">
        <f t="shared" si="7"/>
        <v>0</v>
      </c>
      <c r="U25" s="715">
        <f t="shared" si="8"/>
        <v>0</v>
      </c>
      <c r="V25" s="715">
        <f t="shared" si="9"/>
        <v>0</v>
      </c>
      <c r="W25" s="715">
        <f t="shared" si="10"/>
        <v>0</v>
      </c>
      <c r="X25" s="715">
        <f t="shared" si="11"/>
        <v>0</v>
      </c>
      <c r="Y25" s="776" t="str">
        <f>IFERROR(IF(S25=0,"",S25*$AJ$170/('製造(P)'!$K$190+'貯蔵・輸送(ST)'!$K$190+'供給(D)'!$K$190)),"")</f>
        <v/>
      </c>
      <c r="Z25" s="776" t="str">
        <f>IFERROR(IF(T25=0,"",T25*$AJ$170/('製造(P)'!$K$190+'貯蔵・輸送(ST)'!$K$190+'供給(D)'!$K$190)),"")</f>
        <v/>
      </c>
      <c r="AA25" s="776" t="str">
        <f>IFERROR(IF(U25=0,"",U25*$AJ$170/('製造(P)'!$K$190+'貯蔵・輸送(ST)'!$K$190+'供給(D)'!$K$190)),"")</f>
        <v/>
      </c>
      <c r="AB25" s="776" t="str">
        <f>IFERROR(IF(V25=0,"",V25*$AJ$170/('製造(P)'!$K$190+'貯蔵・輸送(ST)'!$K$190+'供給(D)'!$K$190)),"")</f>
        <v/>
      </c>
      <c r="AC25" s="776" t="str">
        <f>IFERROR(IF(W25=0,"",W25*$AJ$170/('製造(P)'!$K$190+'貯蔵・輸送(ST)'!$K$190+'供給(D)'!$K$190)),"")</f>
        <v/>
      </c>
      <c r="AD25" s="778" t="str">
        <f>IFERROR(IF(X25=0,"",X25*$AJ$170/('製造(P)'!$K$190+'貯蔵・輸送(ST)'!$K$190+'供給(D)'!$K$190)),"")</f>
        <v/>
      </c>
      <c r="AE25" s="685"/>
      <c r="AF25" s="787"/>
      <c r="AG25" s="207"/>
      <c r="AH25" s="207"/>
      <c r="AI25" s="59"/>
      <c r="AJ25" s="766"/>
      <c r="AK25" s="765"/>
      <c r="AL25" s="59"/>
      <c r="AM25" s="59"/>
    </row>
    <row r="26" spans="1:39" ht="15" customHeight="1" thickBot="1">
      <c r="B26" s="907"/>
      <c r="C26" s="908"/>
      <c r="D26" s="909"/>
      <c r="E26" s="478" t="str">
        <f>IFERROR(IF(B26="","",VLOOKUP($B26,IDEAGLIO補助ﾘｽﾄ!$B$2:$F$50,4, FALSE)),"")</f>
        <v/>
      </c>
      <c r="F26" s="691">
        <v>0</v>
      </c>
      <c r="G26" s="691">
        <v>0</v>
      </c>
      <c r="H26" s="691">
        <v>0</v>
      </c>
      <c r="I26" s="691">
        <v>0</v>
      </c>
      <c r="J26" s="691">
        <v>0</v>
      </c>
      <c r="K26" s="692">
        <f t="shared" si="3"/>
        <v>0</v>
      </c>
      <c r="L26" s="639" t="s">
        <v>192</v>
      </c>
      <c r="M26" s="479" t="str">
        <f>IFERROR(VLOOKUP($B26,IDEAGLIO補助ﾘｽﾄ!$B$2:$F$50,3,FALSE),"")</f>
        <v/>
      </c>
      <c r="N26" s="480" t="str">
        <f>IFERROR(VLOOKUP($B26,IDEAGLIO補助ﾘｽﾄ!$B$2:$F$50,5,FALSE),"")</f>
        <v/>
      </c>
      <c r="O26" s="213" t="str">
        <f t="shared" si="4"/>
        <v/>
      </c>
      <c r="P26" s="149"/>
      <c r="Q26" s="910" t="str">
        <f t="shared" si="5"/>
        <v/>
      </c>
      <c r="R26" s="911"/>
      <c r="S26" s="715">
        <f t="shared" si="6"/>
        <v>0</v>
      </c>
      <c r="T26" s="715">
        <f t="shared" si="7"/>
        <v>0</v>
      </c>
      <c r="U26" s="715">
        <f t="shared" si="8"/>
        <v>0</v>
      </c>
      <c r="V26" s="715">
        <f t="shared" si="9"/>
        <v>0</v>
      </c>
      <c r="W26" s="715">
        <f t="shared" si="10"/>
        <v>0</v>
      </c>
      <c r="X26" s="715">
        <f t="shared" si="11"/>
        <v>0</v>
      </c>
      <c r="Y26" s="775" t="str">
        <f>IFERROR(IF(S26=0,"",S26*$AJ$170/('製造(P)'!$K$190+'貯蔵・輸送(ST)'!$K$190+'供給(D)'!$K$190)),"")</f>
        <v/>
      </c>
      <c r="Z26" s="775" t="str">
        <f>IFERROR(IF(T26=0,"",T26*$AJ$170/('製造(P)'!$K$190+'貯蔵・輸送(ST)'!$K$190+'供給(D)'!$K$190)),"")</f>
        <v/>
      </c>
      <c r="AA26" s="775" t="str">
        <f>IFERROR(IF(U26=0,"",U26*$AJ$170/('製造(P)'!$K$190+'貯蔵・輸送(ST)'!$K$190+'供給(D)'!$K$190)),"")</f>
        <v/>
      </c>
      <c r="AB26" s="775" t="str">
        <f>IFERROR(IF(V26=0,"",V26*$AJ$170/('製造(P)'!$K$190+'貯蔵・輸送(ST)'!$K$190+'供給(D)'!$K$190)),"")</f>
        <v/>
      </c>
      <c r="AC26" s="775" t="str">
        <f>IFERROR(IF(W26=0,"",W26*$AJ$170/('製造(P)'!$K$190+'貯蔵・輸送(ST)'!$K$190+'供給(D)'!$K$190)),"")</f>
        <v/>
      </c>
      <c r="AD26" s="778" t="str">
        <f>IFERROR(IF(X26=0,"",X26*$AJ$170/('製造(P)'!$K$190+'貯蔵・輸送(ST)'!$K$190+'供給(D)'!$K$190)),"")</f>
        <v/>
      </c>
      <c r="AE26" s="685"/>
      <c r="AF26" s="787"/>
      <c r="AG26" s="207"/>
      <c r="AH26" s="207"/>
      <c r="AI26" s="59"/>
      <c r="AJ26" s="766"/>
      <c r="AK26" s="765"/>
      <c r="AL26" s="59"/>
      <c r="AM26" s="59"/>
    </row>
    <row r="27" spans="1:39" ht="15" customHeight="1" thickBot="1">
      <c r="B27" s="907"/>
      <c r="C27" s="908"/>
      <c r="D27" s="909"/>
      <c r="E27" s="478" t="str">
        <f>IFERROR(IF(B27="","",VLOOKUP($B27,IDEAGLIO補助ﾘｽﾄ!$B$2:$F$50,4, FALSE)),"")</f>
        <v/>
      </c>
      <c r="F27" s="691">
        <v>0</v>
      </c>
      <c r="G27" s="691">
        <v>0</v>
      </c>
      <c r="H27" s="691">
        <v>0</v>
      </c>
      <c r="I27" s="691">
        <v>0</v>
      </c>
      <c r="J27" s="691">
        <v>0</v>
      </c>
      <c r="K27" s="692">
        <f t="shared" si="3"/>
        <v>0</v>
      </c>
      <c r="L27" s="639" t="s">
        <v>192</v>
      </c>
      <c r="M27" s="479" t="str">
        <f>IFERROR(VLOOKUP($B27,IDEAGLIO補助ﾘｽﾄ!$B$2:$F$50,3,FALSE),"")</f>
        <v/>
      </c>
      <c r="N27" s="480" t="str">
        <f>IFERROR(VLOOKUP($B27,IDEAGLIO補助ﾘｽﾄ!$B$2:$F$50,5,FALSE),"")</f>
        <v/>
      </c>
      <c r="O27" s="213" t="str">
        <f t="shared" si="4"/>
        <v/>
      </c>
      <c r="P27" s="149"/>
      <c r="Q27" s="910" t="str">
        <f t="shared" si="5"/>
        <v/>
      </c>
      <c r="R27" s="911"/>
      <c r="S27" s="715">
        <f t="shared" si="6"/>
        <v>0</v>
      </c>
      <c r="T27" s="715">
        <f t="shared" si="7"/>
        <v>0</v>
      </c>
      <c r="U27" s="715">
        <f t="shared" si="8"/>
        <v>0</v>
      </c>
      <c r="V27" s="715">
        <f t="shared" si="9"/>
        <v>0</v>
      </c>
      <c r="W27" s="715">
        <f t="shared" si="10"/>
        <v>0</v>
      </c>
      <c r="X27" s="715">
        <f t="shared" si="11"/>
        <v>0</v>
      </c>
      <c r="Y27" s="775" t="str">
        <f>IFERROR(IF(S27=0,"",S27*$AJ$170/('製造(P)'!$K$190+'貯蔵・輸送(ST)'!$K$190+'供給(D)'!$K$190)),"")</f>
        <v/>
      </c>
      <c r="Z27" s="775" t="str">
        <f>IFERROR(IF(T27=0,"",T27*$AJ$170/('製造(P)'!$K$190+'貯蔵・輸送(ST)'!$K$190+'供給(D)'!$K$190)),"")</f>
        <v/>
      </c>
      <c r="AA27" s="775" t="str">
        <f>IFERROR(IF(U27=0,"",U27*$AJ$170/('製造(P)'!$K$190+'貯蔵・輸送(ST)'!$K$190+'供給(D)'!$K$190)),"")</f>
        <v/>
      </c>
      <c r="AB27" s="775" t="str">
        <f>IFERROR(IF(V27=0,"",V27*$AJ$170/('製造(P)'!$K$190+'貯蔵・輸送(ST)'!$K$190+'供給(D)'!$K$190)),"")</f>
        <v/>
      </c>
      <c r="AC27" s="775" t="str">
        <f>IFERROR(IF(W27=0,"",W27*$AJ$170/('製造(P)'!$K$190+'貯蔵・輸送(ST)'!$K$190+'供給(D)'!$K$190)),"")</f>
        <v/>
      </c>
      <c r="AD27" s="778" t="str">
        <f>IFERROR(IF(X27=0,"",X27*$AJ$170/('製造(P)'!$K$190+'貯蔵・輸送(ST)'!$K$190+'供給(D)'!$K$190)),"")</f>
        <v/>
      </c>
      <c r="AE27" s="685"/>
      <c r="AF27" s="787"/>
      <c r="AG27" s="207"/>
      <c r="AH27" s="207"/>
      <c r="AI27" s="59"/>
      <c r="AJ27" s="766"/>
      <c r="AK27" s="765"/>
      <c r="AL27" s="59"/>
      <c r="AM27" s="59"/>
    </row>
    <row r="28" spans="1:39" ht="15" customHeight="1" thickBot="1">
      <c r="B28" s="907"/>
      <c r="C28" s="908"/>
      <c r="D28" s="909"/>
      <c r="E28" s="478" t="str">
        <f>IFERROR(IF(B28="","",VLOOKUP($B28,IDEAGLIO補助ﾘｽﾄ!$B$2:$F$50,4, FALSE)),"")</f>
        <v/>
      </c>
      <c r="F28" s="691">
        <v>0</v>
      </c>
      <c r="G28" s="691">
        <v>0</v>
      </c>
      <c r="H28" s="691">
        <v>0</v>
      </c>
      <c r="I28" s="691">
        <v>0</v>
      </c>
      <c r="J28" s="691">
        <v>0</v>
      </c>
      <c r="K28" s="692">
        <f t="shared" si="3"/>
        <v>0</v>
      </c>
      <c r="L28" s="639" t="s">
        <v>192</v>
      </c>
      <c r="M28" s="479" t="str">
        <f>IFERROR(VLOOKUP($B28,IDEAGLIO補助ﾘｽﾄ!$B$2:$F$50,3,FALSE),"")</f>
        <v/>
      </c>
      <c r="N28" s="480" t="str">
        <f>IFERROR(VLOOKUP($B28,IDEAGLIO補助ﾘｽﾄ!$B$2:$F$50,5,FALSE),"")</f>
        <v/>
      </c>
      <c r="O28" s="213" t="str">
        <f t="shared" si="4"/>
        <v/>
      </c>
      <c r="P28" s="149"/>
      <c r="Q28" s="910" t="str">
        <f t="shared" si="5"/>
        <v/>
      </c>
      <c r="R28" s="911"/>
      <c r="S28" s="715">
        <f t="shared" si="6"/>
        <v>0</v>
      </c>
      <c r="T28" s="715">
        <f t="shared" si="7"/>
        <v>0</v>
      </c>
      <c r="U28" s="715">
        <f t="shared" si="8"/>
        <v>0</v>
      </c>
      <c r="V28" s="715">
        <f t="shared" si="9"/>
        <v>0</v>
      </c>
      <c r="W28" s="715">
        <f t="shared" si="10"/>
        <v>0</v>
      </c>
      <c r="X28" s="715">
        <f t="shared" si="11"/>
        <v>0</v>
      </c>
      <c r="Y28" s="775" t="str">
        <f>IFERROR(IF(S28=0,"",S28*$AJ$170/('製造(P)'!$K$190+'貯蔵・輸送(ST)'!$K$190+'供給(D)'!$K$190)),"")</f>
        <v/>
      </c>
      <c r="Z28" s="775" t="str">
        <f>IFERROR(IF(T28=0,"",T28*$AJ$170/('製造(P)'!$K$190+'貯蔵・輸送(ST)'!$K$190+'供給(D)'!$K$190)),"")</f>
        <v/>
      </c>
      <c r="AA28" s="775" t="str">
        <f>IFERROR(IF(U28=0,"",U28*$AJ$170/('製造(P)'!$K$190+'貯蔵・輸送(ST)'!$K$190+'供給(D)'!$K$190)),"")</f>
        <v/>
      </c>
      <c r="AB28" s="775" t="str">
        <f>IFERROR(IF(V28=0,"",V28*$AJ$170/('製造(P)'!$K$190+'貯蔵・輸送(ST)'!$K$190+'供給(D)'!$K$190)),"")</f>
        <v/>
      </c>
      <c r="AC28" s="775" t="str">
        <f>IFERROR(IF(W28=0,"",W28*$AJ$170/('製造(P)'!$K$190+'貯蔵・輸送(ST)'!$K$190+'供給(D)'!$K$190)),"")</f>
        <v/>
      </c>
      <c r="AD28" s="778" t="str">
        <f>IFERROR(IF(X28=0,"",X28*$AJ$170/('製造(P)'!$K$190+'貯蔵・輸送(ST)'!$K$190+'供給(D)'!$K$190)),"")</f>
        <v/>
      </c>
      <c r="AE28" s="685"/>
      <c r="AF28" s="787"/>
      <c r="AG28" s="207"/>
      <c r="AH28" s="207"/>
      <c r="AI28" s="59"/>
      <c r="AJ28" s="766"/>
      <c r="AK28" s="765"/>
      <c r="AL28" s="59"/>
      <c r="AM28" s="59"/>
    </row>
    <row r="29" spans="1:39" ht="15" customHeight="1" thickBot="1">
      <c r="B29" s="907"/>
      <c r="C29" s="908"/>
      <c r="D29" s="909"/>
      <c r="E29" s="478" t="str">
        <f>IFERROR(IF(B29="","",VLOOKUP($B29,IDEAGLIO補助ﾘｽﾄ!$B$2:$F$50,4, FALSE)),"")</f>
        <v/>
      </c>
      <c r="F29" s="691">
        <v>0</v>
      </c>
      <c r="G29" s="691">
        <v>0</v>
      </c>
      <c r="H29" s="691">
        <v>0</v>
      </c>
      <c r="I29" s="691">
        <v>0</v>
      </c>
      <c r="J29" s="691">
        <v>0</v>
      </c>
      <c r="K29" s="692">
        <f t="shared" si="3"/>
        <v>0</v>
      </c>
      <c r="L29" s="639" t="s">
        <v>192</v>
      </c>
      <c r="M29" s="479" t="str">
        <f>IFERROR(VLOOKUP($B29,IDEAGLIO補助ﾘｽﾄ!$B$2:$F$50,3,FALSE),"")</f>
        <v/>
      </c>
      <c r="N29" s="480" t="str">
        <f>IFERROR(VLOOKUP($B29,IDEAGLIO補助ﾘｽﾄ!$B$2:$F$50,5,FALSE),"")</f>
        <v/>
      </c>
      <c r="O29" s="213" t="str">
        <f t="shared" si="4"/>
        <v/>
      </c>
      <c r="P29" s="149"/>
      <c r="Q29" s="910" t="str">
        <f t="shared" si="5"/>
        <v/>
      </c>
      <c r="R29" s="911"/>
      <c r="S29" s="715">
        <f t="shared" si="6"/>
        <v>0</v>
      </c>
      <c r="T29" s="715">
        <f t="shared" si="7"/>
        <v>0</v>
      </c>
      <c r="U29" s="715">
        <f t="shared" si="8"/>
        <v>0</v>
      </c>
      <c r="V29" s="715">
        <f t="shared" si="9"/>
        <v>0</v>
      </c>
      <c r="W29" s="715">
        <f t="shared" si="10"/>
        <v>0</v>
      </c>
      <c r="X29" s="715">
        <f t="shared" si="11"/>
        <v>0</v>
      </c>
      <c r="Y29" s="775" t="str">
        <f>IFERROR(IF(S29=0,"",S29*$AJ$170/('製造(P)'!$K$190+'貯蔵・輸送(ST)'!$K$190+'供給(D)'!$K$190)),"")</f>
        <v/>
      </c>
      <c r="Z29" s="775" t="str">
        <f>IFERROR(IF(T29=0,"",T29*$AJ$170/('製造(P)'!$K$190+'貯蔵・輸送(ST)'!$K$190+'供給(D)'!$K$190)),"")</f>
        <v/>
      </c>
      <c r="AA29" s="775" t="str">
        <f>IFERROR(IF(U29=0,"",U29*$AJ$170/('製造(P)'!$K$190+'貯蔵・輸送(ST)'!$K$190+'供給(D)'!$K$190)),"")</f>
        <v/>
      </c>
      <c r="AB29" s="775" t="str">
        <f>IFERROR(IF(V29=0,"",V29*$AJ$170/('製造(P)'!$K$190+'貯蔵・輸送(ST)'!$K$190+'供給(D)'!$K$190)),"")</f>
        <v/>
      </c>
      <c r="AC29" s="775" t="str">
        <f>IFERROR(IF(W29=0,"",W29*$AJ$170/('製造(P)'!$K$190+'貯蔵・輸送(ST)'!$K$190+'供給(D)'!$K$190)),"")</f>
        <v/>
      </c>
      <c r="AD29" s="778" t="str">
        <f>IFERROR(IF(X29=0,"",X29*$AJ$170/('製造(P)'!$K$190+'貯蔵・輸送(ST)'!$K$190+'供給(D)'!$K$190)),"")</f>
        <v/>
      </c>
      <c r="AE29" s="685"/>
      <c r="AF29" s="787"/>
      <c r="AG29" s="207"/>
      <c r="AH29" s="207"/>
      <c r="AI29" s="59"/>
      <c r="AJ29" s="766"/>
      <c r="AK29" s="765"/>
      <c r="AL29" s="59"/>
      <c r="AM29" s="59"/>
    </row>
    <row r="30" spans="1:39" ht="15" customHeight="1" thickBot="1">
      <c r="B30" s="907"/>
      <c r="C30" s="908"/>
      <c r="D30" s="909"/>
      <c r="E30" s="478" t="str">
        <f>IFERROR(IF(B30="","",VLOOKUP($B30,IDEAGLIO補助ﾘｽﾄ!$B$2:$F$50,4, FALSE)),"")</f>
        <v/>
      </c>
      <c r="F30" s="691">
        <v>0</v>
      </c>
      <c r="G30" s="691">
        <v>0</v>
      </c>
      <c r="H30" s="691">
        <v>0</v>
      </c>
      <c r="I30" s="691">
        <v>0</v>
      </c>
      <c r="J30" s="691">
        <v>0</v>
      </c>
      <c r="K30" s="692">
        <f t="shared" si="3"/>
        <v>0</v>
      </c>
      <c r="L30" s="639" t="s">
        <v>192</v>
      </c>
      <c r="M30" s="479" t="str">
        <f>IFERROR(VLOOKUP($B30,IDEAGLIO補助ﾘｽﾄ!$B$2:$F$50,3,FALSE),"")</f>
        <v/>
      </c>
      <c r="N30" s="480" t="str">
        <f>IFERROR(VLOOKUP($B30,IDEAGLIO補助ﾘｽﾄ!$B$2:$F$50,5,FALSE),"")</f>
        <v/>
      </c>
      <c r="O30" s="213" t="str">
        <f t="shared" si="4"/>
        <v/>
      </c>
      <c r="P30" s="149"/>
      <c r="Q30" s="910" t="str">
        <f t="shared" si="5"/>
        <v/>
      </c>
      <c r="R30" s="911"/>
      <c r="S30" s="715">
        <f t="shared" si="6"/>
        <v>0</v>
      </c>
      <c r="T30" s="715">
        <f t="shared" si="7"/>
        <v>0</v>
      </c>
      <c r="U30" s="715">
        <f t="shared" si="8"/>
        <v>0</v>
      </c>
      <c r="V30" s="715">
        <f t="shared" si="9"/>
        <v>0</v>
      </c>
      <c r="W30" s="715">
        <f t="shared" si="10"/>
        <v>0</v>
      </c>
      <c r="X30" s="715">
        <f t="shared" si="11"/>
        <v>0</v>
      </c>
      <c r="Y30" s="775" t="str">
        <f>IFERROR(IF(S30=0,"",S30*$AJ$170/('製造(P)'!$K$190+'貯蔵・輸送(ST)'!$K$190+'供給(D)'!$K$190)),"")</f>
        <v/>
      </c>
      <c r="Z30" s="775" t="str">
        <f>IFERROR(IF(T30=0,"",T30*$AJ$170/('製造(P)'!$K$190+'貯蔵・輸送(ST)'!$K$190+'供給(D)'!$K$190)),"")</f>
        <v/>
      </c>
      <c r="AA30" s="775" t="str">
        <f>IFERROR(IF(U30=0,"",U30*$AJ$170/('製造(P)'!$K$190+'貯蔵・輸送(ST)'!$K$190+'供給(D)'!$K$190)),"")</f>
        <v/>
      </c>
      <c r="AB30" s="775" t="str">
        <f>IFERROR(IF(V30=0,"",V30*$AJ$170/('製造(P)'!$K$190+'貯蔵・輸送(ST)'!$K$190+'供給(D)'!$K$190)),"")</f>
        <v/>
      </c>
      <c r="AC30" s="775" t="str">
        <f>IFERROR(IF(W30=0,"",W30*$AJ$170/('製造(P)'!$K$190+'貯蔵・輸送(ST)'!$K$190+'供給(D)'!$K$190)),"")</f>
        <v/>
      </c>
      <c r="AD30" s="778" t="str">
        <f>IFERROR(IF(X30=0,"",X30*$AJ$170/('製造(P)'!$K$190+'貯蔵・輸送(ST)'!$K$190+'供給(D)'!$K$190)),"")</f>
        <v/>
      </c>
      <c r="AE30" s="685"/>
      <c r="AF30" s="787"/>
      <c r="AG30" s="207"/>
      <c r="AH30" s="207"/>
      <c r="AI30" s="59"/>
      <c r="AJ30" s="766"/>
      <c r="AK30" s="765"/>
      <c r="AL30" s="59"/>
      <c r="AM30" s="59"/>
    </row>
    <row r="31" spans="1:39" ht="15" customHeight="1" thickBot="1">
      <c r="B31" s="907"/>
      <c r="C31" s="908"/>
      <c r="D31" s="909"/>
      <c r="E31" s="478" t="str">
        <f>IFERROR(IF(B31="","",VLOOKUP($B31,IDEAGLIO補助ﾘｽﾄ!$B$2:$F$50,4, FALSE)),"")</f>
        <v/>
      </c>
      <c r="F31" s="691">
        <v>0</v>
      </c>
      <c r="G31" s="691">
        <v>0</v>
      </c>
      <c r="H31" s="691">
        <v>0</v>
      </c>
      <c r="I31" s="691">
        <v>0</v>
      </c>
      <c r="J31" s="691">
        <v>0</v>
      </c>
      <c r="K31" s="692">
        <f t="shared" si="0"/>
        <v>0</v>
      </c>
      <c r="L31" s="639" t="s">
        <v>192</v>
      </c>
      <c r="M31" s="479" t="str">
        <f>IFERROR(VLOOKUP($B31,IDEAGLIO補助ﾘｽﾄ!$B$2:$F$50,3,FALSE),"")</f>
        <v/>
      </c>
      <c r="N31" s="480" t="str">
        <f>IFERROR(VLOOKUP($B31,IDEAGLIO補助ﾘｽﾄ!$B$2:$F$50,5,FALSE),"")</f>
        <v/>
      </c>
      <c r="O31" s="213" t="str">
        <f t="shared" ref="O31:O32" si="12">IF(E31="","","[kgCO2/"&amp;E31&amp;"] ")</f>
        <v/>
      </c>
      <c r="P31" s="149"/>
      <c r="Q31" s="910" t="str">
        <f>IF(B31="","",B31)</f>
        <v/>
      </c>
      <c r="R31" s="911"/>
      <c r="S31" s="715">
        <f t="shared" ref="S31:S32" si="13">IFERROR(F31*$N31,0)</f>
        <v>0</v>
      </c>
      <c r="T31" s="715">
        <f t="shared" si="1"/>
        <v>0</v>
      </c>
      <c r="U31" s="715">
        <f t="shared" si="1"/>
        <v>0</v>
      </c>
      <c r="V31" s="715">
        <f t="shared" si="1"/>
        <v>0</v>
      </c>
      <c r="W31" s="715">
        <f t="shared" si="1"/>
        <v>0</v>
      </c>
      <c r="X31" s="715">
        <f t="shared" si="2"/>
        <v>0</v>
      </c>
      <c r="Y31" s="775" t="str">
        <f>IFERROR(IF(S31=0,"",S31*$AJ$170/('製造(P)'!$K$190+'貯蔵・輸送(ST)'!$K$190+'供給(D)'!$K$190)),"")</f>
        <v/>
      </c>
      <c r="Z31" s="775" t="str">
        <f>IFERROR(IF(T31=0,"",T31*$AJ$170/('製造(P)'!$K$190+'貯蔵・輸送(ST)'!$K$190+'供給(D)'!$K$190)),"")</f>
        <v/>
      </c>
      <c r="AA31" s="775" t="str">
        <f>IFERROR(IF(U31=0,"",U31*$AJ$170/('製造(P)'!$K$190+'貯蔵・輸送(ST)'!$K$190+'供給(D)'!$K$190)),"")</f>
        <v/>
      </c>
      <c r="AB31" s="775" t="str">
        <f>IFERROR(IF(V31=0,"",V31*$AJ$170/('製造(P)'!$K$190+'貯蔵・輸送(ST)'!$K$190+'供給(D)'!$K$190)),"")</f>
        <v/>
      </c>
      <c r="AC31" s="775" t="str">
        <f>IFERROR(IF(W31=0,"",W31*$AJ$170/('製造(P)'!$K$190+'貯蔵・輸送(ST)'!$K$190+'供給(D)'!$K$190)),"")</f>
        <v/>
      </c>
      <c r="AD31" s="778" t="str">
        <f>IFERROR(IF(X31=0,"",X31*$AJ$170/('製造(P)'!$K$190+'貯蔵・輸送(ST)'!$K$190+'供給(D)'!$K$190)),"")</f>
        <v/>
      </c>
      <c r="AE31" s="685"/>
      <c r="AF31" s="787"/>
      <c r="AG31" s="207" t="s">
        <v>6937</v>
      </c>
      <c r="AH31" s="207">
        <v>362111000</v>
      </c>
      <c r="AI31" s="59"/>
      <c r="AJ31" s="538">
        <f>VLOOKUP($AH31,IDEAv2原単位!$A$3:$F$4021,6,FALSE)</f>
        <v>0.14873753178233792</v>
      </c>
      <c r="AK31" s="213" t="s">
        <v>140</v>
      </c>
      <c r="AL31" s="59"/>
      <c r="AM31" s="59"/>
    </row>
    <row r="32" spans="1:39" ht="13.8" thickBot="1">
      <c r="B32" s="907"/>
      <c r="C32" s="908"/>
      <c r="D32" s="909"/>
      <c r="E32" s="478" t="str">
        <f>IFERROR(IF(B32="","",VLOOKUP($B32,IDEAGLIO補助ﾘｽﾄ!$B$2:$F$50,4, FALSE)),"")</f>
        <v/>
      </c>
      <c r="F32" s="691">
        <v>0</v>
      </c>
      <c r="G32" s="691">
        <v>0</v>
      </c>
      <c r="H32" s="691">
        <v>0</v>
      </c>
      <c r="I32" s="691">
        <v>0</v>
      </c>
      <c r="J32" s="691">
        <v>0</v>
      </c>
      <c r="K32" s="692">
        <f t="shared" si="0"/>
        <v>0</v>
      </c>
      <c r="L32" s="639" t="s">
        <v>192</v>
      </c>
      <c r="M32" s="479" t="str">
        <f>IFERROR(VLOOKUP($B32,IDEAGLIO補助ﾘｽﾄ!$B$2:$F$50,3,FALSE),"")</f>
        <v/>
      </c>
      <c r="N32" s="480" t="str">
        <f>IFERROR(VLOOKUP($B32,IDEAGLIO補助ﾘｽﾄ!$B$2:$F$50,5,FALSE),"")</f>
        <v/>
      </c>
      <c r="O32" s="213" t="str">
        <f t="shared" si="12"/>
        <v/>
      </c>
      <c r="P32" s="149"/>
      <c r="Q32" s="910" t="str">
        <f>IF(B32="","",B32)</f>
        <v/>
      </c>
      <c r="R32" s="911"/>
      <c r="S32" s="715">
        <f t="shared" si="13"/>
        <v>0</v>
      </c>
      <c r="T32" s="715">
        <f t="shared" si="1"/>
        <v>0</v>
      </c>
      <c r="U32" s="715">
        <f t="shared" si="1"/>
        <v>0</v>
      </c>
      <c r="V32" s="715">
        <f t="shared" si="1"/>
        <v>0</v>
      </c>
      <c r="W32" s="715">
        <f t="shared" si="1"/>
        <v>0</v>
      </c>
      <c r="X32" s="715">
        <f t="shared" si="2"/>
        <v>0</v>
      </c>
      <c r="Y32" s="775" t="str">
        <f>IFERROR(IF(S32=0,"",S32*$AJ$170/('製造(P)'!$K$190+'貯蔵・輸送(ST)'!$K$190+'供給(D)'!$K$190)),"")</f>
        <v/>
      </c>
      <c r="Z32" s="775" t="str">
        <f>IFERROR(IF(T32=0,"",T32*$AJ$170/('製造(P)'!$K$190+'貯蔵・輸送(ST)'!$K$190+'供給(D)'!$K$190)),"")</f>
        <v/>
      </c>
      <c r="AA32" s="775" t="str">
        <f>IFERROR(IF(U32=0,"",U32*$AJ$170/('製造(P)'!$K$190+'貯蔵・輸送(ST)'!$K$190+'供給(D)'!$K$190)),"")</f>
        <v/>
      </c>
      <c r="AB32" s="775" t="str">
        <f>IFERROR(IF(V32=0,"",V32*$AJ$170/('製造(P)'!$K$190+'貯蔵・輸送(ST)'!$K$190+'供給(D)'!$K$190)),"")</f>
        <v/>
      </c>
      <c r="AC32" s="775" t="str">
        <f>IFERROR(IF(W32=0,"",W32*$AJ$170/('製造(P)'!$K$190+'貯蔵・輸送(ST)'!$K$190+'供給(D)'!$K$190)),"")</f>
        <v/>
      </c>
      <c r="AD32" s="778" t="str">
        <f>IFERROR(IF(X32=0,"",X32*$AJ$170/('製造(P)'!$K$190+'貯蔵・輸送(ST)'!$K$190+'供給(D)'!$K$190)),"")</f>
        <v/>
      </c>
      <c r="AE32" s="685"/>
      <c r="AF32" s="787"/>
      <c r="AG32" s="206"/>
      <c r="AH32" s="206"/>
      <c r="AI32" s="206"/>
      <c r="AJ32" s="492">
        <f>0.019</f>
        <v>1.9E-2</v>
      </c>
      <c r="AK32" s="213" t="s">
        <v>158</v>
      </c>
      <c r="AL32" s="59"/>
      <c r="AM32" s="59"/>
    </row>
    <row r="33" spans="2:39">
      <c r="B33" s="150"/>
      <c r="C33" s="150"/>
      <c r="D33" s="151"/>
      <c r="E33" s="151"/>
      <c r="F33" s="225"/>
      <c r="G33" s="225"/>
      <c r="H33" s="225"/>
      <c r="I33" s="225"/>
      <c r="J33" s="225"/>
      <c r="K33" s="152"/>
      <c r="L33" s="152"/>
      <c r="M33" s="152"/>
      <c r="N33" s="322"/>
      <c r="O33" s="153"/>
      <c r="P33" s="149"/>
      <c r="Q33" s="147" t="s">
        <v>144</v>
      </c>
      <c r="R33" s="148"/>
      <c r="S33" s="715">
        <f t="shared" ref="S33:X33" si="14">SUM(S23:S32)</f>
        <v>0</v>
      </c>
      <c r="T33" s="715">
        <f t="shared" si="14"/>
        <v>0</v>
      </c>
      <c r="U33" s="715">
        <f t="shared" si="14"/>
        <v>0</v>
      </c>
      <c r="V33" s="715">
        <f t="shared" si="14"/>
        <v>0</v>
      </c>
      <c r="W33" s="715">
        <f t="shared" si="14"/>
        <v>0</v>
      </c>
      <c r="X33" s="715">
        <f t="shared" si="14"/>
        <v>0</v>
      </c>
      <c r="Y33" s="775">
        <f>IFERROR(S33*$AJ$170/('製造(P)'!$K$190+'貯蔵・輸送(ST)'!$K$190+'供給(D)'!$K$190),"")</f>
        <v>0</v>
      </c>
      <c r="Z33" s="775">
        <f>IFERROR(T33*$AJ$170/('製造(P)'!$K$190+'貯蔵・輸送(ST)'!$K$190+'供給(D)'!$K$190),"")</f>
        <v>0</v>
      </c>
      <c r="AA33" s="775">
        <f>IFERROR(U33*$AJ$170/('製造(P)'!$K$190+'貯蔵・輸送(ST)'!$K$190+'供給(D)'!$K$190),"")</f>
        <v>0</v>
      </c>
      <c r="AB33" s="775">
        <f>IFERROR(V33*$AJ$170/('製造(P)'!$K$190+'貯蔵・輸送(ST)'!$K$190+'供給(D)'!$K$190),"")</f>
        <v>0</v>
      </c>
      <c r="AC33" s="775">
        <f>IFERROR(W33*$AJ$170/('製造(P)'!$K$190+'貯蔵・輸送(ST)'!$K$190+'供給(D)'!$K$190),"")</f>
        <v>0</v>
      </c>
      <c r="AD33" s="775">
        <f>IFERROR(X33*$AJ$170/('製造(P)'!$K$190+'貯蔵・輸送(ST)'!$K$190+'供給(D)'!$K$190),"")</f>
        <v>0</v>
      </c>
      <c r="AE33" s="793"/>
      <c r="AF33" s="812"/>
      <c r="AG33" s="59"/>
      <c r="AH33" s="59"/>
      <c r="AI33" s="59"/>
      <c r="AJ33" s="534"/>
      <c r="AK33" s="212"/>
      <c r="AL33" s="59"/>
      <c r="AM33" s="59"/>
    </row>
    <row r="34" spans="2:39">
      <c r="B34" s="149"/>
      <c r="C34" s="149"/>
      <c r="D34" s="149"/>
      <c r="E34" s="149"/>
      <c r="F34" s="220"/>
      <c r="G34" s="220"/>
      <c r="H34" s="220"/>
      <c r="I34" s="220"/>
      <c r="J34" s="220"/>
      <c r="K34" s="149"/>
      <c r="L34" s="149"/>
      <c r="M34" s="149"/>
      <c r="N34" s="320"/>
      <c r="O34" s="149"/>
      <c r="P34" s="149"/>
      <c r="Q34" s="149"/>
      <c r="R34" s="149"/>
      <c r="S34" s="220"/>
      <c r="T34" s="220"/>
      <c r="U34" s="220"/>
      <c r="V34" s="220"/>
      <c r="W34" s="220"/>
      <c r="X34" s="220"/>
      <c r="Y34" s="355"/>
      <c r="Z34" s="355"/>
      <c r="AA34" s="355"/>
      <c r="AB34" s="355"/>
      <c r="AC34" s="355"/>
      <c r="AD34" s="355"/>
      <c r="AE34" s="805"/>
      <c r="AF34" s="805"/>
      <c r="AG34" s="59"/>
      <c r="AH34" s="59"/>
      <c r="AI34" s="59"/>
      <c r="AJ34" s="534"/>
      <c r="AK34" s="212"/>
      <c r="AL34" s="59"/>
      <c r="AM34" s="59"/>
    </row>
    <row r="35" spans="2:39">
      <c r="B35" s="915" t="s">
        <v>7782</v>
      </c>
      <c r="C35" s="915"/>
      <c r="D35" s="915"/>
      <c r="E35" s="915"/>
      <c r="F35" s="915"/>
      <c r="G35" s="915"/>
      <c r="H35" s="915"/>
      <c r="I35" s="915"/>
      <c r="J35" s="915"/>
      <c r="K35" s="915"/>
      <c r="L35" s="915"/>
      <c r="M35" s="915"/>
      <c r="N35" s="915"/>
      <c r="O35" s="915"/>
      <c r="P35" s="149"/>
      <c r="Q35" s="966" t="s">
        <v>7790</v>
      </c>
      <c r="R35" s="966"/>
      <c r="S35" s="966"/>
      <c r="T35" s="966"/>
      <c r="U35" s="966"/>
      <c r="V35" s="966"/>
      <c r="W35" s="966"/>
      <c r="X35" s="966"/>
      <c r="Y35" s="966"/>
      <c r="Z35" s="966"/>
      <c r="AA35" s="966"/>
      <c r="AB35" s="966"/>
      <c r="AC35" s="966"/>
      <c r="AD35" s="966"/>
      <c r="AE35" s="809"/>
      <c r="AF35" s="809"/>
      <c r="AG35" s="59"/>
      <c r="AH35" s="59"/>
      <c r="AI35" s="59"/>
      <c r="AJ35" s="492"/>
      <c r="AK35" s="213"/>
      <c r="AL35" s="59"/>
      <c r="AM35" s="59"/>
    </row>
    <row r="36" spans="2:39" s="149" customFormat="1">
      <c r="F36" s="220"/>
      <c r="G36" s="220"/>
      <c r="H36" s="220"/>
      <c r="I36" s="220"/>
      <c r="J36" s="220"/>
      <c r="N36" s="320"/>
      <c r="S36" s="220"/>
      <c r="T36" s="220"/>
      <c r="U36" s="220"/>
      <c r="V36" s="220"/>
      <c r="W36" s="220"/>
      <c r="X36" s="220"/>
      <c r="Y36" s="355"/>
      <c r="Z36" s="355"/>
      <c r="AA36" s="355"/>
      <c r="AB36" s="355"/>
      <c r="AC36" s="355"/>
      <c r="AD36" s="355"/>
      <c r="AE36" s="805"/>
      <c r="AF36" s="805"/>
      <c r="AJ36" s="534"/>
      <c r="AK36" s="212"/>
    </row>
    <row r="37" spans="2:39" ht="14.25" customHeight="1">
      <c r="B37" s="1027" t="s">
        <v>7660</v>
      </c>
      <c r="C37" s="1028"/>
      <c r="D37" s="1027"/>
      <c r="E37" s="1027"/>
      <c r="F37" s="938" t="s">
        <v>7669</v>
      </c>
      <c r="G37" s="939"/>
      <c r="H37" s="939"/>
      <c r="I37" s="939"/>
      <c r="J37" s="939"/>
      <c r="K37" s="940"/>
      <c r="L37" s="1029" t="s">
        <v>136</v>
      </c>
      <c r="M37" s="943" t="s">
        <v>210</v>
      </c>
      <c r="N37" s="944"/>
      <c r="O37" s="945"/>
      <c r="P37" s="149"/>
      <c r="Q37" s="1027" t="s">
        <v>6977</v>
      </c>
      <c r="R37" s="1027"/>
      <c r="S37" s="933" t="s">
        <v>7666</v>
      </c>
      <c r="T37" s="934"/>
      <c r="U37" s="934"/>
      <c r="V37" s="934"/>
      <c r="W37" s="934"/>
      <c r="X37" s="934"/>
      <c r="Y37" s="955" t="s">
        <v>7543</v>
      </c>
      <c r="Z37" s="956"/>
      <c r="AA37" s="956"/>
      <c r="AB37" s="956"/>
      <c r="AC37" s="956"/>
      <c r="AD37" s="956"/>
      <c r="AE37" s="904" t="s">
        <v>7919</v>
      </c>
      <c r="AF37" s="810"/>
      <c r="AG37" s="59"/>
      <c r="AH37" s="59"/>
      <c r="AI37" s="59"/>
      <c r="AJ37" s="492"/>
      <c r="AK37" s="213"/>
      <c r="AL37" s="59"/>
      <c r="AM37" s="59"/>
    </row>
    <row r="38" spans="2:39">
      <c r="B38" s="1027"/>
      <c r="C38" s="1028"/>
      <c r="D38" s="1027"/>
      <c r="E38" s="1027"/>
      <c r="F38" s="312" t="s">
        <v>7435</v>
      </c>
      <c r="G38" s="312" t="s">
        <v>7546</v>
      </c>
      <c r="H38" s="312" t="s">
        <v>7061</v>
      </c>
      <c r="I38" s="312" t="s">
        <v>7062</v>
      </c>
      <c r="J38" s="312" t="s">
        <v>7063</v>
      </c>
      <c r="K38" s="313" t="s">
        <v>7436</v>
      </c>
      <c r="L38" s="974"/>
      <c r="M38" s="946"/>
      <c r="N38" s="947"/>
      <c r="O38" s="948"/>
      <c r="P38" s="149"/>
      <c r="Q38" s="1027"/>
      <c r="R38" s="1027"/>
      <c r="S38" s="312" t="s">
        <v>7435</v>
      </c>
      <c r="T38" s="312" t="s">
        <v>7546</v>
      </c>
      <c r="U38" s="312" t="s">
        <v>7061</v>
      </c>
      <c r="V38" s="312" t="s">
        <v>7062</v>
      </c>
      <c r="W38" s="312" t="s">
        <v>7063</v>
      </c>
      <c r="X38" s="313" t="s">
        <v>7436</v>
      </c>
      <c r="Y38" s="312" t="s">
        <v>7435</v>
      </c>
      <c r="Z38" s="312" t="s">
        <v>7546</v>
      </c>
      <c r="AA38" s="312" t="s">
        <v>7061</v>
      </c>
      <c r="AB38" s="312" t="s">
        <v>7062</v>
      </c>
      <c r="AC38" s="312" t="s">
        <v>7063</v>
      </c>
      <c r="AD38" s="313" t="s">
        <v>7436</v>
      </c>
      <c r="AE38" s="905"/>
      <c r="AF38" s="810"/>
      <c r="AG38" s="59"/>
      <c r="AH38" s="59"/>
      <c r="AI38" s="59"/>
      <c r="AJ38" s="492"/>
      <c r="AK38" s="213"/>
      <c r="AL38" s="59"/>
      <c r="AM38" s="59"/>
    </row>
    <row r="39" spans="2:39">
      <c r="B39" s="967" t="s">
        <v>162</v>
      </c>
      <c r="C39" s="968"/>
      <c r="D39" s="968"/>
      <c r="E39" s="399" t="s">
        <v>7860</v>
      </c>
      <c r="F39" s="691">
        <v>0</v>
      </c>
      <c r="G39" s="691">
        <v>0</v>
      </c>
      <c r="H39" s="691">
        <v>0</v>
      </c>
      <c r="I39" s="691">
        <v>0</v>
      </c>
      <c r="J39" s="691">
        <v>0</v>
      </c>
      <c r="K39" s="693">
        <f t="shared" ref="K39:K52" si="15">SUM(F39:J39)</f>
        <v>0</v>
      </c>
      <c r="L39" s="639" t="s">
        <v>192</v>
      </c>
      <c r="M39" s="481" t="s">
        <v>7582</v>
      </c>
      <c r="N39" s="482">
        <f>共通データ!O40</f>
        <v>0.57899999999999996</v>
      </c>
      <c r="O39" s="402" t="s">
        <v>7861</v>
      </c>
      <c r="P39" s="149"/>
      <c r="Q39" s="60" t="s">
        <v>162</v>
      </c>
      <c r="R39" s="398"/>
      <c r="S39" s="715">
        <f>IFERROR(F39*$N39,0)</f>
        <v>0</v>
      </c>
      <c r="T39" s="715">
        <f t="shared" ref="T39:W52" si="16">IFERROR(G39*$N39,0)</f>
        <v>0</v>
      </c>
      <c r="U39" s="715">
        <f t="shared" si="16"/>
        <v>0</v>
      </c>
      <c r="V39" s="715">
        <f t="shared" si="16"/>
        <v>0</v>
      </c>
      <c r="W39" s="715">
        <f t="shared" si="16"/>
        <v>0</v>
      </c>
      <c r="X39" s="716">
        <f t="shared" ref="X39:X52" si="17">SUM(S39:W39)</f>
        <v>0</v>
      </c>
      <c r="Y39" s="354" t="str">
        <f>IFERROR(IF(S39=0,"",S39*$AJ$170/('製造(P)'!$K$190+'貯蔵・輸送(ST)'!$K$190+'供給(D)'!$K$190)),"")</f>
        <v/>
      </c>
      <c r="Z39" s="354" t="str">
        <f>IFERROR(IF(T39=0,"",T39*$AJ$170/('製造(P)'!$K$190+'貯蔵・輸送(ST)'!$K$190+'供給(D)'!$K$190)),"")</f>
        <v/>
      </c>
      <c r="AA39" s="354" t="str">
        <f>IFERROR(IF(U39=0,"",U39*$AJ$170/('製造(P)'!$K$190+'貯蔵・輸送(ST)'!$K$190+'供給(D)'!$K$190)),"")</f>
        <v/>
      </c>
      <c r="AB39" s="354" t="str">
        <f>IFERROR(IF(V39=0,"",V39*$AJ$170/('製造(P)'!$K$190+'貯蔵・輸送(ST)'!$K$190+'供給(D)'!$K$190)),"")</f>
        <v/>
      </c>
      <c r="AC39" s="354" t="str">
        <f>IFERROR(IF(W39=0,"",W39*$AJ$170/('製造(P)'!$K$190+'貯蔵・輸送(ST)'!$K$190+'供給(D)'!$K$190)),"")</f>
        <v/>
      </c>
      <c r="AD39" s="778" t="str">
        <f>IFERROR(IF(X39=0,"",X39*$AJ$170/('製造(P)'!$K$190+'貯蔵・輸送(ST)'!$K$190+'供給(D)'!$K$190)),"")</f>
        <v/>
      </c>
      <c r="AE39" s="685"/>
      <c r="AF39" s="787"/>
      <c r="AG39" s="59"/>
      <c r="AH39" s="59"/>
      <c r="AI39" s="59"/>
      <c r="AJ39" s="539">
        <f>共通データ!AI40</f>
        <v>0</v>
      </c>
      <c r="AK39" s="213" t="s">
        <v>51</v>
      </c>
      <c r="AL39" s="59"/>
      <c r="AM39" s="59"/>
    </row>
    <row r="40" spans="2:39">
      <c r="B40" s="967" t="s">
        <v>151</v>
      </c>
      <c r="C40" s="968"/>
      <c r="D40" s="968"/>
      <c r="E40" s="641" t="s">
        <v>2134</v>
      </c>
      <c r="F40" s="691">
        <v>0</v>
      </c>
      <c r="G40" s="691">
        <v>0</v>
      </c>
      <c r="H40" s="691">
        <v>0</v>
      </c>
      <c r="I40" s="691">
        <v>0</v>
      </c>
      <c r="J40" s="691">
        <v>0</v>
      </c>
      <c r="K40" s="692">
        <f t="shared" si="15"/>
        <v>0</v>
      </c>
      <c r="L40" s="639" t="s">
        <v>192</v>
      </c>
      <c r="M40" s="481" t="str">
        <f>VLOOKUP(AH40,IDEAv2原単位!$A$3:$F$4021,2,FALSE)</f>
        <v>都市ガス13Aの燃焼エネルギー</v>
      </c>
      <c r="N40" s="483">
        <f>IF(E40="[Nm3]",VLOOKUP($AH40,IDEAv2原単位!$A$3:$F$4021,6,FALSE)*共通データ!F20,IF(E40="[1000Nm3]",VLOOKUP($AH40,IDEAv2原単位!$A$3:$F$4021,6,FALSE)*共通データ!F20*1000,VLOOKUP($AH40,IDEAv2原単位!$A$3:$F$4021,6,FALSE)*共通データ!F17/共通データ!E17))</f>
        <v>2.8201946284701114</v>
      </c>
      <c r="O40" s="371" t="str">
        <f t="shared" ref="O40:O48" si="18">"[kgCO2/"&amp;MID(E40,2,(LENB(E40)-1))</f>
        <v>[kgCO2/Nm3]</v>
      </c>
      <c r="P40" s="149"/>
      <c r="Q40" s="62" t="s">
        <v>151</v>
      </c>
      <c r="R40" s="398"/>
      <c r="S40" s="715">
        <f t="shared" ref="S40:S52" si="19">IFERROR(F40*$N40,0)</f>
        <v>0</v>
      </c>
      <c r="T40" s="715">
        <f t="shared" si="16"/>
        <v>0</v>
      </c>
      <c r="U40" s="715">
        <f t="shared" si="16"/>
        <v>0</v>
      </c>
      <c r="V40" s="715">
        <f t="shared" si="16"/>
        <v>0</v>
      </c>
      <c r="W40" s="715">
        <f t="shared" si="16"/>
        <v>0</v>
      </c>
      <c r="X40" s="705">
        <f t="shared" si="17"/>
        <v>0</v>
      </c>
      <c r="Y40" s="354" t="str">
        <f>IFERROR(IF(S40=0,"",S40*$AJ$170/('製造(P)'!$K$190+'貯蔵・輸送(ST)'!$K$190+'供給(D)'!$K$190)),"")</f>
        <v/>
      </c>
      <c r="Z40" s="354" t="str">
        <f>IFERROR(IF(T40=0,"",T40*$AJ$170/('製造(P)'!$K$190+'貯蔵・輸送(ST)'!$K$190+'供給(D)'!$K$190)),"")</f>
        <v/>
      </c>
      <c r="AA40" s="354" t="str">
        <f>IFERROR(IF(U40=0,"",U40*$AJ$170/('製造(P)'!$K$190+'貯蔵・輸送(ST)'!$K$190+'供給(D)'!$K$190)),"")</f>
        <v/>
      </c>
      <c r="AB40" s="354" t="str">
        <f>IFERROR(IF(V40=0,"",V40*$AJ$170/('製造(P)'!$K$190+'貯蔵・輸送(ST)'!$K$190+'供給(D)'!$K$190)),"")</f>
        <v/>
      </c>
      <c r="AC40" s="354" t="str">
        <f>IFERROR(IF(W40=0,"",W40*$AJ$170/('製造(P)'!$K$190+'貯蔵・輸送(ST)'!$K$190+'供給(D)'!$K$190)),"")</f>
        <v/>
      </c>
      <c r="AD40" s="778" t="str">
        <f>IFERROR(IF(X40=0,"",X40*$AJ$170/('製造(P)'!$K$190+'貯蔵・輸送(ST)'!$K$190+'供給(D)'!$K$190)),"")</f>
        <v/>
      </c>
      <c r="AE40" s="685"/>
      <c r="AF40" s="787"/>
      <c r="AG40" s="207" t="s">
        <v>151</v>
      </c>
      <c r="AH40" s="206">
        <v>341111801</v>
      </c>
      <c r="AI40" s="206"/>
      <c r="AJ40" s="539">
        <f>ROUND(共通データ!$E$20*VLOOKUP($AH40,IDEAv2原単位!$A$3:$F$4021,6,FALSE),2)</f>
        <v>2.54</v>
      </c>
      <c r="AK40" s="213" t="s">
        <v>52</v>
      </c>
      <c r="AL40" s="59"/>
      <c r="AM40" s="59"/>
    </row>
    <row r="41" spans="2:39" ht="14.25" customHeight="1">
      <c r="B41" s="967" t="s">
        <v>7578</v>
      </c>
      <c r="C41" s="968"/>
      <c r="D41" s="968"/>
      <c r="E41" s="641" t="s">
        <v>2130</v>
      </c>
      <c r="F41" s="691">
        <v>0</v>
      </c>
      <c r="G41" s="691">
        <v>0</v>
      </c>
      <c r="H41" s="691">
        <v>0</v>
      </c>
      <c r="I41" s="691">
        <v>0</v>
      </c>
      <c r="J41" s="691">
        <v>0</v>
      </c>
      <c r="K41" s="692">
        <f t="shared" si="15"/>
        <v>0</v>
      </c>
      <c r="L41" s="639" t="s">
        <v>192</v>
      </c>
      <c r="M41" s="481" t="str">
        <f>VLOOKUP(AH41,IDEAv2原単位!$A$3:$F$4021,2,FALSE)</f>
        <v>一般炭の燃焼エネルギー</v>
      </c>
      <c r="N41" s="483">
        <f>IF(E41="[kg]", VLOOKUP($AH41,IDEAv2原単位!$A$3:$F$4021,6,FALSE)*共通データ!I4, IF(E41="[t]",VLOOKUP($AH41,IDEAv2原単位!$A$3:$F$4021,6,FALSE)*共通データ!I4*1000, VLOOKUP($AH41,IDEAv2原単位!$A$3:$F$4021,6,FALSE)*共通データ!F4/共通データ!E4))</f>
        <v>2.5701269692756372</v>
      </c>
      <c r="O41" s="371" t="str">
        <f t="shared" si="18"/>
        <v>[kgCO2/kg]</v>
      </c>
      <c r="P41" s="149"/>
      <c r="Q41" s="62" t="s">
        <v>152</v>
      </c>
      <c r="R41" s="64"/>
      <c r="S41" s="715">
        <f t="shared" si="19"/>
        <v>0</v>
      </c>
      <c r="T41" s="715">
        <f t="shared" si="16"/>
        <v>0</v>
      </c>
      <c r="U41" s="715">
        <f t="shared" si="16"/>
        <v>0</v>
      </c>
      <c r="V41" s="715">
        <f t="shared" si="16"/>
        <v>0</v>
      </c>
      <c r="W41" s="715">
        <f t="shared" si="16"/>
        <v>0</v>
      </c>
      <c r="X41" s="705">
        <f t="shared" si="17"/>
        <v>0</v>
      </c>
      <c r="Y41" s="354" t="str">
        <f>IFERROR(IF(S41=0,"",S41*$AJ$170/('製造(P)'!$K$190+'貯蔵・輸送(ST)'!$K$190+'供給(D)'!$K$190)),"")</f>
        <v/>
      </c>
      <c r="Z41" s="354" t="str">
        <f>IFERROR(IF(T41=0,"",T41*$AJ$170/('製造(P)'!$K$190+'貯蔵・輸送(ST)'!$K$190+'供給(D)'!$K$190)),"")</f>
        <v/>
      </c>
      <c r="AA41" s="354" t="str">
        <f>IFERROR(IF(U41=0,"",U41*$AJ$170/('製造(P)'!$K$190+'貯蔵・輸送(ST)'!$K$190+'供給(D)'!$K$190)),"")</f>
        <v/>
      </c>
      <c r="AB41" s="354" t="str">
        <f>IFERROR(IF(V41=0,"",V41*$AJ$170/('製造(P)'!$K$190+'貯蔵・輸送(ST)'!$K$190+'供給(D)'!$K$190)),"")</f>
        <v/>
      </c>
      <c r="AC41" s="354" t="str">
        <f>IFERROR(IF(W41=0,"",W41*$AJ$170/('製造(P)'!$K$190+'貯蔵・輸送(ST)'!$K$190+'供給(D)'!$K$190)),"")</f>
        <v/>
      </c>
      <c r="AD41" s="778" t="str">
        <f>IFERROR(IF(X41=0,"",X41*$AJ$170/('製造(P)'!$K$190+'貯蔵・輸送(ST)'!$K$190+'供給(D)'!$K$190)),"")</f>
        <v/>
      </c>
      <c r="AE41" s="685"/>
      <c r="AF41" s="787"/>
      <c r="AG41" s="207" t="s">
        <v>152</v>
      </c>
      <c r="AH41" s="206">
        <v>51112801</v>
      </c>
      <c r="AI41" s="206"/>
      <c r="AJ41" s="492">
        <f>ROUND(共通データ!$E$4*VLOOKUP($AH41,IDEAv2原単位!$A$3:$F$4021,6,FALSE),2)</f>
        <v>2.44</v>
      </c>
      <c r="AK41" s="213" t="s">
        <v>54</v>
      </c>
      <c r="AL41" s="59"/>
      <c r="AM41" s="59"/>
    </row>
    <row r="42" spans="2:39">
      <c r="B42" s="967" t="s">
        <v>7862</v>
      </c>
      <c r="C42" s="968"/>
      <c r="D42" s="968"/>
      <c r="E42" s="641" t="s">
        <v>2130</v>
      </c>
      <c r="F42" s="691">
        <v>0</v>
      </c>
      <c r="G42" s="691">
        <v>0</v>
      </c>
      <c r="H42" s="691">
        <v>0</v>
      </c>
      <c r="I42" s="691">
        <v>0</v>
      </c>
      <c r="J42" s="691">
        <v>0</v>
      </c>
      <c r="K42" s="692">
        <f t="shared" si="15"/>
        <v>0</v>
      </c>
      <c r="L42" s="639" t="s">
        <v>192</v>
      </c>
      <c r="M42" s="481" t="str">
        <f>VLOOKUP(AH42,IDEAv2原単位!$A$3:$F$4021,2,FALSE)</f>
        <v>液化石油ガス（LPG）の燃焼エネルギー</v>
      </c>
      <c r="N42" s="483">
        <f>IF(E42="[kg]", VLOOKUP($AH42,IDEAv2原単位!$A$3:$F$4021,6,FALSE)*共通データ!I16, IF(E42="[t]",VLOOKUP($AH42,IDEAv2原単位!$A$3:$F$4021,6,FALSE)*共通データ!I16*1000, VLOOKUP($AH42,IDEAv2原単位!$A$3:$F$4021,6,FALSE)*共通データ!F16/共通データ!E16))</f>
        <v>3.8407504248913651</v>
      </c>
      <c r="O42" s="371" t="str">
        <f t="shared" si="18"/>
        <v>[kgCO2/kg]</v>
      </c>
      <c r="P42" s="149"/>
      <c r="Q42" s="62" t="s">
        <v>7862</v>
      </c>
      <c r="R42" s="64"/>
      <c r="S42" s="715">
        <f t="shared" si="19"/>
        <v>0</v>
      </c>
      <c r="T42" s="715">
        <f t="shared" si="16"/>
        <v>0</v>
      </c>
      <c r="U42" s="715">
        <f t="shared" si="16"/>
        <v>0</v>
      </c>
      <c r="V42" s="715">
        <f t="shared" si="16"/>
        <v>0</v>
      </c>
      <c r="W42" s="715">
        <f t="shared" si="16"/>
        <v>0</v>
      </c>
      <c r="X42" s="705">
        <f t="shared" si="17"/>
        <v>0</v>
      </c>
      <c r="Y42" s="354" t="str">
        <f>IFERROR(IF(S42=0,"",S42*$AJ$170/('製造(P)'!$K$190+'貯蔵・輸送(ST)'!$K$190+'供給(D)'!$K$190)),"")</f>
        <v/>
      </c>
      <c r="Z42" s="354" t="str">
        <f>IFERROR(IF(T42=0,"",T42*$AJ$170/('製造(P)'!$K$190+'貯蔵・輸送(ST)'!$K$190+'供給(D)'!$K$190)),"")</f>
        <v/>
      </c>
      <c r="AA42" s="354" t="str">
        <f>IFERROR(IF(U42=0,"",U42*$AJ$170/('製造(P)'!$K$190+'貯蔵・輸送(ST)'!$K$190+'供給(D)'!$K$190)),"")</f>
        <v/>
      </c>
      <c r="AB42" s="354" t="str">
        <f>IFERROR(IF(V42=0,"",V42*$AJ$170/('製造(P)'!$K$190+'貯蔵・輸送(ST)'!$K$190+'供給(D)'!$K$190)),"")</f>
        <v/>
      </c>
      <c r="AC42" s="354" t="str">
        <f>IFERROR(IF(W42=0,"",W42*$AJ$170/('製造(P)'!$K$190+'貯蔵・輸送(ST)'!$K$190+'供給(D)'!$K$190)),"")</f>
        <v/>
      </c>
      <c r="AD42" s="778" t="str">
        <f>IFERROR(IF(X42=0,"",X42*$AJ$170/('製造(P)'!$K$190+'貯蔵・輸送(ST)'!$K$190+'供給(D)'!$K$190)),"")</f>
        <v/>
      </c>
      <c r="AE42" s="685"/>
      <c r="AF42" s="787"/>
      <c r="AG42" s="207" t="s">
        <v>43</v>
      </c>
      <c r="AH42" s="206">
        <v>181124801</v>
      </c>
      <c r="AI42" s="206"/>
      <c r="AJ42" s="539">
        <f>ROUND(共通データ!$H$16*VLOOKUP($AH42,IDEAv2原単位!$A$3:$F$4021,6,FALSE),2)</f>
        <v>3.54</v>
      </c>
      <c r="AK42" s="213" t="s">
        <v>54</v>
      </c>
      <c r="AL42" s="59"/>
      <c r="AM42" s="59"/>
    </row>
    <row r="43" spans="2:39">
      <c r="B43" s="967" t="s">
        <v>7579</v>
      </c>
      <c r="C43" s="968"/>
      <c r="D43" s="968"/>
      <c r="E43" s="641" t="s">
        <v>2130</v>
      </c>
      <c r="F43" s="691">
        <v>0</v>
      </c>
      <c r="G43" s="691">
        <v>0</v>
      </c>
      <c r="H43" s="691">
        <v>0</v>
      </c>
      <c r="I43" s="691">
        <v>0</v>
      </c>
      <c r="J43" s="691">
        <v>0</v>
      </c>
      <c r="K43" s="692">
        <f t="shared" si="15"/>
        <v>0</v>
      </c>
      <c r="L43" s="639" t="s">
        <v>192</v>
      </c>
      <c r="M43" s="481" t="str">
        <f>VLOOKUP(AH43,IDEAv2原単位!$A$3:$F$4021,2,FALSE)</f>
        <v>LNGの燃焼エネルギー</v>
      </c>
      <c r="N43" s="483">
        <f>IF(E43="[kg]", VLOOKUP($AH43,IDEAv2原単位!$A$3:$F$4021,6,FALSE)*共通データ!I18, IF(E43="[t]",VLOOKUP($AH43,IDEAv2原単位!$A$3:$F$4021,6,FALSE)*共通データ!I18*1000, VLOOKUP($AH43,IDEAv2原単位!$A$3:$F$4021,6,FALSE)*共通データ!F18/共通データ!E18))</f>
        <v>3.3621341879142883</v>
      </c>
      <c r="O43" s="371" t="str">
        <f t="shared" si="18"/>
        <v>[kgCO2/kg]</v>
      </c>
      <c r="P43" s="149"/>
      <c r="Q43" s="62" t="s">
        <v>7863</v>
      </c>
      <c r="R43" s="64"/>
      <c r="S43" s="715">
        <f t="shared" si="19"/>
        <v>0</v>
      </c>
      <c r="T43" s="715">
        <f t="shared" si="16"/>
        <v>0</v>
      </c>
      <c r="U43" s="715">
        <f t="shared" si="16"/>
        <v>0</v>
      </c>
      <c r="V43" s="715">
        <f t="shared" si="16"/>
        <v>0</v>
      </c>
      <c r="W43" s="715">
        <f t="shared" si="16"/>
        <v>0</v>
      </c>
      <c r="X43" s="705">
        <f t="shared" si="17"/>
        <v>0</v>
      </c>
      <c r="Y43" s="354" t="str">
        <f>IFERROR(IF(S43=0,"",S43*$AJ$170/('製造(P)'!$K$190+'貯蔵・輸送(ST)'!$K$190+'供給(D)'!$K$190)),"")</f>
        <v/>
      </c>
      <c r="Z43" s="354" t="str">
        <f>IFERROR(IF(T43=0,"",T43*$AJ$170/('製造(P)'!$K$190+'貯蔵・輸送(ST)'!$K$190+'供給(D)'!$K$190)),"")</f>
        <v/>
      </c>
      <c r="AA43" s="354" t="str">
        <f>IFERROR(IF(U43=0,"",U43*$AJ$170/('製造(P)'!$K$190+'貯蔵・輸送(ST)'!$K$190+'供給(D)'!$K$190)),"")</f>
        <v/>
      </c>
      <c r="AB43" s="354" t="str">
        <f>IFERROR(IF(V43=0,"",V43*$AJ$170/('製造(P)'!$K$190+'貯蔵・輸送(ST)'!$K$190+'供給(D)'!$K$190)),"")</f>
        <v/>
      </c>
      <c r="AC43" s="354" t="str">
        <f>IFERROR(IF(W43=0,"",W43*$AJ$170/('製造(P)'!$K$190+'貯蔵・輸送(ST)'!$K$190+'供給(D)'!$K$190)),"")</f>
        <v/>
      </c>
      <c r="AD43" s="778" t="str">
        <f>IFERROR(IF(X43=0,"",X43*$AJ$170/('製造(P)'!$K$190+'貯蔵・輸送(ST)'!$K$190+'供給(D)'!$K$190)),"")</f>
        <v/>
      </c>
      <c r="AE43" s="685"/>
      <c r="AF43" s="787"/>
      <c r="AG43" s="207" t="s">
        <v>44</v>
      </c>
      <c r="AH43" s="206">
        <v>52112802</v>
      </c>
      <c r="AI43" s="206"/>
      <c r="AJ43" s="539">
        <f>ROUND(共通データ!$H$18*VLOOKUP($AH43,IDEAv2原単位!$A$3:$F$4021,6,FALSE),2)</f>
        <v>3.02</v>
      </c>
      <c r="AK43" s="213" t="s">
        <v>52</v>
      </c>
      <c r="AL43" s="59"/>
      <c r="AM43" s="59"/>
    </row>
    <row r="44" spans="2:39">
      <c r="B44" s="967" t="s">
        <v>153</v>
      </c>
      <c r="C44" s="968"/>
      <c r="D44" s="968"/>
      <c r="E44" s="641" t="s">
        <v>2130</v>
      </c>
      <c r="F44" s="691">
        <v>0</v>
      </c>
      <c r="G44" s="691">
        <v>0</v>
      </c>
      <c r="H44" s="691">
        <v>0</v>
      </c>
      <c r="I44" s="691">
        <v>0</v>
      </c>
      <c r="J44" s="691">
        <v>0</v>
      </c>
      <c r="K44" s="692">
        <f t="shared" si="15"/>
        <v>0</v>
      </c>
      <c r="L44" s="639" t="s">
        <v>192</v>
      </c>
      <c r="M44" s="481" t="str">
        <f>VLOOKUP(AH44,IDEAv2原単位!$A$3:$F$4021,2,FALSE)</f>
        <v>灯油の燃焼エネルギー</v>
      </c>
      <c r="N44" s="483">
        <f>IF(E44="[kg]",VLOOKUP($AH44,IDEAv2原単位!$A$3:$F$4021,6,FALSE)*共通データ!I10, IF(E44="[t]",VLOOKUP($AH44,IDEAv2原単位!$A$3:$F$4021,6,FALSE)*共通データ!I10*1000, IF('製造(P)'!E44="[L]",VLOOKUP($AH44,IDEAv2原単位!$A$3:$F$4021,6,FALSE)* 共通データ!F10, IF(E44="[kL]",VLOOKUP($AH44,IDEAv2原単位!$A$3:$F$4021,6,FALSE)*共通データ!F10*1000, VLOOKUP($AH44,IDEAv2原単位!$A$3:$F$4021,6,FALSE)*共通データ!F10/共通データ!E10))))</f>
        <v>3.5603119836368258</v>
      </c>
      <c r="O44" s="371" t="str">
        <f t="shared" si="18"/>
        <v>[kgCO2/kg]</v>
      </c>
      <c r="P44" s="149"/>
      <c r="Q44" s="62" t="s">
        <v>153</v>
      </c>
      <c r="R44" s="64"/>
      <c r="S44" s="715">
        <f t="shared" si="19"/>
        <v>0</v>
      </c>
      <c r="T44" s="715">
        <f t="shared" si="16"/>
        <v>0</v>
      </c>
      <c r="U44" s="715">
        <f t="shared" si="16"/>
        <v>0</v>
      </c>
      <c r="V44" s="715">
        <f t="shared" si="16"/>
        <v>0</v>
      </c>
      <c r="W44" s="715">
        <f t="shared" si="16"/>
        <v>0</v>
      </c>
      <c r="X44" s="705">
        <f t="shared" si="17"/>
        <v>0</v>
      </c>
      <c r="Y44" s="354" t="str">
        <f>IFERROR(IF(S44=0,"",S44*$AJ$170/('製造(P)'!$K$190+'貯蔵・輸送(ST)'!$K$190+'供給(D)'!$K$190)),"")</f>
        <v/>
      </c>
      <c r="Z44" s="354" t="str">
        <f>IFERROR(IF(T44=0,"",T44*$AJ$170/('製造(P)'!$K$190+'貯蔵・輸送(ST)'!$K$190+'供給(D)'!$K$190)),"")</f>
        <v/>
      </c>
      <c r="AA44" s="354" t="str">
        <f>IFERROR(IF(U44=0,"",U44*$AJ$170/('製造(P)'!$K$190+'貯蔵・輸送(ST)'!$K$190+'供給(D)'!$K$190)),"")</f>
        <v/>
      </c>
      <c r="AB44" s="354" t="str">
        <f>IFERROR(IF(V44=0,"",V44*$AJ$170/('製造(P)'!$K$190+'貯蔵・輸送(ST)'!$K$190+'供給(D)'!$K$190)),"")</f>
        <v/>
      </c>
      <c r="AC44" s="354" t="str">
        <f>IFERROR(IF(W44=0,"",W44*$AJ$170/('製造(P)'!$K$190+'貯蔵・輸送(ST)'!$K$190+'供給(D)'!$K$190)),"")</f>
        <v/>
      </c>
      <c r="AD44" s="778" t="str">
        <f>IFERROR(IF(X44=0,"",X44*$AJ$170/('製造(P)'!$K$190+'貯蔵・輸送(ST)'!$K$190+'供給(D)'!$K$190)),"")</f>
        <v/>
      </c>
      <c r="AE44" s="685"/>
      <c r="AF44" s="787"/>
      <c r="AG44" s="207" t="s">
        <v>153</v>
      </c>
      <c r="AH44" s="206">
        <v>181114801</v>
      </c>
      <c r="AI44" s="206"/>
      <c r="AJ44" s="492">
        <f>ROUND(共通データ!$E$10*VLOOKUP($AH44,IDEAv2原単位!$A$3:$F$4021,6,FALSE),2)</f>
        <v>2.68</v>
      </c>
      <c r="AK44" s="213" t="s">
        <v>53</v>
      </c>
      <c r="AL44" s="59"/>
      <c r="AM44" s="59"/>
    </row>
    <row r="45" spans="2:39">
      <c r="B45" s="967" t="s">
        <v>154</v>
      </c>
      <c r="C45" s="968"/>
      <c r="D45" s="968"/>
      <c r="E45" s="641" t="s">
        <v>6942</v>
      </c>
      <c r="F45" s="691">
        <v>0</v>
      </c>
      <c r="G45" s="691">
        <v>0</v>
      </c>
      <c r="H45" s="691">
        <v>0</v>
      </c>
      <c r="I45" s="691">
        <v>0</v>
      </c>
      <c r="J45" s="691">
        <v>0</v>
      </c>
      <c r="K45" s="692">
        <f t="shared" si="15"/>
        <v>0</v>
      </c>
      <c r="L45" s="639" t="s">
        <v>7852</v>
      </c>
      <c r="M45" s="481" t="str">
        <f>VLOOKUP(AH45,IDEAv2原単位!$A$3:$F$4021,2,FALSE)</f>
        <v>A重油の燃焼エネルギー</v>
      </c>
      <c r="N45" s="483">
        <f>IF(E45="[kg]",VLOOKUP($AH45,IDEAv2原単位!$A$3:$F$4021,6,FALSE)*共通データ!I13, IF(E45="[t]",VLOOKUP($AH45,IDEAv2原単位!$A$3:$F$4021,6,FALSE)*共通データ!I13*1000, IF(E45="[L]",VLOOKUP($AH45,IDEAv2原単位!$A$3:$F$4021,6,FALSE)*共通データ!F13,IF(E45="[kL]",VLOOKUP($AH45,IDEAv2原単位!$A$3:$F$4021,6,FALSE)*共通データ!F13*1000, VLOOKUP($AH45,IDEAv2原単位!$A$3:$F$4021,6,FALSE)*共通データ!F13/共通データ!E13))))</f>
        <v>8.4928386882513446E-2</v>
      </c>
      <c r="O45" s="371" t="str">
        <f t="shared" si="18"/>
        <v>[kgCO2/MJ]</v>
      </c>
      <c r="P45" s="149"/>
      <c r="Q45" s="62" t="s">
        <v>154</v>
      </c>
      <c r="R45" s="64"/>
      <c r="S45" s="715">
        <f t="shared" si="19"/>
        <v>0</v>
      </c>
      <c r="T45" s="715">
        <f t="shared" si="16"/>
        <v>0</v>
      </c>
      <c r="U45" s="715">
        <f t="shared" si="16"/>
        <v>0</v>
      </c>
      <c r="V45" s="715">
        <f t="shared" si="16"/>
        <v>0</v>
      </c>
      <c r="W45" s="715">
        <f t="shared" si="16"/>
        <v>0</v>
      </c>
      <c r="X45" s="705">
        <f t="shared" si="17"/>
        <v>0</v>
      </c>
      <c r="Y45" s="354" t="str">
        <f>IFERROR(IF(S45=0,"",S45*$AJ$170/('製造(P)'!$K$190+'貯蔵・輸送(ST)'!$K$190+'供給(D)'!$K$190)),"")</f>
        <v/>
      </c>
      <c r="Z45" s="354" t="str">
        <f>IFERROR(IF(T45=0,"",T45*$AJ$170/('製造(P)'!$K$190+'貯蔵・輸送(ST)'!$K$190+'供給(D)'!$K$190)),"")</f>
        <v/>
      </c>
      <c r="AA45" s="354" t="str">
        <f>IFERROR(IF(U45=0,"",U45*$AJ$170/('製造(P)'!$K$190+'貯蔵・輸送(ST)'!$K$190+'供給(D)'!$K$190)),"")</f>
        <v/>
      </c>
      <c r="AB45" s="354" t="str">
        <f>IFERROR(IF(V45=0,"",V45*$AJ$170/('製造(P)'!$K$190+'貯蔵・輸送(ST)'!$K$190+'供給(D)'!$K$190)),"")</f>
        <v/>
      </c>
      <c r="AC45" s="354" t="str">
        <f>IFERROR(IF(W45=0,"",W45*$AJ$170/('製造(P)'!$K$190+'貯蔵・輸送(ST)'!$K$190+'供給(D)'!$K$190)),"")</f>
        <v/>
      </c>
      <c r="AD45" s="778" t="str">
        <f>IFERROR(IF(X45=0,"",X45*$AJ$170/('製造(P)'!$K$190+'貯蔵・輸送(ST)'!$K$190+'供給(D)'!$K$190)),"")</f>
        <v/>
      </c>
      <c r="AE45" s="685"/>
      <c r="AF45" s="787"/>
      <c r="AG45" s="207" t="s">
        <v>154</v>
      </c>
      <c r="AH45" s="206">
        <v>181116801</v>
      </c>
      <c r="AI45" s="206"/>
      <c r="AJ45" s="492">
        <f>ROUND(共通データ!$E$13*VLOOKUP($AH45,IDEAv2原単位!$A$3:$F$4021,6,FALSE),2)</f>
        <v>3</v>
      </c>
      <c r="AK45" s="213" t="s">
        <v>53</v>
      </c>
      <c r="AL45" s="59"/>
      <c r="AM45" s="59"/>
    </row>
    <row r="46" spans="2:39">
      <c r="B46" s="967" t="s">
        <v>155</v>
      </c>
      <c r="C46" s="968"/>
      <c r="D46" s="968"/>
      <c r="E46" s="641" t="s">
        <v>6942</v>
      </c>
      <c r="F46" s="691">
        <v>0</v>
      </c>
      <c r="G46" s="691">
        <v>0</v>
      </c>
      <c r="H46" s="691">
        <v>0</v>
      </c>
      <c r="I46" s="691">
        <v>0</v>
      </c>
      <c r="J46" s="691">
        <v>0</v>
      </c>
      <c r="K46" s="692">
        <f t="shared" si="15"/>
        <v>0</v>
      </c>
      <c r="L46" s="639" t="s">
        <v>192</v>
      </c>
      <c r="M46" s="481" t="str">
        <f>VLOOKUP(AH46,IDEAv2原単位!$A$3:$F$4021,2,FALSE)</f>
        <v>C重油の燃焼エネルギー</v>
      </c>
      <c r="N46" s="483">
        <f>IF(E46="[kg]",VLOOKUP($AH46,IDEAv2原単位!$A$3:$F$4021,6,FALSE)*共通データ!I15, IF(E46="[t]",VLOOKUP($AH46,IDEAv2原単位!$A$3:$F$4021,6,FALSE)*共通データ!I15*1000, IF(E46="[L]", VLOOKUP($AH46,IDEAv2原単位!$A$3:$F$4021,6,FALSE)*共通データ!F15,IF(E46="[kL]",VLOOKUP($AH46,IDEAv2原単位!$A$3:$F$4021,6,FALSE)*共通データ!F15*1000, VLOOKUP($AH46,IDEAv2原単位!$A$3:$F$4021,6,FALSE)*共通データ!F15/共通データ!E15))))</f>
        <v>8.3550919991237566E-2</v>
      </c>
      <c r="O46" s="371" t="str">
        <f t="shared" si="18"/>
        <v>[kgCO2/MJ]</v>
      </c>
      <c r="P46" s="149"/>
      <c r="Q46" s="62" t="s">
        <v>155</v>
      </c>
      <c r="R46" s="64"/>
      <c r="S46" s="715">
        <f t="shared" si="19"/>
        <v>0</v>
      </c>
      <c r="T46" s="715">
        <f t="shared" si="16"/>
        <v>0</v>
      </c>
      <c r="U46" s="715">
        <f t="shared" si="16"/>
        <v>0</v>
      </c>
      <c r="V46" s="715">
        <f t="shared" si="16"/>
        <v>0</v>
      </c>
      <c r="W46" s="715">
        <f t="shared" si="16"/>
        <v>0</v>
      </c>
      <c r="X46" s="705">
        <f t="shared" si="17"/>
        <v>0</v>
      </c>
      <c r="Y46" s="354" t="str">
        <f>IFERROR(IF(S46=0,"",S46*$AJ$170/('製造(P)'!$K$190+'貯蔵・輸送(ST)'!$K$190+'供給(D)'!$K$190)),"")</f>
        <v/>
      </c>
      <c r="Z46" s="354" t="str">
        <f>IFERROR(IF(T46=0,"",T46*$AJ$170/('製造(P)'!$K$190+'貯蔵・輸送(ST)'!$K$190+'供給(D)'!$K$190)),"")</f>
        <v/>
      </c>
      <c r="AA46" s="354" t="str">
        <f>IFERROR(IF(U46=0,"",U46*$AJ$170/('製造(P)'!$K$190+'貯蔵・輸送(ST)'!$K$190+'供給(D)'!$K$190)),"")</f>
        <v/>
      </c>
      <c r="AB46" s="354" t="str">
        <f>IFERROR(IF(V46=0,"",V46*$AJ$170/('製造(P)'!$K$190+'貯蔵・輸送(ST)'!$K$190+'供給(D)'!$K$190)),"")</f>
        <v/>
      </c>
      <c r="AC46" s="354" t="str">
        <f>IFERROR(IF(W46=0,"",W46*$AJ$170/('製造(P)'!$K$190+'貯蔵・輸送(ST)'!$K$190+'供給(D)'!$K$190)),"")</f>
        <v/>
      </c>
      <c r="AD46" s="778" t="str">
        <f>IFERROR(IF(X46=0,"",X46*$AJ$170/('製造(P)'!$K$190+'貯蔵・輸送(ST)'!$K$190+'供給(D)'!$K$190)),"")</f>
        <v/>
      </c>
      <c r="AE46" s="685"/>
      <c r="AF46" s="787"/>
      <c r="AG46" s="207" t="s">
        <v>155</v>
      </c>
      <c r="AH46" s="206">
        <v>181118801</v>
      </c>
      <c r="AI46" s="206"/>
      <c r="AJ46" s="492">
        <f>ROUND(共通データ!$E$12*VLOOKUP($AH46,IDEAv2原単位!$A$3:$F$4021,6,FALSE),2)</f>
        <v>3.18</v>
      </c>
      <c r="AK46" s="213" t="s">
        <v>53</v>
      </c>
      <c r="AL46" s="59"/>
      <c r="AM46" s="59"/>
    </row>
    <row r="47" spans="2:39">
      <c r="B47" s="967" t="s">
        <v>156</v>
      </c>
      <c r="C47" s="968"/>
      <c r="D47" s="968"/>
      <c r="E47" s="641" t="s">
        <v>6942</v>
      </c>
      <c r="F47" s="691">
        <v>0</v>
      </c>
      <c r="G47" s="691">
        <v>0</v>
      </c>
      <c r="H47" s="691">
        <v>0</v>
      </c>
      <c r="I47" s="691">
        <v>0</v>
      </c>
      <c r="J47" s="691">
        <v>0</v>
      </c>
      <c r="K47" s="692">
        <f t="shared" si="15"/>
        <v>0</v>
      </c>
      <c r="L47" s="639" t="s">
        <v>7852</v>
      </c>
      <c r="M47" s="481" t="str">
        <f>VLOOKUP(AH47,IDEAv2原単位!$A$3:$F$4021,2,FALSE)</f>
        <v>ガソリンの燃焼エネルギー</v>
      </c>
      <c r="N47" s="483">
        <f>IF(E47="[kg]",VLOOKUP($AH47,IDEAv2原単位!$A$3:$F$4021,6,FALSE)*共通データ!I9,IF(E47="[t]",VLOOKUP($AH47,IDEAv2原単位!$A$3:$F$4021,6,FALSE)*共通データ!I9*1000,IF(E47="[L]",VLOOKUP($AH47,IDEAv2原単位!$A$3:$F$4021,6,FALSE)*共通データ!F9,IF(E47="[kL]",VLOOKUP($AH47,IDEAv2原単位!$A$3:$F$4021,6,FALSE)*共通データ!F9*1000,VLOOKUP($AH47,IDEAv2原単位!$A$3:$F$4021,6,FALSE)*共通データ!F9/共通データ!E9))))</f>
        <v>8.7635912905005248E-2</v>
      </c>
      <c r="O47" s="371" t="str">
        <f t="shared" si="18"/>
        <v>[kgCO2/MJ]</v>
      </c>
      <c r="P47" s="149"/>
      <c r="Q47" s="62" t="s">
        <v>156</v>
      </c>
      <c r="R47" s="64"/>
      <c r="S47" s="715">
        <f t="shared" si="19"/>
        <v>0</v>
      </c>
      <c r="T47" s="715">
        <f t="shared" si="16"/>
        <v>0</v>
      </c>
      <c r="U47" s="715">
        <f t="shared" si="16"/>
        <v>0</v>
      </c>
      <c r="V47" s="715">
        <f t="shared" si="16"/>
        <v>0</v>
      </c>
      <c r="W47" s="715">
        <f t="shared" si="16"/>
        <v>0</v>
      </c>
      <c r="X47" s="705">
        <f t="shared" si="17"/>
        <v>0</v>
      </c>
      <c r="Y47" s="354" t="str">
        <f>IFERROR(IF(S47=0,"",S47*$AJ$170/('製造(P)'!$K$190+'貯蔵・輸送(ST)'!$K$190+'供給(D)'!$K$190)),"")</f>
        <v/>
      </c>
      <c r="Z47" s="354" t="str">
        <f>IFERROR(IF(T47=0,"",T47*$AJ$170/('製造(P)'!$K$190+'貯蔵・輸送(ST)'!$K$190+'供給(D)'!$K$190)),"")</f>
        <v/>
      </c>
      <c r="AA47" s="354" t="str">
        <f>IFERROR(IF(U47=0,"",U47*$AJ$170/('製造(P)'!$K$190+'貯蔵・輸送(ST)'!$K$190+'供給(D)'!$K$190)),"")</f>
        <v/>
      </c>
      <c r="AB47" s="354" t="str">
        <f>IFERROR(IF(V47=0,"",V47*$AJ$170/('製造(P)'!$K$190+'貯蔵・輸送(ST)'!$K$190+'供給(D)'!$K$190)),"")</f>
        <v/>
      </c>
      <c r="AC47" s="354" t="str">
        <f>IFERROR(IF(W47=0,"",W47*$AJ$170/('製造(P)'!$K$190+'貯蔵・輸送(ST)'!$K$190+'供給(D)'!$K$190)),"")</f>
        <v/>
      </c>
      <c r="AD47" s="778" t="str">
        <f>IFERROR(IF(X47=0,"",X47*$AJ$170/('製造(P)'!$K$190+'貯蔵・輸送(ST)'!$K$190+'供給(D)'!$K$190)),"")</f>
        <v/>
      </c>
      <c r="AE47" s="685"/>
      <c r="AF47" s="787"/>
      <c r="AG47" s="207" t="s">
        <v>156</v>
      </c>
      <c r="AH47" s="206">
        <v>181111801</v>
      </c>
      <c r="AI47" s="206"/>
      <c r="AJ47" s="492">
        <f>ROUND(共通データ!$E$9*VLOOKUP($AH47,IDEAv2原単位!$A$3:$F$4021,6,FALSE),2)</f>
        <v>2.74</v>
      </c>
      <c r="AK47" s="213" t="s">
        <v>53</v>
      </c>
      <c r="AL47" s="59"/>
      <c r="AM47" s="59"/>
    </row>
    <row r="48" spans="2:39">
      <c r="B48" s="967" t="s">
        <v>7581</v>
      </c>
      <c r="C48" s="968"/>
      <c r="D48" s="968"/>
      <c r="E48" s="641" t="s">
        <v>6942</v>
      </c>
      <c r="F48" s="691">
        <v>0</v>
      </c>
      <c r="G48" s="691">
        <v>0</v>
      </c>
      <c r="H48" s="691">
        <v>0</v>
      </c>
      <c r="I48" s="691">
        <v>0</v>
      </c>
      <c r="J48" s="691">
        <v>0</v>
      </c>
      <c r="K48" s="692">
        <f t="shared" si="15"/>
        <v>0</v>
      </c>
      <c r="L48" s="639" t="s">
        <v>192</v>
      </c>
      <c r="M48" s="481" t="str">
        <f>VLOOKUP(AH48,IDEAv2原単位!$A$3:$F$4021,2,FALSE)</f>
        <v>軽油の燃焼エネルギー</v>
      </c>
      <c r="N48" s="483">
        <f>IF(E48="[kg]", VLOOKUP($AH48,IDEAv2原単位!$A$3:$F$4021,6,FALSE)*共通データ!I11, IF(E48="[t]",VLOOKUP($AH48,IDEAv2原単位!$A$3:$F$4021,6,FALSE)*共通データ!I11*1000, IF(E48="[L]",VLOOKUP($AH48,IDEAv2原単位!$A$3:$F$4021,6,FALSE)*共通データ!F11, IF(E48="[kL]",VLOOKUP($AH48,IDEAv2原単位!$A$3:$F$4021,6,FALSE)*共通データ!F11*1000, VLOOKUP($AH48,IDEAv2原単位!$A$3:$F$4021,6,FALSE)*共通データ!F11/共通データ!E11))))</f>
        <v>8.2523769774409353E-2</v>
      </c>
      <c r="O48" s="371" t="str">
        <f t="shared" si="18"/>
        <v>[kgCO2/MJ]</v>
      </c>
      <c r="P48" s="149"/>
      <c r="Q48" s="163" t="s">
        <v>46</v>
      </c>
      <c r="R48" s="148"/>
      <c r="S48" s="715">
        <f t="shared" si="19"/>
        <v>0</v>
      </c>
      <c r="T48" s="715">
        <f t="shared" si="16"/>
        <v>0</v>
      </c>
      <c r="U48" s="715">
        <f t="shared" si="16"/>
        <v>0</v>
      </c>
      <c r="V48" s="715">
        <f t="shared" si="16"/>
        <v>0</v>
      </c>
      <c r="W48" s="715">
        <f t="shared" si="16"/>
        <v>0</v>
      </c>
      <c r="X48" s="705">
        <f t="shared" si="17"/>
        <v>0</v>
      </c>
      <c r="Y48" s="354" t="str">
        <f>IFERROR(IF(S48=0,"",S48*$AJ$170/('製造(P)'!$K$190+'貯蔵・輸送(ST)'!$K$190+'供給(D)'!$K$190)),"")</f>
        <v/>
      </c>
      <c r="Z48" s="354" t="str">
        <f>IFERROR(IF(T48=0,"",T48*$AJ$170/('製造(P)'!$K$190+'貯蔵・輸送(ST)'!$K$190+'供給(D)'!$K$190)),"")</f>
        <v/>
      </c>
      <c r="AA48" s="354" t="str">
        <f>IFERROR(IF(U48=0,"",U48*$AJ$170/('製造(P)'!$K$190+'貯蔵・輸送(ST)'!$K$190+'供給(D)'!$K$190)),"")</f>
        <v/>
      </c>
      <c r="AB48" s="354" t="str">
        <f>IFERROR(IF(V48=0,"",V48*$AJ$170/('製造(P)'!$K$190+'貯蔵・輸送(ST)'!$K$190+'供給(D)'!$K$190)),"")</f>
        <v/>
      </c>
      <c r="AC48" s="354" t="str">
        <f>IFERROR(IF(W48=0,"",W48*$AJ$170/('製造(P)'!$K$190+'貯蔵・輸送(ST)'!$K$190+'供給(D)'!$K$190)),"")</f>
        <v/>
      </c>
      <c r="AD48" s="778" t="str">
        <f>IFERROR(IF(X48=0,"",X48*$AJ$170/('製造(P)'!$K$190+'貯蔵・輸送(ST)'!$K$190+'供給(D)'!$K$190)),"")</f>
        <v/>
      </c>
      <c r="AE48" s="685"/>
      <c r="AF48" s="787"/>
      <c r="AG48" s="207" t="s">
        <v>46</v>
      </c>
      <c r="AH48" s="206">
        <v>181115801</v>
      </c>
      <c r="AI48" s="206"/>
      <c r="AJ48" s="492">
        <f>ROUND(共通データ!$E$14*VLOOKUP($AH48,IDEAv2原単位!$A$3:$F$4021,6,FALSE),2)</f>
        <v>3.09</v>
      </c>
      <c r="AK48" s="213" t="s">
        <v>53</v>
      </c>
      <c r="AL48" s="59"/>
      <c r="AM48" s="59"/>
    </row>
    <row r="49" spans="2:39" ht="13.8" thickBot="1">
      <c r="B49" s="967" t="s">
        <v>6937</v>
      </c>
      <c r="C49" s="968"/>
      <c r="D49" s="968"/>
      <c r="E49" s="400" t="s">
        <v>138</v>
      </c>
      <c r="F49" s="691">
        <v>0</v>
      </c>
      <c r="G49" s="691">
        <v>0</v>
      </c>
      <c r="H49" s="691">
        <v>0</v>
      </c>
      <c r="I49" s="691">
        <v>0</v>
      </c>
      <c r="J49" s="691">
        <v>0</v>
      </c>
      <c r="K49" s="692">
        <f t="shared" ref="K49" si="20">SUM(F49:J49)</f>
        <v>0</v>
      </c>
      <c r="L49" s="639" t="s">
        <v>7854</v>
      </c>
      <c r="M49" s="479" t="str">
        <f>VLOOKUP(AH49,IDEAv2原単位!$A$3:$F$4021,2,FALSE)</f>
        <v>工業用水道</v>
      </c>
      <c r="N49" s="483">
        <f>VLOOKUP($AH49,IDEAv2原単位!$A$3:$F$4021,6,FALSE)</f>
        <v>0.14873753178233792</v>
      </c>
      <c r="O49" s="371" t="s">
        <v>140</v>
      </c>
      <c r="P49" s="149"/>
      <c r="Q49" s="163" t="s">
        <v>76</v>
      </c>
      <c r="R49" s="148"/>
      <c r="S49" s="715">
        <f t="shared" si="19"/>
        <v>0</v>
      </c>
      <c r="T49" s="715">
        <f t="shared" si="16"/>
        <v>0</v>
      </c>
      <c r="U49" s="715">
        <f t="shared" si="16"/>
        <v>0</v>
      </c>
      <c r="V49" s="715">
        <f t="shared" si="16"/>
        <v>0</v>
      </c>
      <c r="W49" s="715">
        <f t="shared" si="16"/>
        <v>0</v>
      </c>
      <c r="X49" s="705">
        <f t="shared" si="17"/>
        <v>0</v>
      </c>
      <c r="Y49" s="354" t="str">
        <f>IFERROR(IF(S49=0,"",S49*$AJ$170/('製造(P)'!$K$190+'貯蔵・輸送(ST)'!$K$190+'供給(D)'!$K$190)),"")</f>
        <v/>
      </c>
      <c r="Z49" s="354" t="str">
        <f>IFERROR(IF(T49=0,"",T49*$AJ$170/('製造(P)'!$K$190+'貯蔵・輸送(ST)'!$K$190+'供給(D)'!$K$190)),"")</f>
        <v/>
      </c>
      <c r="AA49" s="354" t="str">
        <f>IFERROR(IF(U49=0,"",U49*$AJ$170/('製造(P)'!$K$190+'貯蔵・輸送(ST)'!$K$190+'供給(D)'!$K$190)),"")</f>
        <v/>
      </c>
      <c r="AB49" s="354" t="str">
        <f>IFERROR(IF(V49=0,"",V49*$AJ$170/('製造(P)'!$K$190+'貯蔵・輸送(ST)'!$K$190+'供給(D)'!$K$190)),"")</f>
        <v/>
      </c>
      <c r="AC49" s="354" t="str">
        <f>IFERROR(IF(W49=0,"",W49*$AJ$170/('製造(P)'!$K$190+'貯蔵・輸送(ST)'!$K$190+'供給(D)'!$K$190)),"")</f>
        <v/>
      </c>
      <c r="AD49" s="778" t="str">
        <f>IFERROR(IF(X49=0,"",X49*$AJ$170/('製造(P)'!$K$190+'貯蔵・輸送(ST)'!$K$190+'供給(D)'!$K$190)),"")</f>
        <v/>
      </c>
      <c r="AE49" s="685"/>
      <c r="AF49" s="787"/>
      <c r="AG49" s="207" t="s">
        <v>6937</v>
      </c>
      <c r="AH49" s="207">
        <v>362111000</v>
      </c>
      <c r="AI49" s="59"/>
      <c r="AJ49" s="538">
        <f>VLOOKUP($AH49,IDEAv2原単位!$A$3:$F$4021,6,FALSE)</f>
        <v>0.14873753178233792</v>
      </c>
      <c r="AK49" s="213" t="s">
        <v>140</v>
      </c>
      <c r="AL49" s="59"/>
      <c r="AM49" s="59"/>
    </row>
    <row r="50" spans="2:39" ht="13.8" thickBot="1">
      <c r="B50" s="976" t="s">
        <v>157</v>
      </c>
      <c r="C50" s="977"/>
      <c r="D50" s="644"/>
      <c r="E50" s="478" t="str">
        <f>IFERROR(IF(D50="","",VLOOKUP($D50,IDEAGLIO補助ﾘｽﾄ!$B$2:$F$50,4, FALSE)),"")</f>
        <v/>
      </c>
      <c r="F50" s="691">
        <v>0</v>
      </c>
      <c r="G50" s="691">
        <v>0</v>
      </c>
      <c r="H50" s="691">
        <v>0</v>
      </c>
      <c r="I50" s="691">
        <v>0</v>
      </c>
      <c r="J50" s="691">
        <v>0</v>
      </c>
      <c r="K50" s="692">
        <f t="shared" si="15"/>
        <v>0</v>
      </c>
      <c r="L50" s="639" t="s">
        <v>192</v>
      </c>
      <c r="M50" s="479" t="str">
        <f>IFERROR(VLOOKUP(D50,IDEAGLIO補助ﾘｽﾄ!$B$2:$F$50,3,FALSE),"")</f>
        <v/>
      </c>
      <c r="N50" s="484" t="str">
        <f>IFERROR(VLOOKUP($D50,IDEAGLIO補助ﾘｽﾄ!$B$2:$F$50,5, FALSE),"")</f>
        <v/>
      </c>
      <c r="O50" s="372" t="str">
        <f>IF(E50="","","[kgCO2/"&amp;E50&amp;"] ")</f>
        <v/>
      </c>
      <c r="P50" s="149"/>
      <c r="Q50" s="62" t="s">
        <v>157</v>
      </c>
      <c r="R50" s="81" t="str">
        <f>IF(D50="","-",D50)</f>
        <v>-</v>
      </c>
      <c r="S50" s="715">
        <f t="shared" si="19"/>
        <v>0</v>
      </c>
      <c r="T50" s="715">
        <f t="shared" si="16"/>
        <v>0</v>
      </c>
      <c r="U50" s="715">
        <f t="shared" si="16"/>
        <v>0</v>
      </c>
      <c r="V50" s="715">
        <f t="shared" si="16"/>
        <v>0</v>
      </c>
      <c r="W50" s="715">
        <f t="shared" si="16"/>
        <v>0</v>
      </c>
      <c r="X50" s="705">
        <f t="shared" si="17"/>
        <v>0</v>
      </c>
      <c r="Y50" s="354" t="str">
        <f>IFERROR(IF(S50=0,"",S50*$AJ$170/('製造(P)'!$K$190+'貯蔵・輸送(ST)'!$K$190+'供給(D)'!$K$190)),"")</f>
        <v/>
      </c>
      <c r="Z50" s="354" t="str">
        <f>IFERROR(IF(T50=0,"",T50*$AJ$170/('製造(P)'!$K$190+'貯蔵・輸送(ST)'!$K$190+'供給(D)'!$K$190)),"")</f>
        <v/>
      </c>
      <c r="AA50" s="354" t="str">
        <f>IFERROR(IF(U50=0,"",U50*$AJ$170/('製造(P)'!$K$190+'貯蔵・輸送(ST)'!$K$190+'供給(D)'!$K$190)),"")</f>
        <v/>
      </c>
      <c r="AB50" s="354" t="str">
        <f>IFERROR(IF(V50=0,"",V50*$AJ$170/('製造(P)'!$K$190+'貯蔵・輸送(ST)'!$K$190+'供給(D)'!$K$190)),"")</f>
        <v/>
      </c>
      <c r="AC50" s="354" t="str">
        <f>IFERROR(IF(W50=0,"",W50*$AJ$170/('製造(P)'!$K$190+'貯蔵・輸送(ST)'!$K$190+'供給(D)'!$K$190)),"")</f>
        <v/>
      </c>
      <c r="AD50" s="778" t="str">
        <f>IFERROR(IF(X50=0,"",X50*$AJ$170/('製造(P)'!$K$190+'貯蔵・輸送(ST)'!$K$190+'供給(D)'!$K$190)),"")</f>
        <v/>
      </c>
      <c r="AE50" s="685"/>
      <c r="AF50" s="787"/>
      <c r="AG50" s="206"/>
      <c r="AH50" s="206"/>
      <c r="AI50" s="206"/>
      <c r="AJ50" s="492">
        <f>0.019</f>
        <v>1.9E-2</v>
      </c>
      <c r="AK50" s="213" t="s">
        <v>158</v>
      </c>
      <c r="AL50" s="59"/>
      <c r="AM50" s="59"/>
    </row>
    <row r="51" spans="2:39" ht="13.8" thickBot="1">
      <c r="B51" s="978" t="s">
        <v>159</v>
      </c>
      <c r="C51" s="979"/>
      <c r="D51" s="643"/>
      <c r="E51" s="478" t="str">
        <f>IFERROR(IF(D51="","",VLOOKUP($D51,IDEAGLIO補助ﾘｽﾄ!$B$2:$F$50,4, FALSE)),"")</f>
        <v/>
      </c>
      <c r="F51" s="691">
        <v>0</v>
      </c>
      <c r="G51" s="691">
        <v>0</v>
      </c>
      <c r="H51" s="691">
        <v>0</v>
      </c>
      <c r="I51" s="691">
        <v>0</v>
      </c>
      <c r="J51" s="691">
        <v>0</v>
      </c>
      <c r="K51" s="692">
        <f t="shared" si="15"/>
        <v>0</v>
      </c>
      <c r="L51" s="639" t="s">
        <v>7854</v>
      </c>
      <c r="M51" s="479" t="str">
        <f>IFERROR(VLOOKUP(D51,IDEAGLIO補助ﾘｽﾄ!$B$2:$F$50,3,FALSE),"")</f>
        <v/>
      </c>
      <c r="N51" s="485" t="str">
        <f>IFERROR(VLOOKUP($D51,IDEAGLIO補助ﾘｽﾄ!$B$2:$F$50,5, FALSE),"")</f>
        <v/>
      </c>
      <c r="O51" s="372" t="str">
        <f t="shared" ref="O51:O52" si="21">IF(E51="","","[kgCO2/"&amp;E51&amp;"] ")</f>
        <v/>
      </c>
      <c r="P51" s="149"/>
      <c r="Q51" s="62" t="s">
        <v>159</v>
      </c>
      <c r="R51" s="81" t="str">
        <f>IF(D51="","-",D51)</f>
        <v>-</v>
      </c>
      <c r="S51" s="715">
        <f t="shared" si="19"/>
        <v>0</v>
      </c>
      <c r="T51" s="715">
        <f t="shared" si="16"/>
        <v>0</v>
      </c>
      <c r="U51" s="715">
        <f t="shared" si="16"/>
        <v>0</v>
      </c>
      <c r="V51" s="715">
        <f t="shared" si="16"/>
        <v>0</v>
      </c>
      <c r="W51" s="715">
        <f t="shared" si="16"/>
        <v>0</v>
      </c>
      <c r="X51" s="705">
        <f t="shared" si="17"/>
        <v>0</v>
      </c>
      <c r="Y51" s="354" t="str">
        <f>IFERROR(IF(S51=0,"",S51*$AJ$170/('製造(P)'!$K$190+'貯蔵・輸送(ST)'!$K$190+'供給(D)'!$K$190)),"")</f>
        <v/>
      </c>
      <c r="Z51" s="354" t="str">
        <f>IFERROR(IF(T51=0,"",T51*$AJ$170/('製造(P)'!$K$190+'貯蔵・輸送(ST)'!$K$190+'供給(D)'!$K$190)),"")</f>
        <v/>
      </c>
      <c r="AA51" s="354" t="str">
        <f>IFERROR(IF(U51=0,"",U51*$AJ$170/('製造(P)'!$K$190+'貯蔵・輸送(ST)'!$K$190+'供給(D)'!$K$190)),"")</f>
        <v/>
      </c>
      <c r="AB51" s="354" t="str">
        <f>IFERROR(IF(V51=0,"",V51*$AJ$170/('製造(P)'!$K$190+'貯蔵・輸送(ST)'!$K$190+'供給(D)'!$K$190)),"")</f>
        <v/>
      </c>
      <c r="AC51" s="354" t="str">
        <f>IFERROR(IF(W51=0,"",W51*$AJ$170/('製造(P)'!$K$190+'貯蔵・輸送(ST)'!$K$190+'供給(D)'!$K$190)),"")</f>
        <v/>
      </c>
      <c r="AD51" s="778" t="str">
        <f>IFERROR(IF(X51=0,"",X51*$AJ$170/('製造(P)'!$K$190+'貯蔵・輸送(ST)'!$K$190+'供給(D)'!$K$190)),"")</f>
        <v/>
      </c>
      <c r="AE51" s="685"/>
      <c r="AF51" s="787"/>
      <c r="AG51" s="59"/>
      <c r="AH51" s="59"/>
      <c r="AI51" s="59"/>
      <c r="AJ51" s="492"/>
      <c r="AK51" s="213" t="s">
        <v>158</v>
      </c>
      <c r="AL51" s="59"/>
      <c r="AM51" s="59"/>
    </row>
    <row r="52" spans="2:39" ht="13.8" thickBot="1">
      <c r="B52" s="978" t="s">
        <v>160</v>
      </c>
      <c r="C52" s="979"/>
      <c r="D52" s="642"/>
      <c r="E52" s="478" t="str">
        <f>IFERROR(IF(D52="","",VLOOKUP($D52,IDEAGLIO補助ﾘｽﾄ!$B$2:$F$50,4, FALSE)),"")</f>
        <v/>
      </c>
      <c r="F52" s="691">
        <v>0</v>
      </c>
      <c r="G52" s="691">
        <v>0</v>
      </c>
      <c r="H52" s="691">
        <v>0</v>
      </c>
      <c r="I52" s="691">
        <v>0</v>
      </c>
      <c r="J52" s="691">
        <v>0</v>
      </c>
      <c r="K52" s="692">
        <f t="shared" si="15"/>
        <v>0</v>
      </c>
      <c r="L52" s="639" t="s">
        <v>7854</v>
      </c>
      <c r="M52" s="479" t="str">
        <f>IFERROR(VLOOKUP(D52,IDEAGLIO補助ﾘｽﾄ!$B$2:$F$50,3,FALSE),"")</f>
        <v/>
      </c>
      <c r="N52" s="485" t="str">
        <f>IFERROR(VLOOKUP($D52,IDEAGLIO補助ﾘｽﾄ!$B$2:$F$50,5, FALSE),"")</f>
        <v/>
      </c>
      <c r="O52" s="372" t="str">
        <f t="shared" si="21"/>
        <v/>
      </c>
      <c r="P52" s="149"/>
      <c r="Q52" s="62" t="s">
        <v>160</v>
      </c>
      <c r="R52" s="81" t="str">
        <f>IF(D52="","-",D52)</f>
        <v>-</v>
      </c>
      <c r="S52" s="715">
        <f t="shared" si="19"/>
        <v>0</v>
      </c>
      <c r="T52" s="715">
        <f t="shared" si="16"/>
        <v>0</v>
      </c>
      <c r="U52" s="715">
        <f t="shared" si="16"/>
        <v>0</v>
      </c>
      <c r="V52" s="715">
        <f t="shared" si="16"/>
        <v>0</v>
      </c>
      <c r="W52" s="715">
        <f t="shared" si="16"/>
        <v>0</v>
      </c>
      <c r="X52" s="705">
        <f t="shared" si="17"/>
        <v>0</v>
      </c>
      <c r="Y52" s="354" t="str">
        <f>IFERROR(IF(S52=0,"",S52*$AJ$170/('製造(P)'!$K$190+'貯蔵・輸送(ST)'!$K$190+'供給(D)'!$K$190)),"")</f>
        <v/>
      </c>
      <c r="Z52" s="354" t="str">
        <f>IFERROR(IF(T52=0,"",T52*$AJ$170/('製造(P)'!$K$190+'貯蔵・輸送(ST)'!$K$190+'供給(D)'!$K$190)),"")</f>
        <v/>
      </c>
      <c r="AA52" s="354" t="str">
        <f>IFERROR(IF(U52=0,"",U52*$AJ$170/('製造(P)'!$K$190+'貯蔵・輸送(ST)'!$K$190+'供給(D)'!$K$190)),"")</f>
        <v/>
      </c>
      <c r="AB52" s="354" t="str">
        <f>IFERROR(IF(V52=0,"",V52*$AJ$170/('製造(P)'!$K$190+'貯蔵・輸送(ST)'!$K$190+'供給(D)'!$K$190)),"")</f>
        <v/>
      </c>
      <c r="AC52" s="354" t="str">
        <f>IFERROR(IF(W52=0,"",W52*$AJ$170/('製造(P)'!$K$190+'貯蔵・輸送(ST)'!$K$190+'供給(D)'!$K$190)),"")</f>
        <v/>
      </c>
      <c r="AD52" s="778" t="str">
        <f>IFERROR(IF(X52=0,"",X52*$AJ$170/('製造(P)'!$K$190+'貯蔵・輸送(ST)'!$K$190+'供給(D)'!$K$190)),"")</f>
        <v/>
      </c>
      <c r="AE52" s="685"/>
      <c r="AF52" s="787"/>
      <c r="AG52" s="59"/>
      <c r="AH52" s="59"/>
      <c r="AI52" s="59"/>
      <c r="AJ52" s="492"/>
      <c r="AK52" s="213" t="s">
        <v>158</v>
      </c>
      <c r="AL52" s="59"/>
      <c r="AM52" s="59"/>
    </row>
    <row r="53" spans="2:39">
      <c r="B53" s="150"/>
      <c r="C53" s="150"/>
      <c r="D53" s="151"/>
      <c r="E53" s="151"/>
      <c r="F53" s="225"/>
      <c r="G53" s="225"/>
      <c r="H53" s="225"/>
      <c r="I53" s="225"/>
      <c r="J53" s="225"/>
      <c r="K53" s="152"/>
      <c r="L53" s="152"/>
      <c r="M53" s="152"/>
      <c r="N53" s="322"/>
      <c r="O53" s="153"/>
      <c r="P53" s="149"/>
      <c r="Q53" s="147" t="s">
        <v>144</v>
      </c>
      <c r="R53" s="148"/>
      <c r="S53" s="716">
        <f t="shared" ref="S53:X53" si="22">SUM(S39:S52)</f>
        <v>0</v>
      </c>
      <c r="T53" s="716">
        <f t="shared" si="22"/>
        <v>0</v>
      </c>
      <c r="U53" s="716">
        <f t="shared" si="22"/>
        <v>0</v>
      </c>
      <c r="V53" s="716">
        <f t="shared" si="22"/>
        <v>0</v>
      </c>
      <c r="W53" s="716">
        <f t="shared" si="22"/>
        <v>0</v>
      </c>
      <c r="X53" s="716">
        <f t="shared" si="22"/>
        <v>0</v>
      </c>
      <c r="Y53" s="354">
        <f>IFERROR(S53*$AJ$170/('製造(P)'!$K$190+'貯蔵・輸送(ST)'!$K$190+'供給(D)'!$K$190),"")</f>
        <v>0</v>
      </c>
      <c r="Z53" s="354">
        <f>IFERROR(T53*$AJ$170/('製造(P)'!$K$190+'貯蔵・輸送(ST)'!$K$190+'供給(D)'!$K$190),"")</f>
        <v>0</v>
      </c>
      <c r="AA53" s="354">
        <f>IFERROR(U53*$AJ$170/('製造(P)'!$K$190+'貯蔵・輸送(ST)'!$K$190+'供給(D)'!$K$190),"")</f>
        <v>0</v>
      </c>
      <c r="AB53" s="354">
        <f>IFERROR(V53*$AJ$170/('製造(P)'!$K$190+'貯蔵・輸送(ST)'!$K$190+'供給(D)'!$K$190),"")</f>
        <v>0</v>
      </c>
      <c r="AC53" s="354">
        <f>IFERROR(W53*$AJ$170/('製造(P)'!$K$190+'貯蔵・輸送(ST)'!$K$190+'供給(D)'!$K$190),"")</f>
        <v>0</v>
      </c>
      <c r="AD53" s="354">
        <f>IFERROR(X53*$AJ$170/('製造(P)'!$K$190+'貯蔵・輸送(ST)'!$K$190+'供給(D)'!$K$190),"")</f>
        <v>0</v>
      </c>
      <c r="AE53" s="796"/>
      <c r="AF53" s="796"/>
      <c r="AG53" s="59"/>
      <c r="AH53" s="59"/>
      <c r="AI53" s="59"/>
      <c r="AJ53" s="534"/>
      <c r="AK53" s="212"/>
      <c r="AL53" s="59"/>
      <c r="AM53" s="59"/>
    </row>
    <row r="54" spans="2:39" s="149" customFormat="1">
      <c r="B54" s="150"/>
      <c r="C54" s="150"/>
      <c r="D54" s="151"/>
      <c r="E54" s="151"/>
      <c r="F54" s="225"/>
      <c r="G54" s="225"/>
      <c r="H54" s="225"/>
      <c r="I54" s="225"/>
      <c r="J54" s="225"/>
      <c r="K54" s="152"/>
      <c r="L54" s="152"/>
      <c r="M54" s="152"/>
      <c r="N54" s="322"/>
      <c r="O54" s="153"/>
      <c r="S54" s="220"/>
      <c r="T54" s="220"/>
      <c r="U54" s="220"/>
      <c r="V54" s="220"/>
      <c r="W54" s="220"/>
      <c r="X54" s="220"/>
      <c r="Y54" s="355"/>
      <c r="Z54" s="355"/>
      <c r="AA54" s="355"/>
      <c r="AB54" s="355"/>
      <c r="AC54" s="355"/>
      <c r="AD54" s="355"/>
      <c r="AE54" s="805"/>
      <c r="AF54" s="805"/>
      <c r="AJ54" s="534"/>
      <c r="AK54" s="212"/>
    </row>
    <row r="55" spans="2:39" ht="14.1" customHeight="1">
      <c r="B55" s="890" t="s">
        <v>7529</v>
      </c>
      <c r="C55" s="937"/>
      <c r="D55" s="891"/>
      <c r="E55" s="892"/>
      <c r="F55" s="938" t="s">
        <v>7856</v>
      </c>
      <c r="G55" s="939"/>
      <c r="H55" s="939"/>
      <c r="I55" s="939"/>
      <c r="J55" s="939"/>
      <c r="K55" s="940"/>
      <c r="L55" s="941" t="s">
        <v>136</v>
      </c>
      <c r="M55" s="943" t="s">
        <v>210</v>
      </c>
      <c r="N55" s="944"/>
      <c r="O55" s="945"/>
      <c r="P55" s="149"/>
      <c r="Q55" s="890" t="s">
        <v>7797</v>
      </c>
      <c r="R55" s="892"/>
      <c r="S55" s="933" t="s">
        <v>7666</v>
      </c>
      <c r="T55" s="934"/>
      <c r="U55" s="934"/>
      <c r="V55" s="934"/>
      <c r="W55" s="934"/>
      <c r="X55" s="934"/>
      <c r="Y55" s="955" t="s">
        <v>7543</v>
      </c>
      <c r="Z55" s="956"/>
      <c r="AA55" s="956"/>
      <c r="AB55" s="956"/>
      <c r="AC55" s="956"/>
      <c r="AD55" s="956"/>
      <c r="AE55" s="904" t="s">
        <v>7919</v>
      </c>
      <c r="AF55" s="810"/>
      <c r="AG55" s="207"/>
      <c r="AH55" s="207"/>
      <c r="AI55" s="59"/>
      <c r="AJ55" s="1026" t="s">
        <v>210</v>
      </c>
      <c r="AK55" s="1026"/>
      <c r="AL55" s="59"/>
      <c r="AM55" s="59"/>
    </row>
    <row r="56" spans="2:39" ht="13.8" thickBot="1">
      <c r="B56" s="893"/>
      <c r="C56" s="894"/>
      <c r="D56" s="894"/>
      <c r="E56" s="895"/>
      <c r="F56" s="312" t="s">
        <v>7881</v>
      </c>
      <c r="G56" s="312" t="s">
        <v>7882</v>
      </c>
      <c r="H56" s="312" t="s">
        <v>7061</v>
      </c>
      <c r="I56" s="312" t="s">
        <v>7062</v>
      </c>
      <c r="J56" s="312" t="s">
        <v>7063</v>
      </c>
      <c r="K56" s="313" t="s">
        <v>7436</v>
      </c>
      <c r="L56" s="942"/>
      <c r="M56" s="946"/>
      <c r="N56" s="947"/>
      <c r="O56" s="948"/>
      <c r="P56" s="149"/>
      <c r="Q56" s="896"/>
      <c r="R56" s="898"/>
      <c r="S56" s="312" t="s">
        <v>7435</v>
      </c>
      <c r="T56" s="312" t="s">
        <v>7883</v>
      </c>
      <c r="U56" s="312" t="s">
        <v>7061</v>
      </c>
      <c r="V56" s="312" t="s">
        <v>7062</v>
      </c>
      <c r="W56" s="312" t="s">
        <v>7063</v>
      </c>
      <c r="X56" s="313" t="s">
        <v>7436</v>
      </c>
      <c r="Y56" s="312" t="s">
        <v>7881</v>
      </c>
      <c r="Z56" s="312" t="s">
        <v>7882</v>
      </c>
      <c r="AA56" s="312" t="s">
        <v>7061</v>
      </c>
      <c r="AB56" s="312" t="s">
        <v>7062</v>
      </c>
      <c r="AC56" s="312" t="s">
        <v>7063</v>
      </c>
      <c r="AD56" s="313" t="s">
        <v>7436</v>
      </c>
      <c r="AE56" s="905"/>
      <c r="AF56" s="810"/>
      <c r="AG56" s="207"/>
      <c r="AH56" s="207"/>
      <c r="AI56" s="59"/>
      <c r="AJ56" s="1019"/>
      <c r="AK56" s="1019"/>
      <c r="AL56" s="59"/>
      <c r="AM56" s="59"/>
    </row>
    <row r="57" spans="2:39" ht="15" customHeight="1" thickBot="1">
      <c r="B57" s="951" t="s">
        <v>7531</v>
      </c>
      <c r="C57" s="952"/>
      <c r="D57" s="953"/>
      <c r="E57" s="373" t="s">
        <v>7884</v>
      </c>
      <c r="F57" s="694">
        <v>5</v>
      </c>
      <c r="G57" s="691">
        <v>15</v>
      </c>
      <c r="H57" s="691">
        <v>1</v>
      </c>
      <c r="I57" s="691">
        <v>0</v>
      </c>
      <c r="J57" s="691">
        <v>0</v>
      </c>
      <c r="K57" s="692">
        <f t="shared" ref="K57:K59" si="23">SUM(F57:J57)</f>
        <v>21</v>
      </c>
      <c r="L57" s="639" t="s">
        <v>192</v>
      </c>
      <c r="M57" s="479"/>
      <c r="N57" s="479">
        <f>IFERROR(VLOOKUP($B57,共通データ!$B$32:$O$37,12,FALSE),"")</f>
        <v>7.0999999999999995E-3</v>
      </c>
      <c r="O57" s="489" t="str">
        <f>IF(B57="","","[kg-CO2/kWh] ")</f>
        <v xml:space="preserve">[kg-CO2/kWh] </v>
      </c>
      <c r="P57" s="149"/>
      <c r="Q57" s="910" t="str">
        <f>IF(B57="","",B57)</f>
        <v>風力発電陸上（1,000kW級）</v>
      </c>
      <c r="R57" s="911"/>
      <c r="S57" s="715">
        <f>IFERROR(F57*$N57,0)</f>
        <v>3.5499999999999997E-2</v>
      </c>
      <c r="T57" s="715">
        <f t="shared" ref="T57:W59" si="24">IFERROR(G57*$N57,0)</f>
        <v>0.1065</v>
      </c>
      <c r="U57" s="715">
        <f t="shared" si="24"/>
        <v>7.0999999999999995E-3</v>
      </c>
      <c r="V57" s="715">
        <f t="shared" si="24"/>
        <v>0</v>
      </c>
      <c r="W57" s="715">
        <f t="shared" si="24"/>
        <v>0</v>
      </c>
      <c r="X57" s="717">
        <f t="shared" ref="X57:X59" si="25">SUM(S57:W57)</f>
        <v>0.14909999999999998</v>
      </c>
      <c r="Y57" s="354">
        <f>IFERROR(IF(S57=0,"",S57*$AJ$170/('製造(P)'!$K$190+'貯蔵・輸送(ST)'!$K$190+'供給(D)'!$K$190)),"")</f>
        <v>3.7595424228881305E-4</v>
      </c>
      <c r="Z57" s="354">
        <f>IFERROR(IF(T57=0,"",T57*$AJ$170/('製造(P)'!$K$190+'貯蔵・輸送(ST)'!$K$190+'供給(D)'!$K$190)),"")</f>
        <v>1.1278627268664391E-3</v>
      </c>
      <c r="AA57" s="354">
        <f>IFERROR(IF(U57=0,"",U57*$AJ$170/('製造(P)'!$K$190+'貯蔵・輸送(ST)'!$K$190+'供給(D)'!$K$190)),"")</f>
        <v>7.5190848457762602E-5</v>
      </c>
      <c r="AB57" s="354" t="str">
        <f>IFERROR(IF(V57=0,"",V57*$AJ$170/('製造(P)'!$K$190+'貯蔵・輸送(ST)'!$K$190+'供給(D)'!$K$190)),"")</f>
        <v/>
      </c>
      <c r="AC57" s="354" t="str">
        <f>IFERROR(IF(W57=0,"",W57*$AJ$170/('製造(P)'!$K$190+'貯蔵・輸送(ST)'!$K$190+'供給(D)'!$K$190)),"")</f>
        <v/>
      </c>
      <c r="AD57" s="778">
        <f>IFERROR(IF(X57=0,"",X57*$AJ$170/('製造(P)'!$K$190+'貯蔵・輸送(ST)'!$K$190+'供給(D)'!$K$190)),"")</f>
        <v>1.5790078176130147E-3</v>
      </c>
      <c r="AE57" s="685"/>
      <c r="AF57" s="787"/>
      <c r="AG57" s="207" t="s">
        <v>6940</v>
      </c>
      <c r="AH57" s="207">
        <v>172411000</v>
      </c>
      <c r="AI57" s="59"/>
      <c r="AJ57" s="538">
        <f>VLOOKUP($AH57,IDEAv2原単位!$A$3:$F$4021,6,FALSE)</f>
        <v>1.2378879008784885E-2</v>
      </c>
      <c r="AK57" s="213" t="s">
        <v>54</v>
      </c>
      <c r="AL57" s="59"/>
      <c r="AM57" s="59"/>
    </row>
    <row r="58" spans="2:39" ht="15" customHeight="1" thickBot="1">
      <c r="B58" s="951"/>
      <c r="C58" s="952"/>
      <c r="D58" s="953"/>
      <c r="E58" s="373" t="s">
        <v>7884</v>
      </c>
      <c r="F58" s="694">
        <v>0</v>
      </c>
      <c r="G58" s="691">
        <v>0</v>
      </c>
      <c r="H58" s="691">
        <v>0</v>
      </c>
      <c r="I58" s="691">
        <v>0</v>
      </c>
      <c r="J58" s="691">
        <v>0</v>
      </c>
      <c r="K58" s="692">
        <f t="shared" si="23"/>
        <v>0</v>
      </c>
      <c r="L58" s="639" t="s">
        <v>7852</v>
      </c>
      <c r="M58" s="479"/>
      <c r="N58" s="479" t="str">
        <f>IFERROR(VLOOKUP($B58,共通データ!$B$32:$O$37,12,FALSE),"")</f>
        <v/>
      </c>
      <c r="O58" s="489" t="str">
        <f t="shared" ref="O58:O59" si="26">IF(B58="","","[kg-CO2/kWh] ")</f>
        <v/>
      </c>
      <c r="P58" s="149"/>
      <c r="Q58" s="910" t="str">
        <f t="shared" ref="Q58:Q59" si="27">IF(B58="","",B58)</f>
        <v/>
      </c>
      <c r="R58" s="911"/>
      <c r="S58" s="715">
        <f t="shared" ref="S58:S59" si="28">IFERROR(F58*$N58,0)</f>
        <v>0</v>
      </c>
      <c r="T58" s="715">
        <f t="shared" si="24"/>
        <v>0</v>
      </c>
      <c r="U58" s="715">
        <f t="shared" si="24"/>
        <v>0</v>
      </c>
      <c r="V58" s="715">
        <f t="shared" si="24"/>
        <v>0</v>
      </c>
      <c r="W58" s="715">
        <f t="shared" si="24"/>
        <v>0</v>
      </c>
      <c r="X58" s="717">
        <f t="shared" si="25"/>
        <v>0</v>
      </c>
      <c r="Y58" s="354" t="str">
        <f>IFERROR(IF(S58=0,"",S58*$AJ$170/('製造(P)'!$K$190+'貯蔵・輸送(ST)'!$K$190+'供給(D)'!$K$190)),"")</f>
        <v/>
      </c>
      <c r="Z58" s="354" t="str">
        <f>IFERROR(IF(T58=0,"",T58*$AJ$170/('製造(P)'!$K$190+'貯蔵・輸送(ST)'!$K$190+'供給(D)'!$K$190)),"")</f>
        <v/>
      </c>
      <c r="AA58" s="354" t="str">
        <f>IFERROR(IF(U58=0,"",U58*$AJ$170/('製造(P)'!$K$190+'貯蔵・輸送(ST)'!$K$190+'供給(D)'!$K$190)),"")</f>
        <v/>
      </c>
      <c r="AB58" s="354" t="str">
        <f>IFERROR(IF(V58=0,"",V58*$AJ$170/('製造(P)'!$K$190+'貯蔵・輸送(ST)'!$K$190+'供給(D)'!$K$190)),"")</f>
        <v/>
      </c>
      <c r="AC58" s="354" t="str">
        <f>IFERROR(IF(W58=0,"",W58*$AJ$170/('製造(P)'!$K$190+'貯蔵・輸送(ST)'!$K$190+'供給(D)'!$K$190)),"")</f>
        <v/>
      </c>
      <c r="AD58" s="778" t="str">
        <f>IFERROR(IF(X58=0,"",X58*$AJ$170/('製造(P)'!$K$190+'貯蔵・輸送(ST)'!$K$190+'供給(D)'!$K$190)),"")</f>
        <v/>
      </c>
      <c r="AE58" s="685"/>
      <c r="AF58" s="787"/>
      <c r="AG58" s="207" t="s">
        <v>6937</v>
      </c>
      <c r="AH58" s="207">
        <v>362111000</v>
      </c>
      <c r="AI58" s="59"/>
      <c r="AJ58" s="538">
        <f>VLOOKUP($AH58,IDEAv2原単位!$A$3:$F$4021,6,FALSE)</f>
        <v>0.14873753178233792</v>
      </c>
      <c r="AK58" s="213" t="s">
        <v>140</v>
      </c>
      <c r="AL58" s="59"/>
      <c r="AM58" s="59"/>
    </row>
    <row r="59" spans="2:39" ht="15" customHeight="1" thickBot="1">
      <c r="B59" s="951"/>
      <c r="C59" s="952"/>
      <c r="D59" s="953"/>
      <c r="E59" s="373" t="s">
        <v>7530</v>
      </c>
      <c r="F59" s="694">
        <v>0</v>
      </c>
      <c r="G59" s="691">
        <v>0</v>
      </c>
      <c r="H59" s="691">
        <v>0</v>
      </c>
      <c r="I59" s="691">
        <v>0</v>
      </c>
      <c r="J59" s="691">
        <v>0</v>
      </c>
      <c r="K59" s="692">
        <f t="shared" si="23"/>
        <v>0</v>
      </c>
      <c r="L59" s="639" t="s">
        <v>192</v>
      </c>
      <c r="M59" s="479"/>
      <c r="N59" s="479" t="str">
        <f>IFERROR(VLOOKUP($B59,共通データ!$B$32:$O$37,12,FALSE),"")</f>
        <v/>
      </c>
      <c r="O59" s="489" t="str">
        <f t="shared" si="26"/>
        <v/>
      </c>
      <c r="P59" s="149"/>
      <c r="Q59" s="910" t="str">
        <f t="shared" si="27"/>
        <v/>
      </c>
      <c r="R59" s="911"/>
      <c r="S59" s="715">
        <f t="shared" si="28"/>
        <v>0</v>
      </c>
      <c r="T59" s="715">
        <f t="shared" si="24"/>
        <v>0</v>
      </c>
      <c r="U59" s="715">
        <f t="shared" si="24"/>
        <v>0</v>
      </c>
      <c r="V59" s="715">
        <f t="shared" si="24"/>
        <v>0</v>
      </c>
      <c r="W59" s="715">
        <f t="shared" si="24"/>
        <v>0</v>
      </c>
      <c r="X59" s="717">
        <f t="shared" si="25"/>
        <v>0</v>
      </c>
      <c r="Y59" s="354" t="str">
        <f>IFERROR(IF(S59=0,"",S59*$AJ$170/('製造(P)'!$K$190+'貯蔵・輸送(ST)'!$K$190+'供給(D)'!$K$190)),"")</f>
        <v/>
      </c>
      <c r="Z59" s="354" t="str">
        <f>IFERROR(IF(T59=0,"",T59*$AJ$170/('製造(P)'!$K$190+'貯蔵・輸送(ST)'!$K$190+'供給(D)'!$K$190)),"")</f>
        <v/>
      </c>
      <c r="AA59" s="354" t="str">
        <f>IFERROR(IF(U59=0,"",U59*$AJ$170/('製造(P)'!$K$190+'貯蔵・輸送(ST)'!$K$190+'供給(D)'!$K$190)),"")</f>
        <v/>
      </c>
      <c r="AB59" s="354" t="str">
        <f>IFERROR(IF(V59=0,"",V59*$AJ$170/('製造(P)'!$K$190+'貯蔵・輸送(ST)'!$K$190+'供給(D)'!$K$190)),"")</f>
        <v/>
      </c>
      <c r="AC59" s="354" t="str">
        <f>IFERROR(IF(W59=0,"",W59*$AJ$170/('製造(P)'!$K$190+'貯蔵・輸送(ST)'!$K$190+'供給(D)'!$K$190)),"")</f>
        <v/>
      </c>
      <c r="AD59" s="778" t="str">
        <f>IFERROR(IF(X59=0,"",X59*$AJ$170/('製造(P)'!$K$190+'貯蔵・輸送(ST)'!$K$190+'供給(D)'!$K$190)),"")</f>
        <v/>
      </c>
      <c r="AE59" s="685"/>
      <c r="AF59" s="787"/>
      <c r="AG59" s="207"/>
      <c r="AH59" s="207"/>
      <c r="AI59" s="59"/>
      <c r="AJ59" s="540"/>
      <c r="AK59" s="371"/>
      <c r="AL59" s="59"/>
      <c r="AM59" s="59"/>
    </row>
    <row r="60" spans="2:39">
      <c r="B60" s="150"/>
      <c r="C60" s="150"/>
      <c r="D60" s="151"/>
      <c r="E60" s="151"/>
      <c r="F60" s="225"/>
      <c r="G60" s="225"/>
      <c r="H60" s="225"/>
      <c r="I60" s="225"/>
      <c r="J60" s="225"/>
      <c r="K60" s="152"/>
      <c r="L60" s="152"/>
      <c r="M60" s="152"/>
      <c r="N60" s="322"/>
      <c r="O60" s="153"/>
      <c r="P60" s="149"/>
      <c r="Q60" s="147" t="s">
        <v>144</v>
      </c>
      <c r="R60" s="148"/>
      <c r="S60" s="715">
        <f t="shared" ref="S60:X60" si="29">SUM(S57:S58)</f>
        <v>3.5499999999999997E-2</v>
      </c>
      <c r="T60" s="715">
        <f t="shared" si="29"/>
        <v>0.1065</v>
      </c>
      <c r="U60" s="715">
        <f t="shared" si="29"/>
        <v>7.0999999999999995E-3</v>
      </c>
      <c r="V60" s="715">
        <f t="shared" si="29"/>
        <v>0</v>
      </c>
      <c r="W60" s="715">
        <f t="shared" si="29"/>
        <v>0</v>
      </c>
      <c r="X60" s="715">
        <f t="shared" si="29"/>
        <v>0.14909999999999998</v>
      </c>
      <c r="Y60" s="775">
        <f>IFERROR(S60*$AJ$170/('製造(P)'!$K$190+'貯蔵・輸送(ST)'!$K$190+'供給(D)'!$K$190),"")</f>
        <v>3.7595424228881305E-4</v>
      </c>
      <c r="Z60" s="775">
        <f>IFERROR(T60*$AJ$170/('製造(P)'!$K$190+'貯蔵・輸送(ST)'!$K$190+'供給(D)'!$K$190),"")</f>
        <v>1.1278627268664391E-3</v>
      </c>
      <c r="AA60" s="775">
        <f>IFERROR(U60*$AJ$170/('製造(P)'!$K$190+'貯蔵・輸送(ST)'!$K$190+'供給(D)'!$K$190),"")</f>
        <v>7.5190848457762602E-5</v>
      </c>
      <c r="AB60" s="775">
        <f>IFERROR(V60*$AJ$170/('製造(P)'!$K$190+'貯蔵・輸送(ST)'!$K$190+'供給(D)'!$K$190),"")</f>
        <v>0</v>
      </c>
      <c r="AC60" s="775">
        <f>IFERROR(W60*$AJ$170/('製造(P)'!$K$190+'貯蔵・輸送(ST)'!$K$190+'供給(D)'!$K$190),"")</f>
        <v>0</v>
      </c>
      <c r="AD60" s="775">
        <f>IFERROR(X60*$AJ$170/('製造(P)'!$K$190+'貯蔵・輸送(ST)'!$K$190+'供給(D)'!$K$190),"")</f>
        <v>1.5790078176130147E-3</v>
      </c>
      <c r="AE60" s="795"/>
      <c r="AF60" s="795"/>
      <c r="AG60" s="59"/>
      <c r="AH60" s="59"/>
      <c r="AI60" s="59"/>
      <c r="AJ60" s="534"/>
      <c r="AK60" s="212"/>
      <c r="AL60" s="59"/>
      <c r="AM60" s="59"/>
    </row>
    <row r="61" spans="2:39">
      <c r="B61" s="149"/>
      <c r="C61" s="149"/>
      <c r="D61" s="149"/>
      <c r="E61" s="149"/>
      <c r="F61" s="220"/>
      <c r="G61" s="220"/>
      <c r="H61" s="220"/>
      <c r="I61" s="220"/>
      <c r="J61" s="220"/>
      <c r="K61" s="149"/>
      <c r="L61" s="149"/>
      <c r="M61" s="149"/>
      <c r="N61" s="320"/>
      <c r="O61" s="149"/>
      <c r="P61" s="149"/>
      <c r="Q61" s="149"/>
      <c r="R61" s="149"/>
      <c r="S61" s="220"/>
      <c r="T61" s="220"/>
      <c r="U61" s="220"/>
      <c r="V61" s="220"/>
      <c r="W61" s="220"/>
      <c r="X61" s="220"/>
      <c r="Y61" s="355"/>
      <c r="Z61" s="355"/>
      <c r="AA61" s="355"/>
      <c r="AB61" s="355"/>
      <c r="AC61" s="355"/>
      <c r="AD61" s="355"/>
      <c r="AE61" s="805"/>
      <c r="AF61" s="805"/>
      <c r="AG61" s="59"/>
      <c r="AH61" s="59"/>
      <c r="AI61" s="59"/>
      <c r="AJ61" s="534"/>
      <c r="AK61" s="212"/>
      <c r="AL61" s="59"/>
      <c r="AM61" s="59"/>
    </row>
    <row r="62" spans="2:39">
      <c r="B62" s="915" t="s">
        <v>7783</v>
      </c>
      <c r="C62" s="915"/>
      <c r="D62" s="915"/>
      <c r="E62" s="915"/>
      <c r="F62" s="915"/>
      <c r="G62" s="915"/>
      <c r="H62" s="915"/>
      <c r="I62" s="915"/>
      <c r="J62" s="915"/>
      <c r="K62" s="915"/>
      <c r="L62" s="915"/>
      <c r="M62" s="915"/>
      <c r="N62" s="915"/>
      <c r="O62" s="915"/>
      <c r="P62" s="149"/>
      <c r="Q62" s="935" t="s">
        <v>7791</v>
      </c>
      <c r="R62" s="935"/>
      <c r="S62" s="935"/>
      <c r="T62" s="935"/>
      <c r="U62" s="935"/>
      <c r="V62" s="935"/>
      <c r="W62" s="935"/>
      <c r="X62" s="935"/>
      <c r="Y62" s="935"/>
      <c r="Z62" s="935"/>
      <c r="AA62" s="935"/>
      <c r="AB62" s="935"/>
      <c r="AC62" s="935"/>
      <c r="AD62" s="935"/>
      <c r="AE62" s="811"/>
      <c r="AF62" s="811"/>
      <c r="AG62" s="59"/>
      <c r="AH62" s="59"/>
      <c r="AI62" s="59"/>
      <c r="AJ62" s="492"/>
      <c r="AK62" s="213"/>
      <c r="AL62" s="59"/>
      <c r="AM62" s="59"/>
    </row>
    <row r="63" spans="2:39" s="149" customFormat="1">
      <c r="F63" s="220"/>
      <c r="G63" s="220"/>
      <c r="H63" s="220"/>
      <c r="I63" s="220"/>
      <c r="J63" s="220"/>
      <c r="N63" s="320"/>
      <c r="S63" s="220"/>
      <c r="T63" s="220"/>
      <c r="U63" s="220"/>
      <c r="V63" s="220"/>
      <c r="W63" s="220"/>
      <c r="X63" s="220"/>
      <c r="Y63" s="355"/>
      <c r="Z63" s="355"/>
      <c r="AA63" s="355"/>
      <c r="AB63" s="355"/>
      <c r="AC63" s="355"/>
      <c r="AD63" s="355"/>
      <c r="AE63" s="805"/>
      <c r="AF63" s="805"/>
      <c r="AG63" s="207"/>
      <c r="AH63" s="207"/>
      <c r="AJ63" s="534"/>
      <c r="AK63" s="212"/>
    </row>
    <row r="64" spans="2:39" ht="14.1" customHeight="1">
      <c r="B64" s="890" t="s">
        <v>7662</v>
      </c>
      <c r="C64" s="937"/>
      <c r="D64" s="891"/>
      <c r="E64" s="892"/>
      <c r="F64" s="938" t="s">
        <v>7669</v>
      </c>
      <c r="G64" s="939"/>
      <c r="H64" s="939"/>
      <c r="I64" s="939"/>
      <c r="J64" s="939"/>
      <c r="K64" s="940"/>
      <c r="L64" s="942" t="s">
        <v>136</v>
      </c>
      <c r="M64" s="943" t="s">
        <v>210</v>
      </c>
      <c r="N64" s="944"/>
      <c r="O64" s="945"/>
      <c r="P64" s="149"/>
      <c r="Q64" s="890" t="s">
        <v>6978</v>
      </c>
      <c r="R64" s="892"/>
      <c r="S64" s="933" t="s">
        <v>7666</v>
      </c>
      <c r="T64" s="934"/>
      <c r="U64" s="934"/>
      <c r="V64" s="934"/>
      <c r="W64" s="934"/>
      <c r="X64" s="934"/>
      <c r="Y64" s="955" t="s">
        <v>7543</v>
      </c>
      <c r="Z64" s="956"/>
      <c r="AA64" s="956"/>
      <c r="AB64" s="956"/>
      <c r="AC64" s="956"/>
      <c r="AD64" s="956"/>
      <c r="AE64" s="904" t="s">
        <v>7919</v>
      </c>
      <c r="AF64" s="810"/>
      <c r="AG64" s="207"/>
      <c r="AH64" s="207"/>
      <c r="AI64" s="59"/>
      <c r="AJ64" s="1019" t="s">
        <v>210</v>
      </c>
      <c r="AK64" s="1019"/>
      <c r="AL64" s="59"/>
      <c r="AM64" s="59"/>
    </row>
    <row r="65" spans="2:43" ht="13.8" thickBot="1">
      <c r="B65" s="896"/>
      <c r="C65" s="897"/>
      <c r="D65" s="897"/>
      <c r="E65" s="898"/>
      <c r="F65" s="312" t="s">
        <v>7435</v>
      </c>
      <c r="G65" s="312" t="s">
        <v>7885</v>
      </c>
      <c r="H65" s="312" t="s">
        <v>7061</v>
      </c>
      <c r="I65" s="312" t="s">
        <v>7062</v>
      </c>
      <c r="J65" s="312" t="s">
        <v>7063</v>
      </c>
      <c r="K65" s="313" t="s">
        <v>7436</v>
      </c>
      <c r="L65" s="942"/>
      <c r="M65" s="946"/>
      <c r="N65" s="947"/>
      <c r="O65" s="948"/>
      <c r="P65" s="149"/>
      <c r="Q65" s="896"/>
      <c r="R65" s="898"/>
      <c r="S65" s="312" t="s">
        <v>7886</v>
      </c>
      <c r="T65" s="312" t="s">
        <v>7546</v>
      </c>
      <c r="U65" s="312" t="s">
        <v>7061</v>
      </c>
      <c r="V65" s="312" t="s">
        <v>7062</v>
      </c>
      <c r="W65" s="312" t="s">
        <v>7063</v>
      </c>
      <c r="X65" s="313" t="s">
        <v>7436</v>
      </c>
      <c r="Y65" s="312" t="s">
        <v>7435</v>
      </c>
      <c r="Z65" s="312" t="s">
        <v>7546</v>
      </c>
      <c r="AA65" s="312" t="s">
        <v>7061</v>
      </c>
      <c r="AB65" s="312" t="s">
        <v>7062</v>
      </c>
      <c r="AC65" s="312" t="s">
        <v>7063</v>
      </c>
      <c r="AD65" s="313" t="s">
        <v>7436</v>
      </c>
      <c r="AE65" s="905"/>
      <c r="AF65" s="810"/>
      <c r="AG65" s="207"/>
      <c r="AH65" s="207"/>
      <c r="AI65" s="59"/>
      <c r="AJ65" s="1019"/>
      <c r="AK65" s="1019"/>
      <c r="AL65" s="59"/>
      <c r="AM65" s="59"/>
    </row>
    <row r="66" spans="2:43" ht="13.8" thickBot="1">
      <c r="B66" s="907"/>
      <c r="C66" s="908"/>
      <c r="D66" s="908"/>
      <c r="E66" s="625" t="str">
        <f>IFERROR(IF(B66="","",VLOOKUP($B66,IDEAGLIO補助ﾘｽﾄ!$B$2:$F$50,4, FALSE)),"")</f>
        <v/>
      </c>
      <c r="F66" s="695">
        <v>0</v>
      </c>
      <c r="G66" s="691">
        <v>0</v>
      </c>
      <c r="H66" s="691">
        <v>0</v>
      </c>
      <c r="I66" s="691">
        <v>0</v>
      </c>
      <c r="J66" s="691">
        <v>0</v>
      </c>
      <c r="K66" s="692">
        <f t="shared" ref="K66:K67" si="30">SUM(F66:J66)</f>
        <v>0</v>
      </c>
      <c r="L66" s="639" t="s">
        <v>192</v>
      </c>
      <c r="M66" s="479" t="str">
        <f>IFERROR(VLOOKUP($B66,IDEAGLIO補助ﾘｽﾄ!$B$2:$F$50,3,FALSE),"")</f>
        <v/>
      </c>
      <c r="N66" s="480" t="str">
        <f>IFERROR(VLOOKUP($B66,IDEAGLIO補助ﾘｽﾄ!$B$2:$F$50,5,FALSE),"")</f>
        <v/>
      </c>
      <c r="O66" s="213" t="str">
        <f>IF(E66="","","[kgCO2/"&amp;E66&amp;"] ")</f>
        <v/>
      </c>
      <c r="P66" s="149"/>
      <c r="Q66" s="910" t="str">
        <f t="shared" ref="Q66:Q70" si="31">IF(B66="","",B66)</f>
        <v/>
      </c>
      <c r="R66" s="911"/>
      <c r="S66" s="715">
        <f>IFERROR(F66*$N66,0)</f>
        <v>0</v>
      </c>
      <c r="T66" s="715">
        <f t="shared" ref="T66:W70" si="32">IFERROR(G66*$N66,0)</f>
        <v>0</v>
      </c>
      <c r="U66" s="715">
        <f t="shared" si="32"/>
        <v>0</v>
      </c>
      <c r="V66" s="715">
        <f t="shared" si="32"/>
        <v>0</v>
      </c>
      <c r="W66" s="715">
        <f t="shared" si="32"/>
        <v>0</v>
      </c>
      <c r="X66" s="705">
        <f t="shared" ref="X66:X67" si="33">SUM(S66:W66)</f>
        <v>0</v>
      </c>
      <c r="Y66" s="354" t="str">
        <f>IFERROR(IF(S66=0,"",S66*$AJ$170/('製造(P)'!$K$190+'貯蔵・輸送(ST)'!$K$190+'供給(D)'!$K$190)),"")</f>
        <v/>
      </c>
      <c r="Z66" s="354" t="str">
        <f>IFERROR(IF(T66=0,"",T66*$AJ$170/('製造(P)'!$K$190+'貯蔵・輸送(ST)'!$K$190+'供給(D)'!$K$190)),"")</f>
        <v/>
      </c>
      <c r="AA66" s="354" t="str">
        <f>IFERROR(IF(U66=0,"",U66*$AJ$170/('製造(P)'!$K$190+'貯蔵・輸送(ST)'!$K$190+'供給(D)'!$K$190)),"")</f>
        <v/>
      </c>
      <c r="AB66" s="354" t="str">
        <f>IFERROR(IF(V66=0,"",V66*$AJ$170/('製造(P)'!$K$190+'貯蔵・輸送(ST)'!$K$190+'供給(D)'!$K$190)),"")</f>
        <v/>
      </c>
      <c r="AC66" s="354" t="str">
        <f>IFERROR(IF(W66=0,"",W66*$AJ$170/('製造(P)'!$K$190+'貯蔵・輸送(ST)'!$K$190+'供給(D)'!$K$190)),"")</f>
        <v/>
      </c>
      <c r="AD66" s="778" t="str">
        <f>IFERROR(IF(X66=0,"",X66*$AJ$170/('製造(P)'!$K$190+'貯蔵・輸送(ST)'!$K$190+'供給(D)'!$K$190)),"")</f>
        <v/>
      </c>
      <c r="AE66" s="685"/>
      <c r="AF66" s="787"/>
      <c r="AG66" s="207" t="s">
        <v>6938</v>
      </c>
      <c r="AH66" s="207">
        <v>172923100</v>
      </c>
      <c r="AI66" s="59"/>
      <c r="AJ66" s="538">
        <f>VLOOKUP($AH66,IDEAv2原単位!$A$3:$F$4021,6,FALSE)</f>
        <v>6.4674570284784529</v>
      </c>
      <c r="AK66" s="213" t="s">
        <v>54</v>
      </c>
      <c r="AL66" s="59"/>
      <c r="AM66" s="59"/>
    </row>
    <row r="67" spans="2:43" ht="13.8" thickBot="1">
      <c r="B67" s="907"/>
      <c r="C67" s="908"/>
      <c r="D67" s="908"/>
      <c r="E67" s="625" t="str">
        <f>IFERROR(IF(B67="","",VLOOKUP($B67,IDEAGLIO補助ﾘｽﾄ!$B$2:$F$50,4, FALSE)),"")</f>
        <v/>
      </c>
      <c r="F67" s="695">
        <v>0</v>
      </c>
      <c r="G67" s="691">
        <v>0</v>
      </c>
      <c r="H67" s="691">
        <v>0</v>
      </c>
      <c r="I67" s="691">
        <v>0</v>
      </c>
      <c r="J67" s="691">
        <v>0</v>
      </c>
      <c r="K67" s="692">
        <f t="shared" si="30"/>
        <v>0</v>
      </c>
      <c r="L67" s="639" t="s">
        <v>192</v>
      </c>
      <c r="M67" s="479" t="str">
        <f>IFERROR(VLOOKUP($B67,IDEAGLIO補助ﾘｽﾄ!$B$2:$F$50,3,FALSE),"")</f>
        <v/>
      </c>
      <c r="N67" s="480" t="str">
        <f>IFERROR(VLOOKUP($B67,IDEAGLIO補助ﾘｽﾄ!$B$2:$F$50,5,FALSE),"")</f>
        <v/>
      </c>
      <c r="O67" s="213" t="str">
        <f t="shared" ref="O67:O70" si="34">IF(E67="","","[kgCO2/"&amp;E67&amp;"] ")</f>
        <v/>
      </c>
      <c r="P67" s="149"/>
      <c r="Q67" s="910" t="str">
        <f t="shared" si="31"/>
        <v/>
      </c>
      <c r="R67" s="911"/>
      <c r="S67" s="715">
        <f t="shared" ref="S67:S70" si="35">IFERROR(F67*$N67,0)</f>
        <v>0</v>
      </c>
      <c r="T67" s="715">
        <f t="shared" si="32"/>
        <v>0</v>
      </c>
      <c r="U67" s="715">
        <f t="shared" si="32"/>
        <v>0</v>
      </c>
      <c r="V67" s="715">
        <f t="shared" si="32"/>
        <v>0</v>
      </c>
      <c r="W67" s="715">
        <f t="shared" si="32"/>
        <v>0</v>
      </c>
      <c r="X67" s="705">
        <f t="shared" si="33"/>
        <v>0</v>
      </c>
      <c r="Y67" s="354" t="str">
        <f>IFERROR(IF(S67=0,"",S67*$AJ$170/('製造(P)'!$K$190+'貯蔵・輸送(ST)'!$K$190+'供給(D)'!$K$190)),"")</f>
        <v/>
      </c>
      <c r="Z67" s="354" t="str">
        <f>IFERROR(IF(T67=0,"",T67*$AJ$170/('製造(P)'!$K$190+'貯蔵・輸送(ST)'!$K$190+'供給(D)'!$K$190)),"")</f>
        <v/>
      </c>
      <c r="AA67" s="354" t="str">
        <f>IFERROR(IF(U67=0,"",U67*$AJ$170/('製造(P)'!$K$190+'貯蔵・輸送(ST)'!$K$190+'供給(D)'!$K$190)),"")</f>
        <v/>
      </c>
      <c r="AB67" s="354" t="str">
        <f>IFERROR(IF(V67=0,"",V67*$AJ$170/('製造(P)'!$K$190+'貯蔵・輸送(ST)'!$K$190+'供給(D)'!$K$190)),"")</f>
        <v/>
      </c>
      <c r="AC67" s="354" t="str">
        <f>IFERROR(IF(W67=0,"",W67*$AJ$170/('製造(P)'!$K$190+'貯蔵・輸送(ST)'!$K$190+'供給(D)'!$K$190)),"")</f>
        <v/>
      </c>
      <c r="AD67" s="778" t="str">
        <f>IFERROR(IF(X67=0,"",X67*$AJ$170/('製造(P)'!$K$190+'貯蔵・輸送(ST)'!$K$190+'供給(D)'!$K$190)),"")</f>
        <v/>
      </c>
      <c r="AE67" s="685"/>
      <c r="AF67" s="787"/>
      <c r="AG67" s="207" t="s">
        <v>6939</v>
      </c>
      <c r="AH67" s="207">
        <v>172111000</v>
      </c>
      <c r="AI67" s="59"/>
      <c r="AJ67" s="538">
        <f>VLOOKUP($AH67,IDEAv2原単位!$A$3:$F$4021,6,FALSE)</f>
        <v>1.3450398702957729</v>
      </c>
      <c r="AK67" s="213" t="s">
        <v>54</v>
      </c>
      <c r="AL67" s="59"/>
      <c r="AM67" s="59"/>
    </row>
    <row r="68" spans="2:43" ht="15" customHeight="1" thickBot="1">
      <c r="B68" s="907"/>
      <c r="C68" s="908"/>
      <c r="D68" s="908"/>
      <c r="E68" s="625" t="str">
        <f>IFERROR(IF(B68="","",VLOOKUP($B68,IDEAGLIO補助ﾘｽﾄ!$B$2:$F$50,4, FALSE)),"")</f>
        <v/>
      </c>
      <c r="F68" s="695">
        <v>0</v>
      </c>
      <c r="G68" s="691">
        <v>0</v>
      </c>
      <c r="H68" s="691">
        <v>0</v>
      </c>
      <c r="I68" s="691">
        <v>0</v>
      </c>
      <c r="J68" s="691">
        <v>0</v>
      </c>
      <c r="K68" s="692">
        <f>SUM(F68:J68)</f>
        <v>0</v>
      </c>
      <c r="L68" s="639" t="s">
        <v>192</v>
      </c>
      <c r="M68" s="479" t="str">
        <f>IFERROR(VLOOKUP($B68,IDEAGLIO補助ﾘｽﾄ!$B$2:$F$50,3,FALSE),"")</f>
        <v/>
      </c>
      <c r="N68" s="480" t="str">
        <f>IFERROR(VLOOKUP($B68,IDEAGLIO補助ﾘｽﾄ!$B$2:$F$50,5,FALSE),"")</f>
        <v/>
      </c>
      <c r="O68" s="213" t="str">
        <f t="shared" si="34"/>
        <v/>
      </c>
      <c r="P68" s="149"/>
      <c r="Q68" s="910" t="str">
        <f t="shared" si="31"/>
        <v/>
      </c>
      <c r="R68" s="911"/>
      <c r="S68" s="715">
        <f t="shared" si="35"/>
        <v>0</v>
      </c>
      <c r="T68" s="715">
        <f t="shared" si="32"/>
        <v>0</v>
      </c>
      <c r="U68" s="715">
        <f t="shared" si="32"/>
        <v>0</v>
      </c>
      <c r="V68" s="715">
        <f t="shared" si="32"/>
        <v>0</v>
      </c>
      <c r="W68" s="715">
        <f t="shared" si="32"/>
        <v>0</v>
      </c>
      <c r="X68" s="705">
        <f>SUM(S68:W68)</f>
        <v>0</v>
      </c>
      <c r="Y68" s="354" t="str">
        <f>IFERROR(IF(S68=0,"",S68*$AJ$170/('製造(P)'!$K$190+'貯蔵・輸送(ST)'!$K$190+'供給(D)'!$K$190)),"")</f>
        <v/>
      </c>
      <c r="Z68" s="354" t="str">
        <f>IFERROR(IF(T68=0,"",T68*$AJ$170/('製造(P)'!$K$190+'貯蔵・輸送(ST)'!$K$190+'供給(D)'!$K$190)),"")</f>
        <v/>
      </c>
      <c r="AA68" s="354" t="str">
        <f>IFERROR(IF(U68=0,"",U68*$AJ$170/('製造(P)'!$K$190+'貯蔵・輸送(ST)'!$K$190+'供給(D)'!$K$190)),"")</f>
        <v/>
      </c>
      <c r="AB68" s="354" t="str">
        <f>IFERROR(IF(V68=0,"",V68*$AJ$170/('製造(P)'!$K$190+'貯蔵・輸送(ST)'!$K$190+'供給(D)'!$K$190)),"")</f>
        <v/>
      </c>
      <c r="AC68" s="354" t="str">
        <f>IFERROR(IF(W68=0,"",W68*$AJ$170/('製造(P)'!$K$190+'貯蔵・輸送(ST)'!$K$190+'供給(D)'!$K$190)),"")</f>
        <v/>
      </c>
      <c r="AD68" s="778" t="str">
        <f>IFERROR(IF(X68=0,"",X68*$AJ$170/('製造(P)'!$K$190+'貯蔵・輸送(ST)'!$K$190+'供給(D)'!$K$190)),"")</f>
        <v/>
      </c>
      <c r="AE68" s="685"/>
      <c r="AF68" s="787"/>
      <c r="AG68" s="207"/>
      <c r="AH68" s="207"/>
      <c r="AI68" s="59"/>
      <c r="AJ68" s="492"/>
      <c r="AK68" s="213" t="s">
        <v>54</v>
      </c>
      <c r="AL68" s="59"/>
      <c r="AM68" s="59"/>
    </row>
    <row r="69" spans="2:43" ht="15" customHeight="1" thickBot="1">
      <c r="B69" s="907"/>
      <c r="C69" s="908"/>
      <c r="D69" s="908"/>
      <c r="E69" s="625" t="str">
        <f>IFERROR(IF(B69="","",VLOOKUP($B69,IDEAGLIO補助ﾘｽﾄ!$B$2:$F$50,4, FALSE)),"")</f>
        <v/>
      </c>
      <c r="F69" s="695">
        <v>0</v>
      </c>
      <c r="G69" s="691">
        <v>0</v>
      </c>
      <c r="H69" s="691">
        <v>0</v>
      </c>
      <c r="I69" s="691">
        <v>0</v>
      </c>
      <c r="J69" s="691">
        <v>0</v>
      </c>
      <c r="K69" s="692">
        <f>SUM(F69:J69)</f>
        <v>0</v>
      </c>
      <c r="L69" s="639" t="s">
        <v>7887</v>
      </c>
      <c r="M69" s="479" t="str">
        <f>IFERROR(VLOOKUP($B69,IDEAGLIO補助ﾘｽﾄ!$B$2:$F$50,3,FALSE),"")</f>
        <v/>
      </c>
      <c r="N69" s="480" t="str">
        <f>IFERROR(VLOOKUP($B69,IDEAGLIO補助ﾘｽﾄ!$B$2:$F$50,5,FALSE),"")</f>
        <v/>
      </c>
      <c r="O69" s="213" t="str">
        <f t="shared" si="34"/>
        <v/>
      </c>
      <c r="P69" s="149"/>
      <c r="Q69" s="910" t="str">
        <f t="shared" si="31"/>
        <v/>
      </c>
      <c r="R69" s="911"/>
      <c r="S69" s="715">
        <f t="shared" si="35"/>
        <v>0</v>
      </c>
      <c r="T69" s="715">
        <f t="shared" si="32"/>
        <v>0</v>
      </c>
      <c r="U69" s="715">
        <f t="shared" si="32"/>
        <v>0</v>
      </c>
      <c r="V69" s="715">
        <f t="shared" si="32"/>
        <v>0</v>
      </c>
      <c r="W69" s="715">
        <f t="shared" si="32"/>
        <v>0</v>
      </c>
      <c r="X69" s="705">
        <f>SUM(S69:W69)</f>
        <v>0</v>
      </c>
      <c r="Y69" s="354" t="str">
        <f>IFERROR(IF(S69=0,"",S69*$AJ$170/('製造(P)'!$K$190+'貯蔵・輸送(ST)'!$K$190+'供給(D)'!$K$190)),"")</f>
        <v/>
      </c>
      <c r="Z69" s="354" t="str">
        <f>IFERROR(IF(T69=0,"",T69*$AJ$170/('製造(P)'!$K$190+'貯蔵・輸送(ST)'!$K$190+'供給(D)'!$K$190)),"")</f>
        <v/>
      </c>
      <c r="AA69" s="354" t="str">
        <f>IFERROR(IF(U69=0,"",U69*$AJ$170/('製造(P)'!$K$190+'貯蔵・輸送(ST)'!$K$190+'供給(D)'!$K$190)),"")</f>
        <v/>
      </c>
      <c r="AB69" s="354" t="str">
        <f>IFERROR(IF(V69=0,"",V69*$AJ$170/('製造(P)'!$K$190+'貯蔵・輸送(ST)'!$K$190+'供給(D)'!$K$190)),"")</f>
        <v/>
      </c>
      <c r="AC69" s="354" t="str">
        <f>IFERROR(IF(W69=0,"",W69*$AJ$170/('製造(P)'!$K$190+'貯蔵・輸送(ST)'!$K$190+'供給(D)'!$K$190)),"")</f>
        <v/>
      </c>
      <c r="AD69" s="778" t="str">
        <f>IFERROR(IF(X69=0,"",X69*$AJ$170/('製造(P)'!$K$190+'貯蔵・輸送(ST)'!$K$190+'供給(D)'!$K$190)),"")</f>
        <v/>
      </c>
      <c r="AE69" s="685"/>
      <c r="AF69" s="787"/>
      <c r="AG69" s="207"/>
      <c r="AH69" s="207"/>
      <c r="AI69" s="59"/>
      <c r="AJ69" s="492"/>
      <c r="AK69" s="213" t="s">
        <v>54</v>
      </c>
      <c r="AL69" s="59"/>
      <c r="AM69" s="59"/>
    </row>
    <row r="70" spans="2:43" ht="15" customHeight="1" thickBot="1">
      <c r="B70" s="907"/>
      <c r="C70" s="908"/>
      <c r="D70" s="908"/>
      <c r="E70" s="625" t="str">
        <f>IFERROR(IF(B70="","",VLOOKUP($B70,IDEAGLIO補助ﾘｽﾄ!$B$2:$F$50,4, FALSE)),"")</f>
        <v/>
      </c>
      <c r="F70" s="695">
        <v>0</v>
      </c>
      <c r="G70" s="691">
        <v>0</v>
      </c>
      <c r="H70" s="691">
        <v>0</v>
      </c>
      <c r="I70" s="691">
        <v>0</v>
      </c>
      <c r="J70" s="691">
        <v>0</v>
      </c>
      <c r="K70" s="692">
        <f>SUM(F70:J70)</f>
        <v>0</v>
      </c>
      <c r="L70" s="639" t="s">
        <v>192</v>
      </c>
      <c r="M70" s="479" t="str">
        <f>IFERROR(VLOOKUP($B70,IDEAGLIO補助ﾘｽﾄ!$B$2:$F$50,3,FALSE),"")</f>
        <v/>
      </c>
      <c r="N70" s="480" t="str">
        <f>IFERROR(VLOOKUP($B70,IDEAGLIO補助ﾘｽﾄ!$B$2:$F$50,5,FALSE),"")</f>
        <v/>
      </c>
      <c r="O70" s="213" t="str">
        <f t="shared" si="34"/>
        <v/>
      </c>
      <c r="P70" s="149"/>
      <c r="Q70" s="910" t="str">
        <f t="shared" si="31"/>
        <v/>
      </c>
      <c r="R70" s="911"/>
      <c r="S70" s="715">
        <f t="shared" si="35"/>
        <v>0</v>
      </c>
      <c r="T70" s="715">
        <f t="shared" si="32"/>
        <v>0</v>
      </c>
      <c r="U70" s="715">
        <f t="shared" si="32"/>
        <v>0</v>
      </c>
      <c r="V70" s="715">
        <f t="shared" si="32"/>
        <v>0</v>
      </c>
      <c r="W70" s="715">
        <f t="shared" si="32"/>
        <v>0</v>
      </c>
      <c r="X70" s="705">
        <f>SUM(S70:W70)</f>
        <v>0</v>
      </c>
      <c r="Y70" s="354" t="str">
        <f>IFERROR(IF(S70=0,"",S70*$AJ$170/('製造(P)'!$K$190+'貯蔵・輸送(ST)'!$K$190+'供給(D)'!$K$190)),"")</f>
        <v/>
      </c>
      <c r="Z70" s="354" t="str">
        <f>IFERROR(IF(T70=0,"",T70*$AJ$170/('製造(P)'!$K$190+'貯蔵・輸送(ST)'!$K$190+'供給(D)'!$K$190)),"")</f>
        <v/>
      </c>
      <c r="AA70" s="354" t="str">
        <f>IFERROR(IF(U70=0,"",U70*$AJ$170/('製造(P)'!$K$190+'貯蔵・輸送(ST)'!$K$190+'供給(D)'!$K$190)),"")</f>
        <v/>
      </c>
      <c r="AB70" s="354" t="str">
        <f>IFERROR(IF(V70=0,"",V70*$AJ$170/('製造(P)'!$K$190+'貯蔵・輸送(ST)'!$K$190+'供給(D)'!$K$190)),"")</f>
        <v/>
      </c>
      <c r="AC70" s="354" t="str">
        <f>IFERROR(IF(W70=0,"",W70*$AJ$170/('製造(P)'!$K$190+'貯蔵・輸送(ST)'!$K$190+'供給(D)'!$K$190)),"")</f>
        <v/>
      </c>
      <c r="AD70" s="778" t="str">
        <f>IFERROR(IF(X70=0,"",X70*$AJ$170/('製造(P)'!$K$190+'貯蔵・輸送(ST)'!$K$190+'供給(D)'!$K$190)),"")</f>
        <v/>
      </c>
      <c r="AE70" s="685"/>
      <c r="AF70" s="787"/>
      <c r="AG70" s="207"/>
      <c r="AH70" s="207"/>
      <c r="AI70" s="59"/>
      <c r="AJ70" s="492"/>
      <c r="AK70" s="213" t="s">
        <v>54</v>
      </c>
      <c r="AL70" s="59"/>
      <c r="AM70" s="59"/>
    </row>
    <row r="71" spans="2:43">
      <c r="B71" s="150"/>
      <c r="C71" s="150"/>
      <c r="D71" s="151"/>
      <c r="E71" s="151"/>
      <c r="F71" s="225"/>
      <c r="G71" s="225"/>
      <c r="H71" s="225"/>
      <c r="I71" s="225"/>
      <c r="J71" s="225"/>
      <c r="K71" s="152"/>
      <c r="L71" s="152"/>
      <c r="M71" s="152"/>
      <c r="N71" s="322"/>
      <c r="O71" s="153"/>
      <c r="P71" s="149"/>
      <c r="Q71" s="396" t="s">
        <v>144</v>
      </c>
      <c r="R71" s="397"/>
      <c r="S71" s="716">
        <f>SUM(S66:S70)</f>
        <v>0</v>
      </c>
      <c r="T71" s="716">
        <f t="shared" ref="T71:X71" si="36">SUM(T66:T70)</f>
        <v>0</v>
      </c>
      <c r="U71" s="716">
        <f t="shared" si="36"/>
        <v>0</v>
      </c>
      <c r="V71" s="716">
        <f t="shared" si="36"/>
        <v>0</v>
      </c>
      <c r="W71" s="716">
        <f t="shared" si="36"/>
        <v>0</v>
      </c>
      <c r="X71" s="716">
        <f t="shared" si="36"/>
        <v>0</v>
      </c>
      <c r="Y71" s="354">
        <f>IFERROR(S71*$AJ$170/('製造(P)'!$K$190+'貯蔵・輸送(ST)'!$K$190+'供給(D)'!$K$190),"")</f>
        <v>0</v>
      </c>
      <c r="Z71" s="354">
        <f>IFERROR(T71*$AJ$170/('製造(P)'!$K$190+'貯蔵・輸送(ST)'!$K$190+'供給(D)'!$K$190),"")</f>
        <v>0</v>
      </c>
      <c r="AA71" s="354">
        <f>IFERROR(U71*$AJ$170/('製造(P)'!$K$190+'貯蔵・輸送(ST)'!$K$190+'供給(D)'!$K$190),"")</f>
        <v>0</v>
      </c>
      <c r="AB71" s="354">
        <f>IFERROR(V71*$AJ$170/('製造(P)'!$K$190+'貯蔵・輸送(ST)'!$K$190+'供給(D)'!$K$190),"")</f>
        <v>0</v>
      </c>
      <c r="AC71" s="354">
        <f>IFERROR(W71*$AJ$170/('製造(P)'!$K$190+'貯蔵・輸送(ST)'!$K$190+'供給(D)'!$K$190),"")</f>
        <v>0</v>
      </c>
      <c r="AD71" s="354">
        <f>IFERROR(X71*$AJ$170/('製造(P)'!$K$190+'貯蔵・輸送(ST)'!$K$190+'供給(D)'!$K$190),"")</f>
        <v>0</v>
      </c>
      <c r="AE71" s="796"/>
      <c r="AF71" s="796"/>
      <c r="AG71" s="59"/>
      <c r="AH71" s="59"/>
      <c r="AI71" s="59"/>
      <c r="AJ71" s="534"/>
      <c r="AK71" s="212"/>
      <c r="AL71" s="59"/>
      <c r="AM71" s="59"/>
    </row>
    <row r="72" spans="2:43" s="149" customFormat="1">
      <c r="F72" s="220"/>
      <c r="G72" s="220"/>
      <c r="H72" s="220"/>
      <c r="I72" s="220"/>
      <c r="J72" s="220"/>
      <c r="N72" s="320"/>
      <c r="S72" s="220"/>
      <c r="T72" s="220"/>
      <c r="U72" s="220"/>
      <c r="V72" s="220"/>
      <c r="W72" s="220"/>
      <c r="X72" s="220"/>
      <c r="Y72" s="355"/>
      <c r="Z72" s="355"/>
      <c r="AA72" s="355"/>
      <c r="AB72" s="355"/>
      <c r="AC72" s="355"/>
      <c r="AD72" s="355"/>
      <c r="AE72" s="805"/>
      <c r="AF72" s="805"/>
      <c r="AJ72" s="534"/>
      <c r="AK72" s="212"/>
    </row>
    <row r="73" spans="2:43">
      <c r="B73" s="915" t="s">
        <v>7784</v>
      </c>
      <c r="C73" s="915"/>
      <c r="D73" s="915"/>
      <c r="E73" s="915"/>
      <c r="F73" s="915"/>
      <c r="G73" s="915"/>
      <c r="H73" s="915"/>
      <c r="I73" s="915"/>
      <c r="J73" s="915"/>
      <c r="K73" s="915"/>
      <c r="L73" s="915"/>
      <c r="M73" s="915"/>
      <c r="N73" s="915"/>
      <c r="O73" s="915"/>
      <c r="P73" s="149"/>
      <c r="Q73" s="935" t="s">
        <v>7792</v>
      </c>
      <c r="R73" s="935"/>
      <c r="S73" s="935"/>
      <c r="T73" s="935"/>
      <c r="U73" s="935"/>
      <c r="V73" s="935"/>
      <c r="W73" s="935"/>
      <c r="X73" s="935"/>
      <c r="Y73" s="935"/>
      <c r="Z73" s="935"/>
      <c r="AA73" s="935"/>
      <c r="AB73" s="935"/>
      <c r="AC73" s="935"/>
      <c r="AD73" s="935"/>
      <c r="AE73" s="811"/>
      <c r="AF73" s="811"/>
      <c r="AG73" s="59"/>
      <c r="AH73" s="59"/>
      <c r="AI73" s="59"/>
      <c r="AJ73" s="492"/>
      <c r="AK73" s="213"/>
      <c r="AL73" s="59"/>
      <c r="AM73" s="59"/>
    </row>
    <row r="74" spans="2:43" s="149" customFormat="1">
      <c r="F74" s="220"/>
      <c r="G74" s="220"/>
      <c r="H74" s="220"/>
      <c r="I74" s="220"/>
      <c r="J74" s="220"/>
      <c r="N74" s="320"/>
      <c r="S74" s="220"/>
      <c r="T74" s="220"/>
      <c r="U74" s="220"/>
      <c r="V74" s="220"/>
      <c r="W74" s="220"/>
      <c r="X74" s="220"/>
      <c r="Y74" s="355"/>
      <c r="Z74" s="355"/>
      <c r="AA74" s="355"/>
      <c r="AB74" s="355"/>
      <c r="AC74" s="355"/>
      <c r="AD74" s="355"/>
      <c r="AE74" s="805"/>
      <c r="AF74" s="805"/>
      <c r="AG74" s="207"/>
      <c r="AH74" s="207"/>
      <c r="AJ74" s="534"/>
      <c r="AK74" s="212"/>
    </row>
    <row r="75" spans="2:43" ht="14.1" customHeight="1">
      <c r="B75" s="954" t="s">
        <v>7661</v>
      </c>
      <c r="C75" s="937"/>
      <c r="D75" s="937"/>
      <c r="E75" s="288"/>
      <c r="F75" s="938" t="s">
        <v>7669</v>
      </c>
      <c r="G75" s="939"/>
      <c r="H75" s="939"/>
      <c r="I75" s="939"/>
      <c r="J75" s="939"/>
      <c r="K75" s="940"/>
      <c r="L75" s="955" t="s">
        <v>136</v>
      </c>
      <c r="M75" s="854"/>
      <c r="N75" s="957"/>
      <c r="O75" s="957"/>
      <c r="P75" s="149"/>
      <c r="Q75" s="954" t="s">
        <v>7765</v>
      </c>
      <c r="R75" s="975"/>
      <c r="S75" s="933" t="s">
        <v>7666</v>
      </c>
      <c r="T75" s="934"/>
      <c r="U75" s="934"/>
      <c r="V75" s="934"/>
      <c r="W75" s="934"/>
      <c r="X75" s="934"/>
      <c r="Y75" s="955" t="s">
        <v>7543</v>
      </c>
      <c r="Z75" s="956"/>
      <c r="AA75" s="956"/>
      <c r="AB75" s="956"/>
      <c r="AC75" s="956"/>
      <c r="AD75" s="1068"/>
      <c r="AE75" s="906" t="s">
        <v>7921</v>
      </c>
      <c r="AF75" s="799"/>
      <c r="AG75" s="207"/>
      <c r="AH75" s="207"/>
      <c r="AI75" s="59"/>
      <c r="AJ75" s="1019" t="s">
        <v>210</v>
      </c>
      <c r="AK75" s="1019"/>
      <c r="AL75" s="59"/>
      <c r="AM75" s="59"/>
    </row>
    <row r="76" spans="2:43">
      <c r="B76" s="893"/>
      <c r="C76" s="894"/>
      <c r="D76" s="897"/>
      <c r="E76" s="289"/>
      <c r="F76" s="266" t="s">
        <v>7434</v>
      </c>
      <c r="G76" s="266" t="s">
        <v>7060</v>
      </c>
      <c r="H76" s="266" t="s">
        <v>7061</v>
      </c>
      <c r="I76" s="266" t="s">
        <v>7062</v>
      </c>
      <c r="J76" s="266" t="s">
        <v>7063</v>
      </c>
      <c r="K76" s="278"/>
      <c r="L76" s="956"/>
      <c r="M76" s="957"/>
      <c r="N76" s="957"/>
      <c r="O76" s="957"/>
      <c r="P76" s="149"/>
      <c r="Q76" s="896"/>
      <c r="R76" s="898"/>
      <c r="S76" s="370" t="s">
        <v>7888</v>
      </c>
      <c r="T76" s="370" t="s">
        <v>7889</v>
      </c>
      <c r="U76" s="370" t="s">
        <v>202</v>
      </c>
      <c r="V76" s="370" t="s">
        <v>7890</v>
      </c>
      <c r="W76" s="370" t="s">
        <v>7891</v>
      </c>
      <c r="X76" s="313" t="s">
        <v>7436</v>
      </c>
      <c r="Y76" s="383" t="s">
        <v>7879</v>
      </c>
      <c r="Z76" s="383" t="s">
        <v>7546</v>
      </c>
      <c r="AA76" s="383" t="s">
        <v>7061</v>
      </c>
      <c r="AB76" s="383" t="s">
        <v>7062</v>
      </c>
      <c r="AC76" s="383" t="s">
        <v>7063</v>
      </c>
      <c r="AD76" s="410" t="s">
        <v>7436</v>
      </c>
      <c r="AE76" s="906"/>
      <c r="AF76" s="799"/>
      <c r="AG76" s="207"/>
      <c r="AH76" s="207"/>
      <c r="AI76" s="59"/>
      <c r="AJ76" s="1019"/>
      <c r="AK76" s="1019"/>
      <c r="AL76" s="59"/>
      <c r="AM76" s="59"/>
    </row>
    <row r="77" spans="2:43" ht="13.8" thickBot="1">
      <c r="B77" s="985" t="s">
        <v>7042</v>
      </c>
      <c r="C77" s="986"/>
      <c r="D77" s="273" t="s">
        <v>7018</v>
      </c>
      <c r="E77" s="274" t="s">
        <v>7033</v>
      </c>
      <c r="F77" s="696"/>
      <c r="G77" s="696"/>
      <c r="H77" s="696"/>
      <c r="I77" s="696"/>
      <c r="J77" s="696"/>
      <c r="K77" s="279"/>
      <c r="L77" s="639" t="s">
        <v>7850</v>
      </c>
      <c r="M77" s="152"/>
      <c r="N77" s="323"/>
      <c r="O77" s="153"/>
      <c r="P77" s="149"/>
      <c r="Q77" s="1010" t="s">
        <v>7018</v>
      </c>
      <c r="R77" s="1011"/>
      <c r="S77" s="718">
        <f>IFERROR(IF($Q$77=$B$78,IF(F78="ガソリン",F77*IDEAv2原単位!$F$1697*共通データ!$F$9,IF(F78="軽油", F77*IDEAv2原単位!$F$1706*共通データ!$F$11,"")),0),0)</f>
        <v>0</v>
      </c>
      <c r="T77" s="718">
        <f>IFERROR(IF($Q$77=$B$78,IF(G78="ガソリン",G77*IDEAv2原単位!$F$1697*共通データ!$F$9,IF(G78="軽油", G77*IDEAv2原単位!$F$1706*共通データ!$F$11,"")),0),0)</f>
        <v>0</v>
      </c>
      <c r="U77" s="718">
        <f>IFERROR(IF($Q$77=$B$78,IF(H78="ガソリン",H77*IDEAv2原単位!$F$1697*共通データ!$F$9,IF(H78="軽油", H77*IDEAv2原単位!$F$1706*共通データ!$F$11,"")),0),0)</f>
        <v>0</v>
      </c>
      <c r="V77" s="718">
        <f>IFERROR(IF($Q$77=$B$78,IF(I78="ガソリン",I77*IDEAv2原単位!$F$1697*共通データ!$F$9,IF(I78="軽油", I77*IDEAv2原単位!$F$1706*共通データ!$F$11,"")),0),0)</f>
        <v>0</v>
      </c>
      <c r="W77" s="718">
        <f>IFERROR(IF($Q$77=$B$78,IF(J78="ガソリン",J77*IDEAv2原単位!$F$1697*共通データ!$F$9,IF(J78="軽油", J77*IDEAv2原単位!$F$1706*共通データ!$F$11,"")),0),0)</f>
        <v>0</v>
      </c>
      <c r="X77" s="719">
        <f t="shared" ref="X77" si="37">SUM(S77:W77)</f>
        <v>0</v>
      </c>
      <c r="Y77" s="354" t="str">
        <f>IFERROR(IF(S77=0,"",S77*$AJ$170/('製造(P)'!$K$190+'貯蔵・輸送(ST)'!$K$190+'供給(D)'!$K$190)),"")</f>
        <v/>
      </c>
      <c r="Z77" s="354" t="str">
        <f>IFERROR(IF(T77=0,"",T77*$AJ$170/('製造(P)'!$K$190+'貯蔵・輸送(ST)'!$K$190+'供給(D)'!$K$190)),"")</f>
        <v/>
      </c>
      <c r="AA77" s="354" t="str">
        <f>IFERROR(IF(U77=0,"",U77*$AJ$170/('製造(P)'!$K$190+'貯蔵・輸送(ST)'!$K$190+'供給(D)'!$K$190)),"")</f>
        <v/>
      </c>
      <c r="AB77" s="354" t="str">
        <f>IFERROR(IF(V77=0,"",V77*$AJ$170/('製造(P)'!$K$190+'貯蔵・輸送(ST)'!$K$190+'供給(D)'!$K$190)),"")</f>
        <v/>
      </c>
      <c r="AC77" s="354" t="str">
        <f>IFERROR(IF(W77=0,"",W77*$AJ$170/('製造(P)'!$K$190+'貯蔵・輸送(ST)'!$K$190+'供給(D)'!$K$190)),"")</f>
        <v/>
      </c>
      <c r="AD77" s="778" t="str">
        <f>IFERROR(IF(X77=0,"",X77*$AJ$170/('製造(P)'!$K$190+'貯蔵・輸送(ST)'!$K$190+'供給(D)'!$K$190)),"")</f>
        <v/>
      </c>
      <c r="AE77" s="830"/>
      <c r="AF77" s="788"/>
      <c r="AG77" s="207" t="s">
        <v>6938</v>
      </c>
      <c r="AH77" s="207">
        <v>172923100</v>
      </c>
      <c r="AI77" s="59"/>
      <c r="AJ77" s="538">
        <f>VLOOKUP($AH77,IDEAv2原単位!$A$3:$F$4021,6,FALSE)</f>
        <v>6.4674570284784529</v>
      </c>
      <c r="AK77" s="213" t="s">
        <v>54</v>
      </c>
      <c r="AL77" s="59"/>
      <c r="AM77" s="59"/>
    </row>
    <row r="78" spans="2:43" ht="13.8" thickBot="1">
      <c r="B78" s="987" t="s">
        <v>7020</v>
      </c>
      <c r="C78" s="988"/>
      <c r="D78" s="242"/>
      <c r="E78" s="242" t="s">
        <v>7032</v>
      </c>
      <c r="F78" s="645"/>
      <c r="G78" s="645"/>
      <c r="H78" s="645"/>
      <c r="I78" s="645"/>
      <c r="J78" s="645"/>
      <c r="K78" s="403"/>
      <c r="L78" s="639" t="s">
        <v>7850</v>
      </c>
      <c r="M78" s="152"/>
      <c r="N78" s="323"/>
      <c r="O78" s="153"/>
      <c r="P78" s="149"/>
      <c r="Q78" s="357"/>
      <c r="R78" s="358"/>
      <c r="S78" s="351"/>
      <c r="T78" s="351"/>
      <c r="U78" s="351"/>
      <c r="V78" s="351"/>
      <c r="W78" s="351"/>
      <c r="X78" s="241"/>
      <c r="Y78" s="806"/>
      <c r="Z78" s="806"/>
      <c r="AA78" s="806"/>
      <c r="AB78" s="806"/>
      <c r="AC78" s="806"/>
      <c r="AD78" s="806"/>
      <c r="AE78" s="807"/>
      <c r="AF78" s="806"/>
      <c r="AG78" s="207"/>
      <c r="AH78" s="207"/>
      <c r="AI78" s="59"/>
      <c r="AJ78" s="538"/>
      <c r="AK78" s="213"/>
      <c r="AL78" s="59"/>
      <c r="AM78" s="59"/>
    </row>
    <row r="79" spans="2:43">
      <c r="B79" s="336"/>
      <c r="C79" s="334"/>
      <c r="D79" s="273" t="s">
        <v>7019</v>
      </c>
      <c r="E79" s="274" t="s">
        <v>7036</v>
      </c>
      <c r="F79" s="697"/>
      <c r="G79" s="698"/>
      <c r="H79" s="698"/>
      <c r="I79" s="698"/>
      <c r="J79" s="698"/>
      <c r="K79" s="280"/>
      <c r="L79" s="639" t="s">
        <v>192</v>
      </c>
      <c r="M79" s="152"/>
      <c r="N79" s="323"/>
      <c r="O79" s="153"/>
      <c r="P79" s="149"/>
      <c r="Q79" s="1012" t="str">
        <f>D79</f>
        <v>燃費法</v>
      </c>
      <c r="R79" s="1013"/>
      <c r="S79" s="718">
        <f>IF($Q$79=$B$78,IF(F80="",AL79,AL80),0)</f>
        <v>0</v>
      </c>
      <c r="T79" s="718">
        <f>IF($Q$79=$B$78,IF(G80="",AM79,AM80),0)</f>
        <v>0</v>
      </c>
      <c r="U79" s="718">
        <f>IF($Q$79=$B$78,IF(H80="",AN79,AN80),0)</f>
        <v>0</v>
      </c>
      <c r="V79" s="718">
        <f>IF($Q$79=$B$78,IF(I80="",AO79,AO80),0)</f>
        <v>0</v>
      </c>
      <c r="W79" s="718">
        <f>IF($Q$79=$B$78,IF(J80="",AP79,AP80),0)</f>
        <v>0</v>
      </c>
      <c r="X79" s="719">
        <f>SUM(S79:W79)</f>
        <v>0</v>
      </c>
      <c r="Y79" s="354" t="str">
        <f>IFERROR(IF(S79=0,"",S79*$AJ$170/('製造(P)'!$K$190+'貯蔵・輸送(ST)'!$K$190+'供給(D)'!$K$190)),"")</f>
        <v/>
      </c>
      <c r="Z79" s="354" t="str">
        <f>IFERROR(IF(T79=0,"",T79*$AJ$170/('製造(P)'!$K$190+'貯蔵・輸送(ST)'!$K$190+'供給(D)'!$K$190)),"")</f>
        <v/>
      </c>
      <c r="AA79" s="354" t="str">
        <f>IFERROR(IF(U79=0,"",U79*$AJ$170/('製造(P)'!$K$190+'貯蔵・輸送(ST)'!$K$190+'供給(D)'!$K$190)),"")</f>
        <v/>
      </c>
      <c r="AB79" s="354" t="str">
        <f>IFERROR(IF(V79=0,"",V79*$AJ$170/('製造(P)'!$K$190+'貯蔵・輸送(ST)'!$K$190+'供給(D)'!$K$190)),"")</f>
        <v/>
      </c>
      <c r="AC79" s="354" t="str">
        <f>IFERROR(IF(W79=0,"",W79*$AJ$170/('製造(P)'!$K$190+'貯蔵・輸送(ST)'!$K$190+'供給(D)'!$K$190)),"")</f>
        <v/>
      </c>
      <c r="AD79" s="778" t="str">
        <f>IFERROR(IF(X79=0,"",X79*$AJ$170/('製造(P)'!$K$190+'貯蔵・輸送(ST)'!$K$190+'供給(D)'!$K$190)),"")</f>
        <v/>
      </c>
      <c r="AE79" s="829"/>
      <c r="AF79" s="800"/>
      <c r="AG79" s="207"/>
      <c r="AH79" s="207"/>
      <c r="AI79" s="59"/>
      <c r="AJ79" s="538"/>
      <c r="AK79" s="213"/>
      <c r="AL79" s="283">
        <f>IFERROR(IF(F81="ガソリン",F79/4.96/1000*IDEAv2原単位!$F$1697*共通データ!$E$9,IF(F81="軽油",F79/VLOOKUP(F82,輸送算定用!$B$17:$C$22,2,FALSE)/1000*IDEAv2原単位!$F$1706*共通データ!$E$11,0)),0)</f>
        <v>0</v>
      </c>
      <c r="AM79" s="283">
        <f>IFERROR(IF(G81="ガソリン",G79/4.96/1000*IDEAv2原単位!$F$1697*共通データ!$E$9,IF(G81="軽油",G79/VLOOKUP(G82,輸送算定用!$B$17:$C$22,2,FALSE)/1000*IDEAv2原単位!$F$1706*共通データ!$E$11,0)),0)</f>
        <v>0</v>
      </c>
      <c r="AN79" s="283">
        <f>IFERROR(IF(H81="ガソリン",H79/4.96/1000*IDEAv2原単位!$F$1697*共通データ!$E$9,IF(H81="軽油",H79/VLOOKUP(H82,輸送算定用!$B$17:$C$22,2,FALSE)/1000*IDEAv2原単位!$F$1706*共通データ!$E$11,0)),0)</f>
        <v>0</v>
      </c>
      <c r="AO79" s="283">
        <f>IFERROR(IF(I81="ガソリン",I79/4.96/1000*IDEAv2原単位!$F$1697*共通データ!$E$9,IF(I81="軽油",I79/VLOOKUP(I82,輸送算定用!$B$17:$C$22,2,FALSE)/1000*IDEAv2原単位!$F$1706*共通データ!$E$11,0)),0)</f>
        <v>0</v>
      </c>
      <c r="AP79" s="283">
        <f>IFERROR(IF(J81="ガソリン",J79/4.96/1000*IDEAv2原単位!$F$1697*共通データ!$E$9,IF(J81="軽油",J79/VLOOKUP(J82,輸送算定用!$B$17:$C$22,2,FALSE)/1000*IDEAv2原単位!$F$1706*共通データ!$E$11,0)),0)</f>
        <v>0</v>
      </c>
      <c r="AQ79" s="283">
        <f>IFERROR(IF(K81="ガソリン",K79/4.96/1000*IDEAv2原単位!$F$1697*共通データ!$E$9,IF(K81="軽油",K79/VLOOKUP(K82,輸送算定用!$B$17:$C$22,2,FALSE)/1000*IDEAv2原単位!$F$1706*共通データ!$E$11,0)),0)</f>
        <v>0</v>
      </c>
    </row>
    <row r="80" spans="2:43" ht="13.8" thickBot="1">
      <c r="B80" s="336"/>
      <c r="C80" s="334"/>
      <c r="D80" s="242"/>
      <c r="E80" s="275" t="s">
        <v>7037</v>
      </c>
      <c r="F80" s="699"/>
      <c r="G80" s="696"/>
      <c r="H80" s="696"/>
      <c r="I80" s="696"/>
      <c r="J80" s="696"/>
      <c r="K80" s="279"/>
      <c r="L80" s="639" t="s">
        <v>192</v>
      </c>
      <c r="M80" s="152"/>
      <c r="N80" s="323"/>
      <c r="O80" s="153"/>
      <c r="P80" s="149"/>
      <c r="Q80" s="1024"/>
      <c r="R80" s="1025"/>
      <c r="S80" s="351"/>
      <c r="T80" s="351"/>
      <c r="U80" s="351"/>
      <c r="V80" s="351"/>
      <c r="W80" s="351"/>
      <c r="X80" s="241"/>
      <c r="Y80" s="806"/>
      <c r="Z80" s="806"/>
      <c r="AA80" s="806"/>
      <c r="AB80" s="806"/>
      <c r="AC80" s="806"/>
      <c r="AD80" s="783"/>
      <c r="AE80" s="782"/>
      <c r="AF80" s="806"/>
      <c r="AG80" s="207"/>
      <c r="AH80" s="207"/>
      <c r="AI80" s="59"/>
      <c r="AJ80" s="538"/>
      <c r="AK80" s="213"/>
      <c r="AL80" s="284">
        <f>IFERROR(IF(F81="ガソリン",F79/F80/1000*IDEAv2原単位!$F$1697*共通データ!$E$9,IF(F81="軽油",F79/F80/1000*IDEAv2原単位!$F$1706*共通データ!$E$11,0)),0)</f>
        <v>0</v>
      </c>
      <c r="AM80" s="284">
        <f>IFERROR(IF(G81="ガソリン",G79/G80/1000*IDEAv2原単位!$F$1697*共通データ!$E$9,IF(G81="軽油",G79/G80/1000*IDEAv2原単位!$F$1706*共通データ!$E$11,0)),0)</f>
        <v>0</v>
      </c>
      <c r="AN80" s="284">
        <f>IFERROR(IF(H81="ガソリン",H79/H80/1000*IDEAv2原単位!$F$1697*共通データ!$E$9,IF(H81="軽油",H79/H80/1000*IDEAv2原単位!$F$1706*共通データ!$E$11,0)),0)</f>
        <v>0</v>
      </c>
      <c r="AO80" s="284">
        <f>IFERROR(IF(I81="ガソリン",I79/I80/1000*IDEAv2原単位!$F$1697*共通データ!$E$9,IF(I81="軽油",I79/I80/1000*IDEAv2原単位!$F$1706*共通データ!$E$11,0)),0)</f>
        <v>0</v>
      </c>
      <c r="AP80" s="284">
        <f>IFERROR(IF(J81="ガソリン",J79/J80/1000*IDEAv2原単位!$F$1697*共通データ!$E$9,IF(J81="軽油",J79/J80/1000*IDEAv2原単位!$F$1706*共通データ!$E$11,0)),0)</f>
        <v>0</v>
      </c>
      <c r="AQ80" s="284">
        <f>IFERROR(IF(K81="ガソリン",K79/K80/1000*IDEAv2原単位!$F$1697*共通データ!$E$9,IF(K81="軽油",K79/K80/1000*IDEAv2原単位!$F$1706*共通データ!$E$11,0)),0)</f>
        <v>0</v>
      </c>
    </row>
    <row r="81" spans="2:39" ht="13.8" thickBot="1">
      <c r="B81" s="336"/>
      <c r="C81" s="334"/>
      <c r="D81" s="242"/>
      <c r="E81" s="242" t="s">
        <v>7032</v>
      </c>
      <c r="F81" s="645"/>
      <c r="G81" s="645"/>
      <c r="H81" s="645"/>
      <c r="I81" s="645"/>
      <c r="J81" s="645"/>
      <c r="K81" s="403"/>
      <c r="L81" s="639" t="s">
        <v>7850</v>
      </c>
      <c r="M81" s="152"/>
      <c r="N81" s="323"/>
      <c r="O81" s="153"/>
      <c r="P81" s="149"/>
      <c r="Q81" s="1020"/>
      <c r="R81" s="1021"/>
      <c r="S81" s="351"/>
      <c r="T81" s="351"/>
      <c r="U81" s="351"/>
      <c r="V81" s="351"/>
      <c r="W81" s="351"/>
      <c r="X81" s="241"/>
      <c r="Y81" s="806"/>
      <c r="Z81" s="806"/>
      <c r="AA81" s="806"/>
      <c r="AB81" s="806"/>
      <c r="AC81" s="806"/>
      <c r="AD81" s="806"/>
      <c r="AE81" s="807"/>
      <c r="AF81" s="806"/>
      <c r="AG81" s="207"/>
      <c r="AH81" s="207"/>
      <c r="AI81" s="59"/>
      <c r="AJ81" s="538"/>
      <c r="AK81" s="213"/>
      <c r="AL81" s="59"/>
      <c r="AM81" s="59"/>
    </row>
    <row r="82" spans="2:39" ht="13.8" thickBot="1">
      <c r="B82" s="336"/>
      <c r="C82" s="334"/>
      <c r="D82" s="276"/>
      <c r="E82" s="276" t="s">
        <v>7038</v>
      </c>
      <c r="F82" s="700"/>
      <c r="G82" s="700"/>
      <c r="H82" s="700"/>
      <c r="I82" s="700"/>
      <c r="J82" s="700"/>
      <c r="K82" s="403"/>
      <c r="L82" s="639" t="s">
        <v>7850</v>
      </c>
      <c r="M82" s="152"/>
      <c r="N82" s="323"/>
      <c r="O82" s="153"/>
      <c r="P82" s="149"/>
      <c r="Q82" s="1022"/>
      <c r="R82" s="1023"/>
      <c r="S82" s="351"/>
      <c r="T82" s="351"/>
      <c r="U82" s="351"/>
      <c r="V82" s="351"/>
      <c r="W82" s="351"/>
      <c r="X82" s="241"/>
      <c r="Y82" s="806"/>
      <c r="Z82" s="806"/>
      <c r="AA82" s="806"/>
      <c r="AB82" s="806"/>
      <c r="AC82" s="806"/>
      <c r="AD82" s="781"/>
      <c r="AE82" s="780"/>
      <c r="AF82" s="806"/>
      <c r="AG82" s="207"/>
      <c r="AH82" s="207"/>
      <c r="AI82" s="59"/>
      <c r="AJ82" s="538"/>
      <c r="AK82" s="213"/>
      <c r="AL82" s="59"/>
      <c r="AM82" s="59"/>
    </row>
    <row r="83" spans="2:39" ht="15" customHeight="1">
      <c r="B83" s="336"/>
      <c r="C83" s="334"/>
      <c r="D83" s="273" t="s">
        <v>7020</v>
      </c>
      <c r="E83" s="274" t="s">
        <v>7036</v>
      </c>
      <c r="F83" s="697"/>
      <c r="G83" s="698"/>
      <c r="H83" s="698"/>
      <c r="I83" s="698"/>
      <c r="J83" s="698"/>
      <c r="K83" s="279"/>
      <c r="L83" s="639" t="s">
        <v>7850</v>
      </c>
      <c r="M83" s="152"/>
      <c r="N83" s="324"/>
      <c r="O83" s="264"/>
      <c r="P83" s="149"/>
      <c r="Q83" s="1014" t="str">
        <f>D83</f>
        <v>改良トンキロ法</v>
      </c>
      <c r="R83" s="1015"/>
      <c r="S83" s="718">
        <f>IFERROR(IF($B$78=$Q$83,IF(F85="ガソリン", F83*F84*EXP(2.67+LN(F86/100)*(-0.927)+LN(F87)*(-0.648))/1000*IDEAv2原単位!$F$1697*共通データ!$F$9,IF(F85="軽油", F83*F84*EXP(2.71+LN(F86/100)*(-0.812)+LN(F87)*(-0.654))/1000*IDEAv2原単位!$F$1706*共通データ!$F$11,0)),0),0)</f>
        <v>0</v>
      </c>
      <c r="T83" s="718">
        <f>IFERROR(IF($B$78=$Q$83,IF(G85="ガソリン", G83*G84*EXP(2.67+LN(G86/100)*(-0.927)+LN(G87)*(-0.648))/1000*IDEAv2原単位!$F$1697*共通データ!$F$9,IF(G85="軽油", G83*G84*EXP(2.71+LN(G86/100)*(-0.812)+LN(G87)*(-0.654))/1000*IDEAv2原単位!$F$1706*共通データ!$F$11,0)),0),0)</f>
        <v>0</v>
      </c>
      <c r="U83" s="718">
        <f>IFERROR(IF($B$78=$Q$83,IF(H85="ガソリン", H83*H84*EXP(2.67+LN(H86/100)*(-0.927)+LN(H87)*(-0.648))/1000*IDEAv2原単位!$F$1697*共通データ!$F$9,IF(H85="軽油", H83*H84*EXP(2.71+LN(H86/100)*(-0.812)+LN(H87)*(-0.654))/1000*IDEAv2原単位!$F$1706*共通データ!$F$11,0)),0),0)</f>
        <v>0</v>
      </c>
      <c r="V83" s="718">
        <f>IFERROR(IF($B$78=$Q$83,IF(I85="ガソリン", I83*I84*EXP(2.67+LN(I86/100)*(-0.927)+LN(I87)*(-0.648))/1000*IDEAv2原単位!$F$1697*共通データ!$F$9,IF(I85="軽油", I83*I84*EXP(2.71+LN(I86/100)*(-0.812)+LN(I87)*(-0.654))/1000*IDEAv2原単位!$F$1706*共通データ!$F$11,0)),0),0)</f>
        <v>0</v>
      </c>
      <c r="W83" s="718">
        <f>IFERROR(IF($B$78=$Q$83,IF(J85="ガソリン", J83*J84*EXP(2.67+LN(J86/100)*(-0.927)+LN(J87)*(-0.648))/1000*IDEAv2原単位!$F$1697*共通データ!$F$9,IF(J85="軽油", J83*J84*EXP(2.71+LN(J86/100)*(-0.812)+LN(J87)*(-0.654))/1000*IDEAv2原単位!$F$1706*共通データ!$F$11,0)),0),0)</f>
        <v>0</v>
      </c>
      <c r="X83" s="719">
        <f t="shared" ref="X83" si="38">SUM(S83:W83)</f>
        <v>0</v>
      </c>
      <c r="Y83" s="354" t="str">
        <f>IFERROR(IF(S83=0,"",S83*$AJ$170/('製造(P)'!$K$190+'貯蔵・輸送(ST)'!$K$190+'供給(D)'!$K$190)),"")</f>
        <v/>
      </c>
      <c r="Z83" s="354" t="str">
        <f>IFERROR(IF(T83=0,"",T83*$AJ$170/('製造(P)'!$K$190+'貯蔵・輸送(ST)'!$K$190+'供給(D)'!$K$190)),"")</f>
        <v/>
      </c>
      <c r="AA83" s="354" t="str">
        <f>IFERROR(IF(U83=0,"",U83*$AJ$170/('製造(P)'!$K$190+'貯蔵・輸送(ST)'!$K$190+'供給(D)'!$K$190)),"")</f>
        <v/>
      </c>
      <c r="AB83" s="354" t="str">
        <f>IFERROR(IF(V83=0,"",V83*$AJ$170/('製造(P)'!$K$190+'貯蔵・輸送(ST)'!$K$190+'供給(D)'!$K$190)),"")</f>
        <v/>
      </c>
      <c r="AC83" s="354" t="str">
        <f>IFERROR(IF(W83=0,"",W83*$AJ$170/('製造(P)'!$K$190+'貯蔵・輸送(ST)'!$K$190+'供給(D)'!$K$190)),"")</f>
        <v/>
      </c>
      <c r="AD83" s="778" t="str">
        <f>IFERROR(IF(X83=0,"",X83*$AJ$170/('製造(P)'!$K$190+'貯蔵・輸送(ST)'!$K$190+'供給(D)'!$K$190)),"")</f>
        <v/>
      </c>
      <c r="AE83" s="829"/>
      <c r="AF83" s="800"/>
      <c r="AG83" s="207"/>
      <c r="AH83" s="207"/>
      <c r="AI83" s="59"/>
      <c r="AJ83" s="492"/>
      <c r="AK83" s="213" t="s">
        <v>54</v>
      </c>
      <c r="AL83" s="59"/>
      <c r="AM83" s="59"/>
    </row>
    <row r="84" spans="2:39" ht="15" customHeight="1" thickBot="1">
      <c r="B84" s="336"/>
      <c r="C84" s="334"/>
      <c r="D84" s="242"/>
      <c r="E84" s="275" t="s">
        <v>7040</v>
      </c>
      <c r="F84" s="699"/>
      <c r="G84" s="696"/>
      <c r="H84" s="696"/>
      <c r="I84" s="696"/>
      <c r="J84" s="696"/>
      <c r="K84" s="279"/>
      <c r="L84" s="639" t="s">
        <v>192</v>
      </c>
      <c r="M84" s="152"/>
      <c r="N84" s="324"/>
      <c r="O84" s="264"/>
      <c r="P84" s="149"/>
      <c r="Q84" s="281"/>
      <c r="R84" s="282"/>
      <c r="S84" s="351"/>
      <c r="T84" s="351"/>
      <c r="U84" s="351"/>
      <c r="V84" s="351"/>
      <c r="W84" s="351"/>
      <c r="X84" s="241"/>
      <c r="Y84" s="806"/>
      <c r="Z84" s="806"/>
      <c r="AA84" s="806"/>
      <c r="AB84" s="806"/>
      <c r="AC84" s="806"/>
      <c r="AD84" s="783"/>
      <c r="AE84" s="782"/>
      <c r="AF84" s="806"/>
      <c r="AG84" s="207"/>
      <c r="AH84" s="207"/>
      <c r="AI84" s="59"/>
      <c r="AJ84" s="492"/>
      <c r="AK84" s="213"/>
      <c r="AL84" s="59"/>
      <c r="AM84" s="59"/>
    </row>
    <row r="85" spans="2:39" ht="15" customHeight="1" thickBot="1">
      <c r="B85" s="336"/>
      <c r="C85" s="334"/>
      <c r="D85" s="242"/>
      <c r="E85" s="242" t="s">
        <v>7032</v>
      </c>
      <c r="F85" s="645"/>
      <c r="G85" s="645"/>
      <c r="H85" s="645"/>
      <c r="I85" s="645"/>
      <c r="J85" s="645"/>
      <c r="K85" s="403"/>
      <c r="L85" s="639" t="s">
        <v>7850</v>
      </c>
      <c r="M85" s="152"/>
      <c r="N85" s="324"/>
      <c r="O85" s="264"/>
      <c r="P85" s="149"/>
      <c r="Q85" s="281"/>
      <c r="R85" s="282"/>
      <c r="S85" s="351"/>
      <c r="T85" s="351"/>
      <c r="U85" s="351"/>
      <c r="V85" s="351"/>
      <c r="W85" s="351"/>
      <c r="X85" s="241"/>
      <c r="Y85" s="806"/>
      <c r="Z85" s="806"/>
      <c r="AA85" s="806"/>
      <c r="AB85" s="806"/>
      <c r="AC85" s="806"/>
      <c r="AD85" s="806"/>
      <c r="AE85" s="807"/>
      <c r="AF85" s="806"/>
      <c r="AG85" s="207"/>
      <c r="AH85" s="207"/>
      <c r="AI85" s="59"/>
      <c r="AJ85" s="492"/>
      <c r="AK85" s="213" t="s">
        <v>54</v>
      </c>
      <c r="AL85" s="59"/>
      <c r="AM85" s="59"/>
    </row>
    <row r="86" spans="2:39" ht="15" customHeight="1" thickBot="1">
      <c r="B86" s="336"/>
      <c r="C86" s="334"/>
      <c r="D86" s="242"/>
      <c r="E86" s="275" t="s">
        <v>7041</v>
      </c>
      <c r="F86" s="646"/>
      <c r="G86" s="646"/>
      <c r="H86" s="646"/>
      <c r="I86" s="646"/>
      <c r="J86" s="646"/>
      <c r="K86" s="279"/>
      <c r="L86" s="639" t="s">
        <v>7850</v>
      </c>
      <c r="M86" s="152"/>
      <c r="N86" s="324"/>
      <c r="O86" s="264"/>
      <c r="P86" s="149"/>
      <c r="Q86" s="281"/>
      <c r="R86" s="282"/>
      <c r="S86" s="351"/>
      <c r="T86" s="351"/>
      <c r="U86" s="351"/>
      <c r="V86" s="351"/>
      <c r="W86" s="351"/>
      <c r="X86" s="241"/>
      <c r="Y86" s="806"/>
      <c r="Z86" s="806"/>
      <c r="AA86" s="806"/>
      <c r="AB86" s="806"/>
      <c r="AC86" s="806"/>
      <c r="AD86" s="806"/>
      <c r="AE86" s="807"/>
      <c r="AF86" s="806"/>
      <c r="AG86" s="207"/>
      <c r="AH86" s="207"/>
      <c r="AI86" s="59"/>
      <c r="AJ86" s="492"/>
      <c r="AK86" s="213"/>
      <c r="AL86" s="59"/>
      <c r="AM86" s="59"/>
    </row>
    <row r="87" spans="2:39" ht="15" customHeight="1" thickBot="1">
      <c r="B87" s="337"/>
      <c r="C87" s="335"/>
      <c r="D87" s="276"/>
      <c r="E87" s="276" t="s">
        <v>7038</v>
      </c>
      <c r="F87" s="701"/>
      <c r="G87" s="701"/>
      <c r="H87" s="701"/>
      <c r="I87" s="701"/>
      <c r="J87" s="701"/>
      <c r="K87" s="403"/>
      <c r="L87" s="639" t="s">
        <v>7850</v>
      </c>
      <c r="M87" s="152"/>
      <c r="N87" s="324"/>
      <c r="O87" s="264"/>
      <c r="P87" s="149"/>
      <c r="Q87" s="281"/>
      <c r="R87" s="282"/>
      <c r="S87" s="351"/>
      <c r="T87" s="351"/>
      <c r="U87" s="351"/>
      <c r="V87" s="351"/>
      <c r="W87" s="351"/>
      <c r="X87" s="241"/>
      <c r="Y87" s="806"/>
      <c r="Z87" s="806"/>
      <c r="AA87" s="806"/>
      <c r="AB87" s="806"/>
      <c r="AC87" s="806"/>
      <c r="AD87" s="806"/>
      <c r="AE87" s="807"/>
      <c r="AF87" s="806"/>
      <c r="AG87" s="207"/>
      <c r="AH87" s="207"/>
      <c r="AI87" s="59"/>
      <c r="AJ87" s="492"/>
      <c r="AK87" s="213" t="s">
        <v>54</v>
      </c>
      <c r="AL87" s="59"/>
      <c r="AM87" s="59"/>
    </row>
    <row r="88" spans="2:39">
      <c r="B88" s="150"/>
      <c r="C88" s="150"/>
      <c r="D88" s="151"/>
      <c r="E88" s="151"/>
      <c r="F88" s="225"/>
      <c r="G88" s="225"/>
      <c r="H88" s="225"/>
      <c r="I88" s="225"/>
      <c r="J88" s="225"/>
      <c r="K88" s="152"/>
      <c r="L88" s="152"/>
      <c r="M88" s="152"/>
      <c r="N88" s="322"/>
      <c r="O88" s="153"/>
      <c r="P88" s="149"/>
      <c r="Q88" s="1014" t="s">
        <v>144</v>
      </c>
      <c r="R88" s="1015"/>
      <c r="S88" s="720">
        <f>SUM(S77,S79,S83)</f>
        <v>0</v>
      </c>
      <c r="T88" s="720">
        <f t="shared" ref="T88:W88" si="39">SUM(T77,T79,T83)</f>
        <v>0</v>
      </c>
      <c r="U88" s="720">
        <f t="shared" si="39"/>
        <v>0</v>
      </c>
      <c r="V88" s="720">
        <f t="shared" si="39"/>
        <v>0</v>
      </c>
      <c r="W88" s="720">
        <f t="shared" si="39"/>
        <v>0</v>
      </c>
      <c r="X88" s="720">
        <f t="shared" ref="X88" si="40">SUMIFS(X77:X87,V77:V87,H78)</f>
        <v>0</v>
      </c>
      <c r="Y88" s="354">
        <f>IFERROR(S88*$AJ$170/('製造(P)'!$K$190+'貯蔵・輸送(ST)'!$K$190+'供給(D)'!$K$190),"")</f>
        <v>0</v>
      </c>
      <c r="Z88" s="354">
        <f>IFERROR(T88*$AJ$170/('製造(P)'!$K$190+'貯蔵・輸送(ST)'!$K$190+'供給(D)'!$K$190),"")</f>
        <v>0</v>
      </c>
      <c r="AA88" s="354">
        <f>IFERROR(U88*$AJ$170/('製造(P)'!$K$190+'貯蔵・輸送(ST)'!$K$190+'供給(D)'!$K$190),"")</f>
        <v>0</v>
      </c>
      <c r="AB88" s="354">
        <f>IFERROR(V88*$AJ$170/('製造(P)'!$K$190+'貯蔵・輸送(ST)'!$K$190+'供給(D)'!$K$190),"")</f>
        <v>0</v>
      </c>
      <c r="AC88" s="354">
        <f>IFERROR(W88*$AJ$170/('製造(P)'!$K$190+'貯蔵・輸送(ST)'!$K$190+'供給(D)'!$K$190),"")</f>
        <v>0</v>
      </c>
      <c r="AD88" s="354">
        <f>IFERROR(X88*$AJ$170/('製造(P)'!$K$190+'貯蔵・輸送(ST)'!$K$190+'供給(D)'!$K$190),"")</f>
        <v>0</v>
      </c>
      <c r="AE88" s="784"/>
      <c r="AF88" s="796"/>
      <c r="AG88" s="59"/>
      <c r="AH88" s="59"/>
      <c r="AI88" s="59"/>
      <c r="AJ88" s="534"/>
      <c r="AK88" s="212"/>
      <c r="AL88" s="59"/>
      <c r="AM88" s="59"/>
    </row>
    <row r="89" spans="2:39" s="149" customFormat="1">
      <c r="F89" s="220"/>
      <c r="G89" s="220"/>
      <c r="H89" s="220"/>
      <c r="I89" s="220"/>
      <c r="J89" s="220"/>
      <c r="N89" s="320"/>
      <c r="S89" s="220"/>
      <c r="T89" s="220"/>
      <c r="U89" s="220"/>
      <c r="V89" s="220"/>
      <c r="W89" s="220"/>
      <c r="X89" s="220"/>
      <c r="Y89" s="355"/>
      <c r="Z89" s="355"/>
      <c r="AA89" s="355"/>
      <c r="AB89" s="355"/>
      <c r="AC89" s="355"/>
      <c r="AD89" s="355"/>
      <c r="AE89" s="805"/>
      <c r="AF89" s="805"/>
      <c r="AJ89" s="534"/>
      <c r="AK89" s="212"/>
    </row>
    <row r="90" spans="2:39">
      <c r="B90" s="915" t="s">
        <v>7785</v>
      </c>
      <c r="C90" s="915"/>
      <c r="D90" s="915"/>
      <c r="E90" s="915"/>
      <c r="F90" s="915"/>
      <c r="G90" s="915"/>
      <c r="H90" s="915"/>
      <c r="I90" s="915"/>
      <c r="J90" s="915"/>
      <c r="K90" s="915"/>
      <c r="L90" s="915"/>
      <c r="M90" s="915"/>
      <c r="N90" s="915"/>
      <c r="O90" s="915"/>
      <c r="P90" s="149"/>
      <c r="Q90" s="935" t="s">
        <v>7793</v>
      </c>
      <c r="R90" s="935"/>
      <c r="S90" s="935"/>
      <c r="T90" s="935"/>
      <c r="U90" s="935"/>
      <c r="V90" s="935"/>
      <c r="W90" s="935"/>
      <c r="X90" s="935"/>
      <c r="Y90" s="935"/>
      <c r="Z90" s="935"/>
      <c r="AA90" s="935"/>
      <c r="AB90" s="935"/>
      <c r="AC90" s="935"/>
      <c r="AD90" s="935"/>
      <c r="AE90" s="811"/>
      <c r="AF90" s="811"/>
      <c r="AG90" s="59"/>
      <c r="AH90" s="59"/>
      <c r="AI90" s="59"/>
      <c r="AJ90" s="492"/>
      <c r="AK90" s="213"/>
      <c r="AL90" s="59"/>
      <c r="AM90" s="59"/>
    </row>
    <row r="91" spans="2:39" s="149" customFormat="1">
      <c r="F91" s="220"/>
      <c r="G91" s="220"/>
      <c r="H91" s="220"/>
      <c r="I91" s="220"/>
      <c r="J91" s="220"/>
      <c r="N91" s="320"/>
      <c r="S91" s="220"/>
      <c r="T91" s="220"/>
      <c r="U91" s="220"/>
      <c r="V91" s="220"/>
      <c r="W91" s="220"/>
      <c r="X91" s="220"/>
      <c r="Y91" s="355"/>
      <c r="Z91" s="355"/>
      <c r="AA91" s="355"/>
      <c r="AB91" s="355"/>
      <c r="AC91" s="355"/>
      <c r="AD91" s="355"/>
      <c r="AE91" s="805"/>
      <c r="AF91" s="805"/>
      <c r="AG91" s="207"/>
      <c r="AH91" s="207"/>
      <c r="AI91" s="207"/>
      <c r="AJ91" s="534"/>
      <c r="AK91" s="212"/>
    </row>
    <row r="92" spans="2:39" ht="14.1" customHeight="1">
      <c r="B92" s="954" t="s">
        <v>7677</v>
      </c>
      <c r="C92" s="937"/>
      <c r="D92" s="937"/>
      <c r="E92" s="975"/>
      <c r="F92" s="938" t="s">
        <v>7669</v>
      </c>
      <c r="G92" s="939"/>
      <c r="H92" s="939"/>
      <c r="I92" s="939"/>
      <c r="J92" s="939"/>
      <c r="K92" s="940"/>
      <c r="L92" s="973" t="s">
        <v>136</v>
      </c>
      <c r="M92" s="943" t="s">
        <v>210</v>
      </c>
      <c r="N92" s="944"/>
      <c r="O92" s="945"/>
      <c r="P92" s="149"/>
      <c r="Q92" s="954" t="s">
        <v>161</v>
      </c>
      <c r="R92" s="975"/>
      <c r="S92" s="933" t="s">
        <v>7666</v>
      </c>
      <c r="T92" s="934"/>
      <c r="U92" s="934"/>
      <c r="V92" s="934"/>
      <c r="W92" s="934"/>
      <c r="X92" s="934"/>
      <c r="Y92" s="955" t="s">
        <v>7543</v>
      </c>
      <c r="Z92" s="956"/>
      <c r="AA92" s="956"/>
      <c r="AB92" s="956"/>
      <c r="AC92" s="956"/>
      <c r="AD92" s="956"/>
      <c r="AE92" s="906" t="s">
        <v>7921</v>
      </c>
      <c r="AF92" s="799"/>
      <c r="AG92" s="207"/>
      <c r="AH92" s="207"/>
      <c r="AI92" s="207"/>
      <c r="AJ92" s="1032" t="s">
        <v>210</v>
      </c>
      <c r="AK92" s="1033"/>
      <c r="AL92" s="59"/>
      <c r="AM92" s="59"/>
    </row>
    <row r="93" spans="2:39">
      <c r="B93" s="896"/>
      <c r="C93" s="897"/>
      <c r="D93" s="897"/>
      <c r="E93" s="898"/>
      <c r="F93" s="312" t="s">
        <v>7892</v>
      </c>
      <c r="G93" s="312" t="s">
        <v>7893</v>
      </c>
      <c r="H93" s="312" t="s">
        <v>7061</v>
      </c>
      <c r="I93" s="312" t="s">
        <v>7062</v>
      </c>
      <c r="J93" s="312" t="s">
        <v>7063</v>
      </c>
      <c r="K93" s="313" t="s">
        <v>7436</v>
      </c>
      <c r="L93" s="974"/>
      <c r="M93" s="946"/>
      <c r="N93" s="947"/>
      <c r="O93" s="948"/>
      <c r="P93" s="149"/>
      <c r="Q93" s="896"/>
      <c r="R93" s="898"/>
      <c r="S93" s="312" t="s">
        <v>7894</v>
      </c>
      <c r="T93" s="312" t="s">
        <v>7895</v>
      </c>
      <c r="U93" s="312" t="s">
        <v>7061</v>
      </c>
      <c r="V93" s="312" t="s">
        <v>7062</v>
      </c>
      <c r="W93" s="312" t="s">
        <v>7063</v>
      </c>
      <c r="X93" s="313" t="s">
        <v>7436</v>
      </c>
      <c r="Y93" s="312" t="s">
        <v>7896</v>
      </c>
      <c r="Z93" s="312" t="s">
        <v>7897</v>
      </c>
      <c r="AA93" s="312" t="s">
        <v>7061</v>
      </c>
      <c r="AB93" s="312" t="s">
        <v>7062</v>
      </c>
      <c r="AC93" s="312" t="s">
        <v>7063</v>
      </c>
      <c r="AD93" s="313" t="s">
        <v>7436</v>
      </c>
      <c r="AE93" s="906"/>
      <c r="AF93" s="799"/>
      <c r="AG93" s="207"/>
      <c r="AH93" s="207"/>
      <c r="AI93" s="207"/>
      <c r="AJ93" s="1034"/>
      <c r="AK93" s="1035"/>
      <c r="AL93" s="59"/>
      <c r="AM93" s="59"/>
    </row>
    <row r="94" spans="2:39">
      <c r="B94" s="980" t="s">
        <v>139</v>
      </c>
      <c r="C94" s="981"/>
      <c r="D94" s="147"/>
      <c r="E94" s="401" t="s">
        <v>7898</v>
      </c>
      <c r="F94" s="691">
        <v>0</v>
      </c>
      <c r="G94" s="691">
        <v>0</v>
      </c>
      <c r="H94" s="691">
        <v>0</v>
      </c>
      <c r="I94" s="691">
        <v>0</v>
      </c>
      <c r="J94" s="691">
        <v>0</v>
      </c>
      <c r="K94" s="702">
        <f>SUM(F94:J94)</f>
        <v>0</v>
      </c>
      <c r="L94" s="639" t="s">
        <v>7899</v>
      </c>
      <c r="M94" s="479" t="str">
        <f>VLOOKUP(AH94,IDEAv2原単位!$A$3:$F$4021,2,FALSE)</f>
        <v>下水道処理サービス</v>
      </c>
      <c r="N94" s="486">
        <f>VLOOKUP($AH94,IDEAv2原単位!$A$3:$F$4021,6,FALSE)</f>
        <v>0.5215403491732874</v>
      </c>
      <c r="O94" s="213" t="s">
        <v>7900</v>
      </c>
      <c r="P94" s="149"/>
      <c r="Q94" s="62" t="s">
        <v>139</v>
      </c>
      <c r="R94" s="65"/>
      <c r="S94" s="715">
        <f>IFERROR(F94*$N94,0)</f>
        <v>0</v>
      </c>
      <c r="T94" s="715">
        <f t="shared" ref="T94:W97" si="41">IFERROR(G94*$N94,0)</f>
        <v>0</v>
      </c>
      <c r="U94" s="715">
        <f t="shared" si="41"/>
        <v>0</v>
      </c>
      <c r="V94" s="715">
        <f t="shared" si="41"/>
        <v>0</v>
      </c>
      <c r="W94" s="715">
        <f t="shared" si="41"/>
        <v>0</v>
      </c>
      <c r="X94" s="705">
        <f>SUM(S94:W94)</f>
        <v>0</v>
      </c>
      <c r="Y94" s="354" t="str">
        <f>IFERROR(IF(S94=0,"",S94*$AJ$170/('製造(P)'!$K$190+'貯蔵・輸送(ST)'!$K$190+'供給(D)'!$K$190)),"")</f>
        <v/>
      </c>
      <c r="Z94" s="354" t="str">
        <f>IFERROR(IF(T94=0,"",T94*$AJ$170/('製造(P)'!$K$190+'貯蔵・輸送(ST)'!$K$190+'供給(D)'!$K$190)),"")</f>
        <v/>
      </c>
      <c r="AA94" s="354" t="str">
        <f>IFERROR(IF(U94=0,"",U94*$AJ$170/('製造(P)'!$K$190+'貯蔵・輸送(ST)'!$K$190+'供給(D)'!$K$190)),"")</f>
        <v/>
      </c>
      <c r="AB94" s="354" t="str">
        <f>IFERROR(IF(V94=0,"",V94*$AJ$170/('製造(P)'!$K$190+'貯蔵・輸送(ST)'!$K$190+'供給(D)'!$K$190)),"")</f>
        <v/>
      </c>
      <c r="AC94" s="354" t="str">
        <f>IFERROR(IF(W94=0,"",W94*$AJ$170/('製造(P)'!$K$190+'貯蔵・輸送(ST)'!$K$190+'供給(D)'!$K$190)),"")</f>
        <v/>
      </c>
      <c r="AD94" s="778" t="str">
        <f>IFERROR(IF(X94=0,"",X94*$AJ$170/('製造(P)'!$K$190+'貯蔵・輸送(ST)'!$K$190+'供給(D)'!$K$190)),"")</f>
        <v/>
      </c>
      <c r="AE94" s="685"/>
      <c r="AF94" s="787"/>
      <c r="AG94" s="207" t="s">
        <v>139</v>
      </c>
      <c r="AH94" s="207">
        <v>851811000</v>
      </c>
      <c r="AI94" s="207"/>
      <c r="AJ94" s="538">
        <f>VLOOKUP($AH94,IDEAv2原単位!$A$3:$F$4021,6,FALSE)</f>
        <v>0.5215403491732874</v>
      </c>
      <c r="AK94" s="213" t="s">
        <v>140</v>
      </c>
      <c r="AL94" s="59"/>
      <c r="AM94" s="59"/>
    </row>
    <row r="95" spans="2:39" ht="13.8" thickBot="1">
      <c r="B95" s="338"/>
      <c r="C95" s="339"/>
      <c r="D95" s="647"/>
      <c r="E95" s="63" t="str">
        <f>IF(D95="","","[kg]")</f>
        <v/>
      </c>
      <c r="F95" s="691">
        <v>0</v>
      </c>
      <c r="G95" s="691">
        <v>0</v>
      </c>
      <c r="H95" s="691">
        <v>0</v>
      </c>
      <c r="I95" s="691">
        <v>0</v>
      </c>
      <c r="J95" s="691">
        <v>0</v>
      </c>
      <c r="K95" s="702">
        <f>SUM(F95:J95)</f>
        <v>0</v>
      </c>
      <c r="L95" s="639" t="s">
        <v>7901</v>
      </c>
      <c r="M95" s="479" t="str">
        <f>IFERROR(VLOOKUP(AH95,IDEAv2原単位!$A$3:$F$4021,2,FALSE),"")</f>
        <v/>
      </c>
      <c r="N95" s="486" t="str">
        <f>IFERROR(VLOOKUP($AH95,IDEAv2原単位!$A$3:$F$4021,6,FALSE),"")</f>
        <v/>
      </c>
      <c r="O95" s="315" t="str">
        <f>IF(D95="","","[kgCO2/kg] ")</f>
        <v/>
      </c>
      <c r="P95" s="149"/>
      <c r="Q95" s="910" t="str">
        <f>IF(D95="","",D95)</f>
        <v/>
      </c>
      <c r="R95" s="911"/>
      <c r="S95" s="715">
        <f t="shared" ref="S95:S97" si="42">IFERROR(F95*$N95,0)</f>
        <v>0</v>
      </c>
      <c r="T95" s="715">
        <f t="shared" si="41"/>
        <v>0</v>
      </c>
      <c r="U95" s="715">
        <f t="shared" si="41"/>
        <v>0</v>
      </c>
      <c r="V95" s="715">
        <f t="shared" si="41"/>
        <v>0</v>
      </c>
      <c r="W95" s="715">
        <f t="shared" si="41"/>
        <v>0</v>
      </c>
      <c r="X95" s="705">
        <f>SUM(S95:W95)</f>
        <v>0</v>
      </c>
      <c r="Y95" s="354" t="str">
        <f>IFERROR(IF(S95=0,"",S95*$AJ$170/('製造(P)'!$K$190+'貯蔵・輸送(ST)'!$K$190+'供給(D)'!$K$190)),"")</f>
        <v/>
      </c>
      <c r="Z95" s="354" t="str">
        <f>IFERROR(IF(T95=0,"",T95*$AJ$170/('製造(P)'!$K$190+'貯蔵・輸送(ST)'!$K$190+'供給(D)'!$K$190)),"")</f>
        <v/>
      </c>
      <c r="AA95" s="354" t="str">
        <f>IFERROR(IF(U95=0,"",U95*$AJ$170/('製造(P)'!$K$190+'貯蔵・輸送(ST)'!$K$190+'供給(D)'!$K$190)),"")</f>
        <v/>
      </c>
      <c r="AB95" s="354" t="str">
        <f>IFERROR(IF(V95=0,"",V95*$AJ$170/('製造(P)'!$K$190+'貯蔵・輸送(ST)'!$K$190+'供給(D)'!$K$190)),"")</f>
        <v/>
      </c>
      <c r="AC95" s="354" t="str">
        <f>IFERROR(IF(W95=0,"",W95*$AJ$170/('製造(P)'!$K$190+'貯蔵・輸送(ST)'!$K$190+'供給(D)'!$K$190)),"")</f>
        <v/>
      </c>
      <c r="AD95" s="778" t="str">
        <f>IFERROR(IF(X95=0,"",X95*$AJ$170/('製造(P)'!$K$190+'貯蔵・輸送(ST)'!$K$190+'供給(D)'!$K$190)),"")</f>
        <v/>
      </c>
      <c r="AE95" s="685"/>
      <c r="AF95" s="787"/>
      <c r="AG95" s="207"/>
      <c r="AH95" s="207" t="str">
        <f>IF(D95="燃え殻",852200201,IF(D95="汚泥",852200202,IF(D95="廃油",852200203,IF(D95="廃酸",852200204,IF(D95="廃アルカリ",852200205,IF(D95="廃プラスチック類",852200206,IF(D95="紙くず",852200207,IF(D95="木くず",852200208,IF(D95="繊維くず",852200209,IF(D95="動植物性残渣",852200210,IF(D95="ゴムくず",852200211,IF(D95="金属くず",852200212,IF(D95="ガラス・陶磁器くず",852200213,IF(D95="鉱さい",852200214,IF(D95="がれき類",852200215,IF(D95="動物のふん尿",852200216,IF(D95="動物の死体",852200217,IF(D95="ばいじん",852200218,IF(D95="埋立",852211000,"")))))))))))))))))))</f>
        <v/>
      </c>
      <c r="AI95" s="207"/>
      <c r="AJ95" s="538" t="e">
        <f>VLOOKUP($AH95,IDEAv2原単位!$A$3:$F$4021,6,FALSE)</f>
        <v>#N/A</v>
      </c>
      <c r="AK95" s="213" t="s">
        <v>54</v>
      </c>
      <c r="AL95" s="59"/>
      <c r="AM95" s="59"/>
    </row>
    <row r="96" spans="2:39" ht="13.8" thickBot="1">
      <c r="B96" s="978" t="s">
        <v>165</v>
      </c>
      <c r="C96" s="982"/>
      <c r="D96" s="648"/>
      <c r="E96" s="63" t="str">
        <f>IF(D96="","","[kg]")</f>
        <v/>
      </c>
      <c r="F96" s="691">
        <v>0</v>
      </c>
      <c r="G96" s="691">
        <v>0</v>
      </c>
      <c r="H96" s="691">
        <v>0</v>
      </c>
      <c r="I96" s="691">
        <v>0</v>
      </c>
      <c r="J96" s="691">
        <v>0</v>
      </c>
      <c r="K96" s="702">
        <f>SUM(F96:J96)</f>
        <v>0</v>
      </c>
      <c r="L96" s="639" t="s">
        <v>7902</v>
      </c>
      <c r="M96" s="479" t="str">
        <f>IFERROR(VLOOKUP(AH96,IDEAv2原単位!$A$3:$F$4021,2,FALSE),"")</f>
        <v/>
      </c>
      <c r="N96" s="486" t="str">
        <f>IFERROR(VLOOKUP($AH96,IDEAv2原単位!$A$3:$F$4021,6,FALSE),"")</f>
        <v/>
      </c>
      <c r="O96" s="315" t="str">
        <f>IF(D96="","","[kgCO2/kg] ")</f>
        <v/>
      </c>
      <c r="P96" s="149"/>
      <c r="Q96" s="910" t="str">
        <f t="shared" ref="Q96:Q97" si="43">IF(D96="","",D96)</f>
        <v/>
      </c>
      <c r="R96" s="911"/>
      <c r="S96" s="715">
        <f t="shared" si="42"/>
        <v>0</v>
      </c>
      <c r="T96" s="715">
        <f t="shared" si="41"/>
        <v>0</v>
      </c>
      <c r="U96" s="715">
        <f t="shared" si="41"/>
        <v>0</v>
      </c>
      <c r="V96" s="715">
        <f t="shared" si="41"/>
        <v>0</v>
      </c>
      <c r="W96" s="715">
        <f t="shared" si="41"/>
        <v>0</v>
      </c>
      <c r="X96" s="705">
        <f>SUM(S96:W96)</f>
        <v>0</v>
      </c>
      <c r="Y96" s="354" t="str">
        <f>IFERROR(IF(S96=0,"",S96*$AJ$170/('製造(P)'!$K$190+'貯蔵・輸送(ST)'!$K$190+'供給(D)'!$K$190)),"")</f>
        <v/>
      </c>
      <c r="Z96" s="354" t="str">
        <f>IFERROR(IF(T96=0,"",T96*$AJ$170/('製造(P)'!$K$190+'貯蔵・輸送(ST)'!$K$190+'供給(D)'!$K$190)),"")</f>
        <v/>
      </c>
      <c r="AA96" s="354" t="str">
        <f>IFERROR(IF(U96=0,"",U96*$AJ$170/('製造(P)'!$K$190+'貯蔵・輸送(ST)'!$K$190+'供給(D)'!$K$190)),"")</f>
        <v/>
      </c>
      <c r="AB96" s="354" t="str">
        <f>IFERROR(IF(V96=0,"",V96*$AJ$170/('製造(P)'!$K$190+'貯蔵・輸送(ST)'!$K$190+'供給(D)'!$K$190)),"")</f>
        <v/>
      </c>
      <c r="AC96" s="354" t="str">
        <f>IFERROR(IF(W96=0,"",W96*$AJ$170/('製造(P)'!$K$190+'貯蔵・輸送(ST)'!$K$190+'供給(D)'!$K$190)),"")</f>
        <v/>
      </c>
      <c r="AD96" s="778" t="str">
        <f>IFERROR(IF(X96=0,"",X96*$AJ$170/('製造(P)'!$K$190+'貯蔵・輸送(ST)'!$K$190+'供給(D)'!$K$190)),"")</f>
        <v/>
      </c>
      <c r="AE96" s="685"/>
      <c r="AF96" s="787"/>
      <c r="AG96" s="207" t="s">
        <v>6941</v>
      </c>
      <c r="AH96" s="207" t="str">
        <f>IF(D96="燃え殻",852200201,IF(D96="汚泥",852200202,IF(D96="廃油",852200203,IF(D96="廃酸",852200204,IF(D96="廃アルカリ",852200205,IF(D96="廃プラスチック類",852200206,IF(D96="紙くず",852200207,IF(D96="木くず",852200208,IF(D96="繊維くず",852200209,IF(D96="動植物性残渣",852200210,IF(D96="ゴムくず",852200211,IF(D96="金属くず",852200212,IF(D96="ガラス・陶磁器くず",852200213,IF(D96="鉱さい",852200214,IF(D96="がれき類",852200215,IF(D96="動物のふん尿",852200216,IF(D96="動物の死体",852200217,IF(D96="ばいじん",852200218,IF(D96="埋立",852211000,"")))))))))))))))))))</f>
        <v/>
      </c>
      <c r="AI96" s="207"/>
      <c r="AJ96" s="538" t="e">
        <f>VLOOKUP($AH96,IDEAv2原単位!$A$3:$F$4021,6,FALSE)</f>
        <v>#N/A</v>
      </c>
      <c r="AK96" s="213" t="s">
        <v>54</v>
      </c>
      <c r="AL96" s="59"/>
      <c r="AM96" s="59"/>
    </row>
    <row r="97" spans="2:39" ht="13.8" thickBot="1">
      <c r="B97" s="70"/>
      <c r="C97" s="340"/>
      <c r="D97" s="648"/>
      <c r="E97" s="63" t="str">
        <f>IF(D97="","","[kg]")</f>
        <v/>
      </c>
      <c r="F97" s="691">
        <v>0</v>
      </c>
      <c r="G97" s="691">
        <v>0</v>
      </c>
      <c r="H97" s="691">
        <v>0</v>
      </c>
      <c r="I97" s="691">
        <v>0</v>
      </c>
      <c r="J97" s="691">
        <v>0</v>
      </c>
      <c r="K97" s="702">
        <f>SUM(F97:J97)</f>
        <v>0</v>
      </c>
      <c r="L97" s="639" t="s">
        <v>7903</v>
      </c>
      <c r="M97" s="479" t="str">
        <f>IFERROR(VLOOKUP(AH97,IDEAv2原単位!$A$3:$F$4021,2,FALSE),"")</f>
        <v/>
      </c>
      <c r="N97" s="490" t="str">
        <f>IFERROR(VLOOKUP($AH97,IDEAv2原単位!$A$3:$F$4021,6,FALSE),"")</f>
        <v/>
      </c>
      <c r="O97" s="315" t="str">
        <f>IF(D97="","","[kgCO2/kg] ")</f>
        <v/>
      </c>
      <c r="P97" s="149"/>
      <c r="Q97" s="910" t="str">
        <f t="shared" si="43"/>
        <v/>
      </c>
      <c r="R97" s="911"/>
      <c r="S97" s="715">
        <f t="shared" si="42"/>
        <v>0</v>
      </c>
      <c r="T97" s="715">
        <f t="shared" si="41"/>
        <v>0</v>
      </c>
      <c r="U97" s="715">
        <f t="shared" si="41"/>
        <v>0</v>
      </c>
      <c r="V97" s="715">
        <f t="shared" si="41"/>
        <v>0</v>
      </c>
      <c r="W97" s="715">
        <f t="shared" si="41"/>
        <v>0</v>
      </c>
      <c r="X97" s="705">
        <f>SUM(S97:W97)</f>
        <v>0</v>
      </c>
      <c r="Y97" s="354" t="str">
        <f>IFERROR(IF(S97=0,"",S97*$AJ$170/('製造(P)'!$K$190+'貯蔵・輸送(ST)'!$K$190+'供給(D)'!$K$190)),"")</f>
        <v/>
      </c>
      <c r="Z97" s="354" t="str">
        <f>IFERROR(IF(T97=0,"",T97*$AJ$170/('製造(P)'!$K$190+'貯蔵・輸送(ST)'!$K$190+'供給(D)'!$K$190)),"")</f>
        <v/>
      </c>
      <c r="AA97" s="354" t="str">
        <f>IFERROR(IF(U97=0,"",U97*$AJ$170/('製造(P)'!$K$190+'貯蔵・輸送(ST)'!$K$190+'供給(D)'!$K$190)),"")</f>
        <v/>
      </c>
      <c r="AB97" s="354" t="str">
        <f>IFERROR(IF(V97=0,"",V97*$AJ$170/('製造(P)'!$K$190+'貯蔵・輸送(ST)'!$K$190+'供給(D)'!$K$190)),"")</f>
        <v/>
      </c>
      <c r="AC97" s="354" t="str">
        <f>IFERROR(IF(W97=0,"",W97*$AJ$170/('製造(P)'!$K$190+'貯蔵・輸送(ST)'!$K$190+'供給(D)'!$K$190)),"")</f>
        <v/>
      </c>
      <c r="AD97" s="778" t="str">
        <f>IFERROR(IF(X97=0,"",X97*$AJ$170/('製造(P)'!$K$190+'貯蔵・輸送(ST)'!$K$190+'供給(D)'!$K$190)),"")</f>
        <v/>
      </c>
      <c r="AE97" s="685"/>
      <c r="AF97" s="787"/>
      <c r="AG97" s="207"/>
      <c r="AH97" s="207" t="str">
        <f>IF(D97="燃え殻",852200201,IF(D97="汚泥",852200202,IF(D97="廃油",852200203,IF(D97="廃酸",852200204,IF(D97="廃アルカリ",852200205,IF(D97="廃プラスチック類",852200206,IF(D97="紙くず",852200207,IF(D97="木くず",852200208,IF(D97="繊維くず",852200209,IF(D97="動植物性残渣",852200210,IF(D97="ゴムくず",852200211,IF(D97="金属くず",852200212,IF(D97="ガラス・陶磁器くず",852200213,IF(D97="鉱さい",852200214,IF(D97="がれき類",852200215,IF(D97="動物のふん尿",852200216,IF(D97="動物の死体",852200217,IF(D97="ばいじん",852200218,IF(D97="埋立",852211000,"")))))))))))))))))))</f>
        <v/>
      </c>
      <c r="AI97" s="207"/>
      <c r="AJ97" s="538" t="e">
        <f>VLOOKUP($AH97,IDEAv2原単位!$A$3:$F$4021,6,FALSE)</f>
        <v>#N/A</v>
      </c>
      <c r="AK97" s="213" t="s">
        <v>54</v>
      </c>
      <c r="AL97" s="59"/>
      <c r="AM97" s="59"/>
    </row>
    <row r="98" spans="2:39">
      <c r="B98" s="153"/>
      <c r="C98" s="153"/>
      <c r="D98" s="153"/>
      <c r="E98" s="150"/>
      <c r="F98" s="225"/>
      <c r="G98" s="225"/>
      <c r="H98" s="225"/>
      <c r="I98" s="225"/>
      <c r="J98" s="225"/>
      <c r="K98" s="152"/>
      <c r="L98" s="152"/>
      <c r="M98" s="152"/>
      <c r="N98" s="322"/>
      <c r="O98" s="153"/>
      <c r="P98" s="149"/>
      <c r="Q98" s="147" t="s">
        <v>144</v>
      </c>
      <c r="R98" s="148"/>
      <c r="S98" s="716">
        <f>SUM(S94:S97)</f>
        <v>0</v>
      </c>
      <c r="T98" s="716">
        <f t="shared" ref="T98:X98" si="44">SUM(T94:T97)</f>
        <v>0</v>
      </c>
      <c r="U98" s="716">
        <f t="shared" si="44"/>
        <v>0</v>
      </c>
      <c r="V98" s="716">
        <f t="shared" si="44"/>
        <v>0</v>
      </c>
      <c r="W98" s="716">
        <f t="shared" si="44"/>
        <v>0</v>
      </c>
      <c r="X98" s="716">
        <f t="shared" si="44"/>
        <v>0</v>
      </c>
      <c r="Y98" s="354">
        <f>IFERROR(S98*$AJ$170/('製造(P)'!$K$190+'貯蔵・輸送(ST)'!$K$190+'供給(D)'!$K$190),"")</f>
        <v>0</v>
      </c>
      <c r="Z98" s="354">
        <f>IFERROR(T98*$AJ$170/('製造(P)'!$K$190+'貯蔵・輸送(ST)'!$K$190+'供給(D)'!$K$190),"")</f>
        <v>0</v>
      </c>
      <c r="AA98" s="354">
        <f>IFERROR(U98*$AJ$170/('製造(P)'!$K$190+'貯蔵・輸送(ST)'!$K$190+'供給(D)'!$K$190),"")</f>
        <v>0</v>
      </c>
      <c r="AB98" s="354">
        <f>IFERROR(V98*$AJ$170/('製造(P)'!$K$190+'貯蔵・輸送(ST)'!$K$190+'供給(D)'!$K$190),"")</f>
        <v>0</v>
      </c>
      <c r="AC98" s="354">
        <f>IFERROR(W98*$AJ$170/('製造(P)'!$K$190+'貯蔵・輸送(ST)'!$K$190+'供給(D)'!$K$190),"")</f>
        <v>0</v>
      </c>
      <c r="AD98" s="354">
        <f>IFERROR(X98*$AJ$170/('製造(P)'!$K$190+'貯蔵・輸送(ST)'!$K$190+'供給(D)'!$K$190),"")</f>
        <v>0</v>
      </c>
      <c r="AE98" s="796"/>
      <c r="AF98" s="796"/>
      <c r="AG98" s="207"/>
      <c r="AH98" s="207"/>
      <c r="AI98" s="207"/>
      <c r="AJ98" s="534"/>
      <c r="AK98" s="212"/>
      <c r="AL98" s="59"/>
      <c r="AM98" s="59"/>
    </row>
    <row r="99" spans="2:39" s="149" customFormat="1">
      <c r="B99" s="153"/>
      <c r="C99" s="153"/>
      <c r="D99" s="153"/>
      <c r="E99" s="150"/>
      <c r="F99" s="225"/>
      <c r="G99" s="225"/>
      <c r="H99" s="225"/>
      <c r="I99" s="225"/>
      <c r="J99" s="225"/>
      <c r="K99" s="152"/>
      <c r="L99" s="152"/>
      <c r="M99" s="152"/>
      <c r="N99" s="322"/>
      <c r="O99" s="153"/>
      <c r="Q99" s="150"/>
      <c r="R99" s="150"/>
      <c r="S99" s="241"/>
      <c r="T99" s="241"/>
      <c r="U99" s="241"/>
      <c r="V99" s="241"/>
      <c r="W99" s="241"/>
      <c r="X99" s="241"/>
      <c r="Y99" s="356"/>
      <c r="Z99" s="356"/>
      <c r="AA99" s="356"/>
      <c r="AB99" s="356"/>
      <c r="AC99" s="356"/>
      <c r="AD99" s="356"/>
      <c r="AE99" s="806"/>
      <c r="AF99" s="806"/>
      <c r="AG99" s="242"/>
      <c r="AH99" s="242"/>
      <c r="AI99" s="242"/>
      <c r="AJ99" s="534"/>
      <c r="AK99" s="212"/>
    </row>
    <row r="100" spans="2:39">
      <c r="B100" s="915" t="s">
        <v>7786</v>
      </c>
      <c r="C100" s="915"/>
      <c r="D100" s="915"/>
      <c r="E100" s="915"/>
      <c r="F100" s="915"/>
      <c r="G100" s="915"/>
      <c r="H100" s="915"/>
      <c r="I100" s="915"/>
      <c r="J100" s="915"/>
      <c r="K100" s="915"/>
      <c r="L100" s="915"/>
      <c r="M100" s="915"/>
      <c r="N100" s="915"/>
      <c r="O100" s="915"/>
      <c r="P100" s="149"/>
      <c r="Q100" s="935" t="s">
        <v>7794</v>
      </c>
      <c r="R100" s="935"/>
      <c r="S100" s="935"/>
      <c r="T100" s="935"/>
      <c r="U100" s="935"/>
      <c r="V100" s="935"/>
      <c r="W100" s="935"/>
      <c r="X100" s="935"/>
      <c r="Y100" s="935"/>
      <c r="Z100" s="935"/>
      <c r="AA100" s="935"/>
      <c r="AB100" s="935"/>
      <c r="AC100" s="935"/>
      <c r="AD100" s="935"/>
      <c r="AE100" s="811"/>
      <c r="AF100" s="811"/>
      <c r="AG100" s="207"/>
      <c r="AH100" s="207"/>
      <c r="AI100" s="207"/>
      <c r="AJ100" s="214"/>
      <c r="AK100" s="214"/>
      <c r="AL100" s="59"/>
      <c r="AM100" s="59"/>
    </row>
    <row r="101" spans="2:39" s="149" customFormat="1">
      <c r="F101" s="220"/>
      <c r="G101" s="220"/>
      <c r="H101" s="220"/>
      <c r="I101" s="220"/>
      <c r="J101" s="220"/>
      <c r="N101" s="320"/>
      <c r="S101" s="220"/>
      <c r="T101" s="220"/>
      <c r="U101" s="220"/>
      <c r="V101" s="220"/>
      <c r="W101" s="220"/>
      <c r="X101" s="220"/>
      <c r="Y101" s="355"/>
      <c r="Z101" s="355"/>
      <c r="AA101" s="355"/>
      <c r="AB101" s="355"/>
      <c r="AC101" s="355"/>
      <c r="AD101" s="355"/>
      <c r="AE101" s="805"/>
      <c r="AF101" s="805"/>
      <c r="AG101" s="207"/>
      <c r="AH101" s="207"/>
      <c r="AI101" s="207"/>
      <c r="AJ101" s="534"/>
      <c r="AK101" s="212"/>
    </row>
    <row r="102" spans="2:39" ht="14.1" customHeight="1">
      <c r="B102" s="890" t="s">
        <v>7663</v>
      </c>
      <c r="C102" s="937"/>
      <c r="D102" s="891"/>
      <c r="E102" s="892"/>
      <c r="F102" s="938" t="s">
        <v>7669</v>
      </c>
      <c r="G102" s="939"/>
      <c r="H102" s="939"/>
      <c r="I102" s="939"/>
      <c r="J102" s="939"/>
      <c r="K102" s="940"/>
      <c r="L102" s="955" t="s">
        <v>7445</v>
      </c>
      <c r="M102" s="956"/>
      <c r="N102" s="956" t="s">
        <v>7446</v>
      </c>
      <c r="O102" s="956"/>
      <c r="P102" s="149"/>
      <c r="Q102" s="954" t="s">
        <v>5438</v>
      </c>
      <c r="R102" s="975"/>
      <c r="S102" s="933" t="s">
        <v>7666</v>
      </c>
      <c r="T102" s="934"/>
      <c r="U102" s="934"/>
      <c r="V102" s="934"/>
      <c r="W102" s="934"/>
      <c r="X102" s="934"/>
      <c r="Y102" s="955" t="s">
        <v>7543</v>
      </c>
      <c r="Z102" s="956"/>
      <c r="AA102" s="956"/>
      <c r="AB102" s="956"/>
      <c r="AC102" s="956"/>
      <c r="AD102" s="956"/>
      <c r="AE102" s="810"/>
      <c r="AF102" s="810"/>
      <c r="AG102" s="207"/>
      <c r="AH102" s="207"/>
      <c r="AI102" s="207"/>
      <c r="AJ102" s="1019" t="s">
        <v>210</v>
      </c>
      <c r="AK102" s="1019"/>
      <c r="AL102" s="59"/>
      <c r="AM102" s="59"/>
    </row>
    <row r="103" spans="2:39" ht="13.8" thickBot="1">
      <c r="B103" s="893"/>
      <c r="C103" s="894"/>
      <c r="D103" s="894"/>
      <c r="E103" s="898"/>
      <c r="F103" s="312" t="s">
        <v>7435</v>
      </c>
      <c r="G103" s="312" t="s">
        <v>7904</v>
      </c>
      <c r="H103" s="312" t="s">
        <v>7061</v>
      </c>
      <c r="I103" s="312" t="s">
        <v>7062</v>
      </c>
      <c r="J103" s="312" t="s">
        <v>7063</v>
      </c>
      <c r="K103" s="313" t="s">
        <v>7436</v>
      </c>
      <c r="L103" s="956"/>
      <c r="M103" s="956"/>
      <c r="N103" s="956"/>
      <c r="O103" s="956"/>
      <c r="P103" s="149"/>
      <c r="Q103" s="896"/>
      <c r="R103" s="898"/>
      <c r="S103" s="312" t="s">
        <v>7435</v>
      </c>
      <c r="T103" s="312" t="s">
        <v>7546</v>
      </c>
      <c r="U103" s="312" t="s">
        <v>7061</v>
      </c>
      <c r="V103" s="312" t="s">
        <v>7062</v>
      </c>
      <c r="W103" s="312" t="s">
        <v>7063</v>
      </c>
      <c r="X103" s="313" t="s">
        <v>7436</v>
      </c>
      <c r="Y103" s="312" t="s">
        <v>7435</v>
      </c>
      <c r="Z103" s="312" t="s">
        <v>7546</v>
      </c>
      <c r="AA103" s="312" t="s">
        <v>7061</v>
      </c>
      <c r="AB103" s="312" t="s">
        <v>7062</v>
      </c>
      <c r="AC103" s="312" t="s">
        <v>7063</v>
      </c>
      <c r="AD103" s="797" t="s">
        <v>7436</v>
      </c>
      <c r="AE103" s="364"/>
      <c r="AF103" s="364"/>
      <c r="AG103" s="207"/>
      <c r="AH103" s="207"/>
      <c r="AI103" s="207"/>
      <c r="AJ103" s="1019"/>
      <c r="AK103" s="1019"/>
      <c r="AL103" s="59"/>
      <c r="AM103" s="59"/>
    </row>
    <row r="104" spans="2:39" ht="13.8" thickBot="1">
      <c r="B104" s="907"/>
      <c r="C104" s="908"/>
      <c r="D104" s="909"/>
      <c r="E104" s="63" t="str">
        <f>IF(B104="","","[kg]")</f>
        <v/>
      </c>
      <c r="F104" s="691">
        <v>0</v>
      </c>
      <c r="G104" s="691">
        <v>0</v>
      </c>
      <c r="H104" s="691">
        <v>0</v>
      </c>
      <c r="I104" s="691">
        <v>0</v>
      </c>
      <c r="J104" s="691">
        <v>0</v>
      </c>
      <c r="K104" s="702">
        <f>SUM(F104:J104)</f>
        <v>0</v>
      </c>
      <c r="L104" s="912" t="s">
        <v>7830</v>
      </c>
      <c r="M104" s="913"/>
      <c r="N104" s="613" t="str">
        <f>IFERROR(VLOOKUP($B104,GWP!$A$4:$D$36,4,FALSE),"")</f>
        <v/>
      </c>
      <c r="O104" s="227" t="str">
        <f>IF(E104="","","[kgCO2/kg] ")</f>
        <v/>
      </c>
      <c r="P104" s="149"/>
      <c r="Q104" s="910" t="str">
        <f t="shared" ref="Q104:Q106" si="45">IF(B104="","",B104)</f>
        <v/>
      </c>
      <c r="R104" s="911"/>
      <c r="S104" s="715">
        <f>IFERROR(F104*$N104,0)</f>
        <v>0</v>
      </c>
      <c r="T104" s="715">
        <f t="shared" ref="T104:W106" si="46">IFERROR(G104*$N104,0)</f>
        <v>0</v>
      </c>
      <c r="U104" s="715">
        <f t="shared" si="46"/>
        <v>0</v>
      </c>
      <c r="V104" s="715">
        <f t="shared" si="46"/>
        <v>0</v>
      </c>
      <c r="W104" s="715">
        <f t="shared" si="46"/>
        <v>0</v>
      </c>
      <c r="X104" s="705">
        <f>SUM(S104:W104)</f>
        <v>0</v>
      </c>
      <c r="Y104" s="354" t="str">
        <f>IFERROR(IF(S104=0,"",S104*$AJ$170/('製造(P)'!$K$190+'貯蔵・輸送(ST)'!$K$190+'供給(D)'!$K$190)),"")</f>
        <v/>
      </c>
      <c r="Z104" s="354" t="str">
        <f>IFERROR(IF(T104=0,"",T104*$AJ$170/('製造(P)'!$K$190+'貯蔵・輸送(ST)'!$K$190+'供給(D)'!$K$190)),"")</f>
        <v/>
      </c>
      <c r="AA104" s="354" t="str">
        <f>IFERROR(IF(U104=0,"",U104*$AJ$170/('製造(P)'!$K$190+'貯蔵・輸送(ST)'!$K$190+'供給(D)'!$K$190)),"")</f>
        <v/>
      </c>
      <c r="AB104" s="354" t="str">
        <f>IFERROR(IF(V104=0,"",V104*$AJ$170/('製造(P)'!$K$190+'貯蔵・輸送(ST)'!$K$190+'供給(D)'!$K$190)),"")</f>
        <v/>
      </c>
      <c r="AC104" s="354" t="str">
        <f>IFERROR(IF(W104=0,"",W104*$AJ$170/('製造(P)'!$K$190+'貯蔵・輸送(ST)'!$K$190+'供給(D)'!$K$190)),"")</f>
        <v/>
      </c>
      <c r="AD104" s="778" t="str">
        <f>IFERROR(IF(X104=0,"",X104*$AJ$170/('製造(P)'!$K$190+'貯蔵・輸送(ST)'!$K$190+'供給(D)'!$K$190)),"")</f>
        <v/>
      </c>
      <c r="AE104" s="806"/>
      <c r="AF104" s="806"/>
      <c r="AG104" s="207"/>
      <c r="AH104" s="207"/>
      <c r="AI104" s="207"/>
      <c r="AJ104" s="491" t="e">
        <f>VLOOKUP($B104,GWP!$A$4:$D$36,4,FALSE)</f>
        <v>#N/A</v>
      </c>
      <c r="AK104" s="213" t="s">
        <v>54</v>
      </c>
      <c r="AL104" s="59"/>
      <c r="AM104" s="59"/>
    </row>
    <row r="105" spans="2:39" ht="13.8" thickBot="1">
      <c r="B105" s="907"/>
      <c r="C105" s="908"/>
      <c r="D105" s="909"/>
      <c r="E105" s="63" t="str">
        <f>IF(B105="","","[kg]")</f>
        <v/>
      </c>
      <c r="F105" s="691">
        <v>0</v>
      </c>
      <c r="G105" s="691">
        <v>0</v>
      </c>
      <c r="H105" s="691">
        <v>0</v>
      </c>
      <c r="I105" s="691">
        <v>0</v>
      </c>
      <c r="J105" s="691">
        <v>0</v>
      </c>
      <c r="K105" s="702">
        <f>SUM(F105:J105)</f>
        <v>0</v>
      </c>
      <c r="L105" s="912" t="s">
        <v>7830</v>
      </c>
      <c r="M105" s="913"/>
      <c r="N105" s="613" t="str">
        <f>IFERROR(VLOOKUP($B105,GWP!$A$4:$D$36,4,FALSE),"")</f>
        <v/>
      </c>
      <c r="O105" s="227" t="str">
        <f>IF(E105="","","[kgCO2/kg] ")</f>
        <v/>
      </c>
      <c r="P105" s="149"/>
      <c r="Q105" s="910" t="str">
        <f t="shared" si="45"/>
        <v/>
      </c>
      <c r="R105" s="911"/>
      <c r="S105" s="715">
        <f t="shared" ref="S105:S106" si="47">IFERROR(F105*$N105,0)</f>
        <v>0</v>
      </c>
      <c r="T105" s="715">
        <f t="shared" si="46"/>
        <v>0</v>
      </c>
      <c r="U105" s="715">
        <f t="shared" si="46"/>
        <v>0</v>
      </c>
      <c r="V105" s="715">
        <f t="shared" si="46"/>
        <v>0</v>
      </c>
      <c r="W105" s="715">
        <f t="shared" si="46"/>
        <v>0</v>
      </c>
      <c r="X105" s="705">
        <f>SUM(S105:W105)</f>
        <v>0</v>
      </c>
      <c r="Y105" s="354" t="str">
        <f>IFERROR(IF(S105=0,"",S105*$AJ$170/('製造(P)'!$K$190+'貯蔵・輸送(ST)'!$K$190+'供給(D)'!$K$190)),"")</f>
        <v/>
      </c>
      <c r="Z105" s="354" t="str">
        <f>IFERROR(IF(T105=0,"",T105*$AJ$170/('製造(P)'!$K$190+'貯蔵・輸送(ST)'!$K$190+'供給(D)'!$K$190)),"")</f>
        <v/>
      </c>
      <c r="AA105" s="354" t="str">
        <f>IFERROR(IF(U105=0,"",U105*$AJ$170/('製造(P)'!$K$190+'貯蔵・輸送(ST)'!$K$190+'供給(D)'!$K$190)),"")</f>
        <v/>
      </c>
      <c r="AB105" s="354" t="str">
        <f>IFERROR(IF(V105=0,"",V105*$AJ$170/('製造(P)'!$K$190+'貯蔵・輸送(ST)'!$K$190+'供給(D)'!$K$190)),"")</f>
        <v/>
      </c>
      <c r="AC105" s="354" t="str">
        <f>IFERROR(IF(W105=0,"",W105*$AJ$170/('製造(P)'!$K$190+'貯蔵・輸送(ST)'!$K$190+'供給(D)'!$K$190)),"")</f>
        <v/>
      </c>
      <c r="AD105" s="778" t="str">
        <f>IFERROR(IF(X105=0,"",X105*$AJ$170/('製造(P)'!$K$190+'貯蔵・輸送(ST)'!$K$190+'供給(D)'!$K$190)),"")</f>
        <v/>
      </c>
      <c r="AE105" s="806"/>
      <c r="AF105" s="806"/>
      <c r="AG105" s="207"/>
      <c r="AH105" s="207"/>
      <c r="AI105" s="207"/>
      <c r="AJ105" s="491" t="e">
        <f>VLOOKUP($B105,GWP!$A$4:$D$36,4,FALSE)</f>
        <v>#N/A</v>
      </c>
      <c r="AK105" s="213" t="s">
        <v>54</v>
      </c>
      <c r="AL105" s="59"/>
      <c r="AM105" s="59"/>
    </row>
    <row r="106" spans="2:39" ht="13.8" thickBot="1">
      <c r="B106" s="907"/>
      <c r="C106" s="908"/>
      <c r="D106" s="909"/>
      <c r="E106" s="63" t="str">
        <f>IF(B106="","","[kg]")</f>
        <v/>
      </c>
      <c r="F106" s="691">
        <v>0</v>
      </c>
      <c r="G106" s="691">
        <v>0</v>
      </c>
      <c r="H106" s="691">
        <v>0</v>
      </c>
      <c r="I106" s="691">
        <v>0</v>
      </c>
      <c r="J106" s="691">
        <v>0</v>
      </c>
      <c r="K106" s="702">
        <f>SUM(F106:J106)</f>
        <v>0</v>
      </c>
      <c r="L106" s="912" t="s">
        <v>7830</v>
      </c>
      <c r="M106" s="913"/>
      <c r="N106" s="614" t="str">
        <f>IFERROR(VLOOKUP($B106,GWP!$A$4:$D$36,4,FALSE),"")</f>
        <v/>
      </c>
      <c r="O106" s="227" t="str">
        <f>IF(E106="","","[kgCO2/kg] ")</f>
        <v/>
      </c>
      <c r="P106" s="149"/>
      <c r="Q106" s="910" t="str">
        <f t="shared" si="45"/>
        <v/>
      </c>
      <c r="R106" s="911"/>
      <c r="S106" s="715">
        <f t="shared" si="47"/>
        <v>0</v>
      </c>
      <c r="T106" s="715">
        <f t="shared" si="46"/>
        <v>0</v>
      </c>
      <c r="U106" s="715">
        <f t="shared" si="46"/>
        <v>0</v>
      </c>
      <c r="V106" s="715">
        <f t="shared" si="46"/>
        <v>0</v>
      </c>
      <c r="W106" s="715">
        <f t="shared" si="46"/>
        <v>0</v>
      </c>
      <c r="X106" s="705">
        <f>SUM(S106:W106)</f>
        <v>0</v>
      </c>
      <c r="Y106" s="354" t="str">
        <f>IFERROR(IF(S106=0,"",S106*$AJ$170/('製造(P)'!$K$190+'貯蔵・輸送(ST)'!$K$190+'供給(D)'!$K$190)),"")</f>
        <v/>
      </c>
      <c r="Z106" s="354" t="str">
        <f>IFERROR(IF(T106=0,"",T106*$AJ$170/('製造(P)'!$K$190+'貯蔵・輸送(ST)'!$K$190+'供給(D)'!$K$190)),"")</f>
        <v/>
      </c>
      <c r="AA106" s="354" t="str">
        <f>IFERROR(IF(U106=0,"",U106*$AJ$170/('製造(P)'!$K$190+'貯蔵・輸送(ST)'!$K$190+'供給(D)'!$K$190)),"")</f>
        <v/>
      </c>
      <c r="AB106" s="354" t="str">
        <f>IFERROR(IF(V106=0,"",V106*$AJ$170/('製造(P)'!$K$190+'貯蔵・輸送(ST)'!$K$190+'供給(D)'!$K$190)),"")</f>
        <v/>
      </c>
      <c r="AC106" s="354" t="str">
        <f>IFERROR(IF(W106=0,"",W106*$AJ$170/('製造(P)'!$K$190+'貯蔵・輸送(ST)'!$K$190+'供給(D)'!$K$190)),"")</f>
        <v/>
      </c>
      <c r="AD106" s="778" t="str">
        <f>IFERROR(IF(X106=0,"",X106*$AJ$170/('製造(P)'!$K$190+'貯蔵・輸送(ST)'!$K$190+'供給(D)'!$K$190)),"")</f>
        <v/>
      </c>
      <c r="AE106" s="806"/>
      <c r="AF106" s="806"/>
      <c r="AG106" s="207"/>
      <c r="AH106" s="207"/>
      <c r="AI106" s="207"/>
      <c r="AJ106" s="491" t="e">
        <f>VLOOKUP($B106,GWP!$A$4:$D$36,4,FALSE)</f>
        <v>#N/A</v>
      </c>
      <c r="AK106" s="213" t="s">
        <v>54</v>
      </c>
      <c r="AL106" s="59"/>
      <c r="AM106" s="59"/>
    </row>
    <row r="107" spans="2:39">
      <c r="B107" s="332" t="s">
        <v>7461</v>
      </c>
      <c r="C107" s="332"/>
      <c r="D107" s="153"/>
      <c r="E107" s="150"/>
      <c r="F107" s="225"/>
      <c r="G107" s="225"/>
      <c r="H107" s="225"/>
      <c r="I107" s="225"/>
      <c r="J107" s="225"/>
      <c r="K107" s="152"/>
      <c r="L107" s="152"/>
      <c r="M107" s="152"/>
      <c r="N107" s="322"/>
      <c r="O107" s="153"/>
      <c r="P107" s="149"/>
      <c r="Q107" s="147" t="s">
        <v>144</v>
      </c>
      <c r="R107" s="148"/>
      <c r="S107" s="716">
        <f t="shared" ref="S107:X107" si="48">SUM(S104:S106)</f>
        <v>0</v>
      </c>
      <c r="T107" s="716">
        <f t="shared" si="48"/>
        <v>0</v>
      </c>
      <c r="U107" s="716">
        <f t="shared" si="48"/>
        <v>0</v>
      </c>
      <c r="V107" s="716">
        <f t="shared" si="48"/>
        <v>0</v>
      </c>
      <c r="W107" s="716">
        <f t="shared" si="48"/>
        <v>0</v>
      </c>
      <c r="X107" s="716">
        <f t="shared" si="48"/>
        <v>0</v>
      </c>
      <c r="Y107" s="354">
        <f>IFERROR(S107*$AJ$170/('製造(P)'!$K$190+'貯蔵・輸送(ST)'!$K$190+'供給(D)'!$K$190),"")</f>
        <v>0</v>
      </c>
      <c r="Z107" s="354">
        <f>IFERROR(T107*$AJ$170/('製造(P)'!$K$190+'貯蔵・輸送(ST)'!$K$190+'供給(D)'!$K$190),"")</f>
        <v>0</v>
      </c>
      <c r="AA107" s="354">
        <f>IFERROR(U107*$AJ$170/('製造(P)'!$K$190+'貯蔵・輸送(ST)'!$K$190+'供給(D)'!$K$190),"")</f>
        <v>0</v>
      </c>
      <c r="AB107" s="354">
        <f>IFERROR(V107*$AJ$170/('製造(P)'!$K$190+'貯蔵・輸送(ST)'!$K$190+'供給(D)'!$K$190),"")</f>
        <v>0</v>
      </c>
      <c r="AC107" s="354">
        <f>IFERROR(W107*$AJ$170/('製造(P)'!$K$190+'貯蔵・輸送(ST)'!$K$190+'供給(D)'!$K$190),"")</f>
        <v>0</v>
      </c>
      <c r="AD107" s="354">
        <f>IFERROR(X107*$AJ$170/('製造(P)'!$K$190+'貯蔵・輸送(ST)'!$K$190+'供給(D)'!$K$190),"")</f>
        <v>0</v>
      </c>
      <c r="AE107" s="806"/>
      <c r="AF107" s="806"/>
      <c r="AG107" s="207"/>
      <c r="AH107" s="207"/>
      <c r="AI107" s="207"/>
      <c r="AJ107" s="534"/>
      <c r="AK107" s="212"/>
      <c r="AL107" s="59"/>
      <c r="AM107" s="59"/>
    </row>
    <row r="108" spans="2:39" s="149" customFormat="1">
      <c r="F108" s="220"/>
      <c r="G108" s="220"/>
      <c r="H108" s="220"/>
      <c r="I108" s="220"/>
      <c r="J108" s="220"/>
      <c r="N108" s="320"/>
      <c r="S108" s="220"/>
      <c r="T108" s="220"/>
      <c r="U108" s="220"/>
      <c r="V108" s="220"/>
      <c r="W108" s="220"/>
      <c r="X108" s="220"/>
      <c r="Y108" s="355"/>
      <c r="Z108" s="355"/>
      <c r="AA108" s="355"/>
      <c r="AB108" s="355"/>
      <c r="AC108" s="355"/>
      <c r="AD108" s="355"/>
      <c r="AE108" s="805"/>
      <c r="AF108" s="805"/>
      <c r="AG108" s="207"/>
      <c r="AH108" s="207"/>
      <c r="AI108" s="207"/>
      <c r="AJ108" s="534"/>
      <c r="AK108" s="212"/>
    </row>
    <row r="109" spans="2:39">
      <c r="B109" s="915" t="s">
        <v>7787</v>
      </c>
      <c r="C109" s="915"/>
      <c r="D109" s="915"/>
      <c r="E109" s="915"/>
      <c r="F109" s="915"/>
      <c r="G109" s="915"/>
      <c r="H109" s="915"/>
      <c r="I109" s="915"/>
      <c r="J109" s="915"/>
      <c r="K109" s="915"/>
      <c r="L109" s="915"/>
      <c r="M109" s="915"/>
      <c r="N109" s="915"/>
      <c r="O109" s="915"/>
      <c r="P109" s="149"/>
      <c r="Q109" s="935" t="s">
        <v>7795</v>
      </c>
      <c r="R109" s="935"/>
      <c r="S109" s="935"/>
      <c r="T109" s="935"/>
      <c r="U109" s="935"/>
      <c r="V109" s="935"/>
      <c r="W109" s="935"/>
      <c r="X109" s="935"/>
      <c r="Y109" s="935"/>
      <c r="Z109" s="935"/>
      <c r="AA109" s="935"/>
      <c r="AB109" s="935"/>
      <c r="AC109" s="935"/>
      <c r="AD109" s="935"/>
      <c r="AE109" s="811"/>
      <c r="AF109" s="811"/>
      <c r="AG109" s="207"/>
      <c r="AH109" s="207"/>
      <c r="AI109" s="207"/>
      <c r="AJ109" s="214"/>
      <c r="AK109" s="214"/>
      <c r="AL109" s="59"/>
      <c r="AM109" s="59"/>
    </row>
    <row r="110" spans="2:39" s="149" customFormat="1">
      <c r="F110" s="220"/>
      <c r="G110" s="220"/>
      <c r="H110" s="220"/>
      <c r="I110" s="220"/>
      <c r="J110" s="220"/>
      <c r="N110" s="320"/>
      <c r="S110" s="220"/>
      <c r="T110" s="220"/>
      <c r="U110" s="220"/>
      <c r="V110" s="220"/>
      <c r="W110" s="220"/>
      <c r="X110" s="220"/>
      <c r="Y110" s="355"/>
      <c r="Z110" s="355"/>
      <c r="AA110" s="355"/>
      <c r="AB110" s="355"/>
      <c r="AC110" s="355"/>
      <c r="AD110" s="355"/>
      <c r="AE110" s="805"/>
      <c r="AF110" s="805"/>
      <c r="AG110" s="207"/>
      <c r="AH110" s="207"/>
      <c r="AI110" s="207"/>
      <c r="AJ110" s="534"/>
      <c r="AK110" s="212"/>
    </row>
    <row r="111" spans="2:39" s="149" customFormat="1" ht="14.25" customHeight="1">
      <c r="B111" s="1005"/>
      <c r="C111" s="1005"/>
      <c r="D111" s="1005"/>
      <c r="E111" s="1005"/>
      <c r="F111" s="1006"/>
      <c r="G111" s="1007"/>
      <c r="H111" s="1007"/>
      <c r="I111" s="1007"/>
      <c r="J111" s="1007"/>
      <c r="K111" s="1007"/>
      <c r="L111" s="1008"/>
      <c r="M111" s="1009"/>
      <c r="N111" s="1009"/>
      <c r="O111" s="1009"/>
      <c r="Q111" s="971" t="s">
        <v>6974</v>
      </c>
      <c r="R111" s="972"/>
      <c r="S111" s="933" t="s">
        <v>7666</v>
      </c>
      <c r="T111" s="934"/>
      <c r="U111" s="934"/>
      <c r="V111" s="934"/>
      <c r="W111" s="934"/>
      <c r="X111" s="934"/>
      <c r="Y111" s="955" t="s">
        <v>7543</v>
      </c>
      <c r="Z111" s="956"/>
      <c r="AA111" s="956"/>
      <c r="AB111" s="956"/>
      <c r="AC111" s="956"/>
      <c r="AD111" s="956"/>
      <c r="AE111" s="906" t="s">
        <v>7921</v>
      </c>
      <c r="AF111" s="799"/>
      <c r="AG111" s="207"/>
      <c r="AH111" s="207"/>
      <c r="AI111" s="207"/>
      <c r="AJ111" s="535"/>
      <c r="AK111" s="153"/>
    </row>
    <row r="112" spans="2:39" s="149" customFormat="1">
      <c r="B112" s="1005"/>
      <c r="C112" s="1005"/>
      <c r="D112" s="1005"/>
      <c r="E112" s="1005"/>
      <c r="F112" s="363"/>
      <c r="G112" s="363"/>
      <c r="H112" s="363"/>
      <c r="I112" s="363"/>
      <c r="J112" s="363"/>
      <c r="K112" s="364"/>
      <c r="L112" s="1009"/>
      <c r="M112" s="1009"/>
      <c r="N112" s="1009"/>
      <c r="O112" s="1009"/>
      <c r="Q112" s="896"/>
      <c r="R112" s="898"/>
      <c r="S112" s="312" t="s">
        <v>7434</v>
      </c>
      <c r="T112" s="312" t="s">
        <v>7060</v>
      </c>
      <c r="U112" s="312" t="s">
        <v>7061</v>
      </c>
      <c r="V112" s="312" t="s">
        <v>7062</v>
      </c>
      <c r="W112" s="312" t="s">
        <v>7063</v>
      </c>
      <c r="X112" s="369" t="s">
        <v>7436</v>
      </c>
      <c r="Y112" s="383" t="s">
        <v>7545</v>
      </c>
      <c r="Z112" s="383" t="s">
        <v>7546</v>
      </c>
      <c r="AA112" s="383" t="s">
        <v>7061</v>
      </c>
      <c r="AB112" s="383" t="s">
        <v>7062</v>
      </c>
      <c r="AC112" s="383" t="s">
        <v>7063</v>
      </c>
      <c r="AD112" s="384" t="s">
        <v>7436</v>
      </c>
      <c r="AE112" s="906"/>
      <c r="AF112" s="798"/>
      <c r="AG112" s="407" t="s">
        <v>7584</v>
      </c>
      <c r="AH112" s="207"/>
      <c r="AI112" s="207"/>
      <c r="AJ112" s="535"/>
      <c r="AK112" s="153"/>
    </row>
    <row r="113" spans="2:39" s="149" customFormat="1">
      <c r="B113" s="936"/>
      <c r="C113" s="936"/>
      <c r="D113" s="936"/>
      <c r="E113" s="150"/>
      <c r="F113" s="225"/>
      <c r="G113" s="225"/>
      <c r="H113" s="225"/>
      <c r="I113" s="225"/>
      <c r="J113" s="225"/>
      <c r="K113" s="152"/>
      <c r="L113" s="970"/>
      <c r="M113" s="970"/>
      <c r="N113" s="365"/>
      <c r="O113" s="366"/>
      <c r="Q113" s="923" t="str">
        <f>IFERROR(IF(MAX(資本財!$W$5:$W$30)&lt;1,"",INDEX(資本財!$D$5:$D$30,MATCH(ROW(T1),資本財!$W$5:$W$30,0))),"")</f>
        <v>蓄圧器</v>
      </c>
      <c r="R113" s="924"/>
      <c r="S113" s="728">
        <f>IFERROR(IF(INDEX(資本財!$C$5:$C$30,MATCH(ROW(R1),資本財!$W$5:$W$30,0))=S$112,INDEX(資本財!$P$5:$P$30,MATCH(ROW(R1),資本財!$W$5:$W$30,0))*$AG113,0),"")</f>
        <v>0.42607132461817798</v>
      </c>
      <c r="T113" s="728">
        <f>IFERROR(IF(INDEX(資本財!$C$5:$C$30,MATCH(ROW(S1),資本財!$W$5:$W$30,0))=T$112,INDEX(資本財!$P$5:$P$30,MATCH(ROW(S1),資本財!$W$5:$W$30,0))*$AG113,0),"")</f>
        <v>0</v>
      </c>
      <c r="U113" s="728">
        <f>IFERROR(IF(INDEX(資本財!$C$5:$C$30,MATCH(ROW(T1),資本財!$W$5:$W$30,0))=U$112,INDEX(資本財!$P$5:$P$30,MATCH(ROW(T1),資本財!$W$5:$W$30,0))*$AG113,0),"")</f>
        <v>0</v>
      </c>
      <c r="V113" s="728">
        <f>IFERROR(IF(INDEX(資本財!$C$5:$C$30,MATCH(ROW(U1),資本財!$W$5:$W$30,0))=V$112,INDEX(資本財!$P$5:$P$30,MATCH(ROW(U1),資本財!$W$5:$W$30,0))*$AG113,0),"")</f>
        <v>0</v>
      </c>
      <c r="W113" s="728">
        <f>IFERROR(IF(INDEX(資本財!$C$5:$C$30,MATCH(ROW(V1),資本財!$W$5:$W$30,0))=W$112,INDEX(資本財!$P$5:$P$30,MATCH(ROW(V1),資本財!$W$5:$W$30,0))*$AG113,0),"")</f>
        <v>0</v>
      </c>
      <c r="X113" s="733">
        <f>SUM(S113:W113)</f>
        <v>0.42607132461817798</v>
      </c>
      <c r="Y113" s="354">
        <f>IFERROR(S113*$AJ$170/('製造(P)'!$K$190+'貯蔵・輸送(ST)'!$K$190+'供給(D)'!$K$190),"")</f>
        <v>4.5122062537413521E-3</v>
      </c>
      <c r="Z113" s="354">
        <f>IFERROR(T113*$AJ$170/('製造(P)'!$K$190+'貯蔵・輸送(ST)'!$K$190+'供給(D)'!$K$190),"")</f>
        <v>0</v>
      </c>
      <c r="AA113" s="354">
        <f>IFERROR(U113*$AJ$170/('製造(P)'!$K$190+'貯蔵・輸送(ST)'!$K$190+'供給(D)'!$K$190),"")</f>
        <v>0</v>
      </c>
      <c r="AB113" s="354">
        <f>IFERROR(V113*$AJ$170/('製造(P)'!$K$190+'貯蔵・輸送(ST)'!$K$190+'供給(D)'!$K$190),"")</f>
        <v>0</v>
      </c>
      <c r="AC113" s="354">
        <f>IFERROR(W113*$AJ$170/('製造(P)'!$K$190+'貯蔵・輸送(ST)'!$K$190+'供給(D)'!$K$190),"")</f>
        <v>0</v>
      </c>
      <c r="AD113" s="778">
        <f>IFERROR(IF(X113=0,"",X113*$AJ$170/('製造(P)'!$K$190+'貯蔵・輸送(ST)'!$K$190+'供給(D)'!$K$190)),"")</f>
        <v>4.5122062537413521E-3</v>
      </c>
      <c r="AE113" s="685"/>
      <c r="AF113" s="808"/>
      <c r="AG113" s="408">
        <f>IFERROR(IF(INDEX(資本財!$H$5:$H$30,MATCH(ROW(R1),資本財!$W$5:$W$30,0))="[Nm3]",$D$6,IF(INDEX(資本財!$H$5:$H$30,MATCH(ROW(R1),資本財!$W$5:$W$30,0))="[MJ]",$D$10,IF(INDEX(資本財!$H$5:$H$30,MATCH(ROW(R1),資本財!$W$5:$W$30,0))="[kg]",$D$9,""))),"")</f>
        <v>100</v>
      </c>
      <c r="AH113" s="207"/>
      <c r="AI113" s="207"/>
      <c r="AJ113" s="535"/>
      <c r="AK113" s="153"/>
    </row>
    <row r="114" spans="2:39" s="149" customFormat="1" ht="15" customHeight="1">
      <c r="B114" s="936"/>
      <c r="C114" s="936"/>
      <c r="D114" s="936"/>
      <c r="E114" s="150"/>
      <c r="F114" s="225"/>
      <c r="G114" s="225"/>
      <c r="H114" s="225"/>
      <c r="I114" s="225"/>
      <c r="J114" s="225"/>
      <c r="K114" s="152"/>
      <c r="L114" s="970"/>
      <c r="M114" s="970"/>
      <c r="N114" s="365"/>
      <c r="O114" s="366"/>
      <c r="Q114" s="923" t="str">
        <f>IFERROR(IF(MAX(資本財!$W$5:$W$30)&lt;1,"",INDEX(資本財!$D$5:$D$30,MATCH(ROW(T2),資本財!$W$5:$W$30,0))),"")</f>
        <v>プレクーラー</v>
      </c>
      <c r="R114" s="924"/>
      <c r="S114" s="728">
        <f>IFERROR(IF(INDEX(資本財!$C$5:$C$30,MATCH(ROW(R2),資本財!$W$5:$W$30,0))=S$112,INDEX(資本財!$P$5:$P$30,MATCH(ROW(R2),資本財!$W$5:$W$30,0))*$AG114,0),"")</f>
        <v>0</v>
      </c>
      <c r="T114" s="728">
        <f>IFERROR(IF(INDEX(資本財!$C$5:$C$30,MATCH(ROW(S2),資本財!$W$5:$W$30,0))=T$112,INDEX(資本財!$P$5:$P$30,MATCH(ROW(S2),資本財!$W$5:$W$30,0))*$AG114,0),"")</f>
        <v>0.45159301990177664</v>
      </c>
      <c r="U114" s="728">
        <f>IFERROR(IF(INDEX(資本財!$C$5:$C$30,MATCH(ROW(T2),資本財!$W$5:$W$30,0))=U$112,INDEX(資本財!$P$5:$P$30,MATCH(ROW(T2),資本財!$W$5:$W$30,0))*$AG114,0),"")</f>
        <v>0</v>
      </c>
      <c r="V114" s="728">
        <f>IFERROR(IF(INDEX(資本財!$C$5:$C$30,MATCH(ROW(U2),資本財!$W$5:$W$30,0))=V$112,INDEX(資本財!$P$5:$P$30,MATCH(ROW(U2),資本財!$W$5:$W$30,0))*$AG114,0),"")</f>
        <v>0</v>
      </c>
      <c r="W114" s="728">
        <f>IFERROR(IF(INDEX(資本財!$C$5:$C$30,MATCH(ROW(V2),資本財!$W$5:$W$30,0))=W$112,INDEX(資本財!$P$5:$P$30,MATCH(ROW(V2),資本財!$W$5:$W$30,0))*$AG114,0),"")</f>
        <v>0</v>
      </c>
      <c r="X114" s="733">
        <f t="shared" ref="X114:X122" si="49">SUM(S114:W114)</f>
        <v>0.45159301990177664</v>
      </c>
      <c r="Y114" s="354">
        <f>IFERROR(S114*$AJ$170/('製造(P)'!$K$190+'貯蔵・輸送(ST)'!$K$190+'供給(D)'!$K$190),"")</f>
        <v>0</v>
      </c>
      <c r="Z114" s="354">
        <f>IFERROR(T114*$AJ$170/('製造(P)'!$K$190+'貯蔵・輸送(ST)'!$K$190+'供給(D)'!$K$190),"")</f>
        <v>4.7824876512701214E-3</v>
      </c>
      <c r="AA114" s="354">
        <f>IFERROR(U114*$AJ$170/('製造(P)'!$K$190+'貯蔵・輸送(ST)'!$K$190+'供給(D)'!$K$190),"")</f>
        <v>0</v>
      </c>
      <c r="AB114" s="354">
        <f>IFERROR(V114*$AJ$170/('製造(P)'!$K$190+'貯蔵・輸送(ST)'!$K$190+'供給(D)'!$K$190),"")</f>
        <v>0</v>
      </c>
      <c r="AC114" s="354">
        <f>IFERROR(W114*$AJ$170/('製造(P)'!$K$190+'貯蔵・輸送(ST)'!$K$190+'供給(D)'!$K$190),"")</f>
        <v>0</v>
      </c>
      <c r="AD114" s="778">
        <f>IFERROR(IF(X114=0,"",X114*$AJ$170/('製造(P)'!$K$190+'貯蔵・輸送(ST)'!$K$190+'供給(D)'!$K$190)),"")</f>
        <v>4.7824876512701214E-3</v>
      </c>
      <c r="AE114" s="685"/>
      <c r="AF114" s="808"/>
      <c r="AG114" s="408">
        <f>IFERROR(IF(INDEX(資本財!$H$5:$H$30,MATCH(ROW(R2),資本財!$W$5:$W$30,0))="[Nm3]",$D$6,IF(INDEX(資本財!$H$5:$H$30,MATCH(ROW(R2),資本財!$W$5:$W$30,0))="[MJ]",$D$10,IF(INDEX(資本財!$H$5:$H$30,MATCH(ROW(R2),資本財!$W$5:$W$30,0))="[kg]",$D$9,""))),"")</f>
        <v>100</v>
      </c>
      <c r="AH114" s="207"/>
      <c r="AI114" s="207"/>
      <c r="AJ114" s="535"/>
      <c r="AK114" s="153"/>
    </row>
    <row r="115" spans="2:39" s="149" customFormat="1" ht="15" customHeight="1">
      <c r="B115" s="936"/>
      <c r="C115" s="936"/>
      <c r="D115" s="936"/>
      <c r="E115" s="150"/>
      <c r="F115" s="225"/>
      <c r="G115" s="225"/>
      <c r="H115" s="225"/>
      <c r="I115" s="225"/>
      <c r="J115" s="225"/>
      <c r="K115" s="152"/>
      <c r="L115" s="970"/>
      <c r="M115" s="970"/>
      <c r="N115" s="365"/>
      <c r="O115" s="366"/>
      <c r="Q115" s="923" t="str">
        <f>IFERROR(IF(MAX(資本財!$W$5:$W$30)&lt;1,"",INDEX(資本財!$D$5:$D$30,MATCH(ROW(T3),資本財!$W$5:$W$30,0))),"")</f>
        <v>ディスペンサ</v>
      </c>
      <c r="R115" s="924"/>
      <c r="S115" s="728">
        <f>IFERROR(IF(INDEX(資本財!$C$5:$C$30,MATCH(ROW(R3),資本財!$W$5:$W$30,0))=S$112,INDEX(資本財!$P$5:$P$30,MATCH(ROW(R3),資本財!$W$5:$W$30,0))*$AG115,0),"")</f>
        <v>0</v>
      </c>
      <c r="T115" s="728">
        <f>IFERROR(IF(INDEX(資本財!$C$5:$C$30,MATCH(ROW(S3),資本財!$W$5:$W$30,0))=T$112,INDEX(資本財!$P$5:$P$30,MATCH(ROW(S3),資本財!$W$5:$W$30,0))*$AG115,0),"")</f>
        <v>0.42607132461817798</v>
      </c>
      <c r="U115" s="728">
        <f>IFERROR(IF(INDEX(資本財!$C$5:$C$30,MATCH(ROW(T3),資本財!$W$5:$W$30,0))=U$112,INDEX(資本財!$P$5:$P$30,MATCH(ROW(T3),資本財!$W$5:$W$30,0))*$AG115,0),"")</f>
        <v>0</v>
      </c>
      <c r="V115" s="728">
        <f>IFERROR(IF(INDEX(資本財!$C$5:$C$30,MATCH(ROW(U3),資本財!$W$5:$W$30,0))=V$112,INDEX(資本財!$P$5:$P$30,MATCH(ROW(U3),資本財!$W$5:$W$30,0))*$AG115,0),"")</f>
        <v>0</v>
      </c>
      <c r="W115" s="728">
        <f>IFERROR(IF(INDEX(資本財!$C$5:$C$30,MATCH(ROW(V3),資本財!$W$5:$W$30,0))=W$112,INDEX(資本財!$P$5:$P$30,MATCH(ROW(V3),資本財!$W$5:$W$30,0))*$AG115,0),"")</f>
        <v>0</v>
      </c>
      <c r="X115" s="733">
        <f t="shared" si="49"/>
        <v>0.42607132461817798</v>
      </c>
      <c r="Y115" s="354">
        <f>IFERROR(S115*$AJ$170/('製造(P)'!$K$190+'貯蔵・輸送(ST)'!$K$190+'供給(D)'!$K$190),"")</f>
        <v>0</v>
      </c>
      <c r="Z115" s="354">
        <f>IFERROR(T115*$AJ$170/('製造(P)'!$K$190+'貯蔵・輸送(ST)'!$K$190+'供給(D)'!$K$190),"")</f>
        <v>4.5122062537413521E-3</v>
      </c>
      <c r="AA115" s="354">
        <f>IFERROR(U115*$AJ$170/('製造(P)'!$K$190+'貯蔵・輸送(ST)'!$K$190+'供給(D)'!$K$190),"")</f>
        <v>0</v>
      </c>
      <c r="AB115" s="354">
        <f>IFERROR(V115*$AJ$170/('製造(P)'!$K$190+'貯蔵・輸送(ST)'!$K$190+'供給(D)'!$K$190),"")</f>
        <v>0</v>
      </c>
      <c r="AC115" s="354">
        <f>IFERROR(W115*$AJ$170/('製造(P)'!$K$190+'貯蔵・輸送(ST)'!$K$190+'供給(D)'!$K$190),"")</f>
        <v>0</v>
      </c>
      <c r="AD115" s="778">
        <f>IFERROR(IF(X115=0,"",X115*$AJ$170/('製造(P)'!$K$190+'貯蔵・輸送(ST)'!$K$190+'供給(D)'!$K$190)),"")</f>
        <v>4.5122062537413521E-3</v>
      </c>
      <c r="AE115" s="685"/>
      <c r="AF115" s="808"/>
      <c r="AG115" s="408">
        <f>IFERROR(IF(INDEX(資本財!$H$5:$H$30,MATCH(ROW(R3),資本財!$W$5:$W$30,0))="[Nm3]",$D$6,IF(INDEX(資本財!$H$5:$H$30,MATCH(ROW(R3),資本財!$W$5:$W$30,0))="[MJ]",$D$10,IF(INDEX(資本財!$H$5:$H$30,MATCH(ROW(R3),資本財!$W$5:$W$30,0))="[kg]",$D$9,""))),"")</f>
        <v>100</v>
      </c>
      <c r="AH115" s="207"/>
      <c r="AI115" s="207"/>
      <c r="AJ115" s="535"/>
      <c r="AK115" s="153"/>
    </row>
    <row r="116" spans="2:39" s="149" customFormat="1" ht="15" customHeight="1">
      <c r="B116" s="936"/>
      <c r="C116" s="936"/>
      <c r="D116" s="936"/>
      <c r="E116" s="150"/>
      <c r="F116" s="225"/>
      <c r="G116" s="225"/>
      <c r="H116" s="225"/>
      <c r="I116" s="225"/>
      <c r="J116" s="225"/>
      <c r="K116" s="152"/>
      <c r="L116" s="970"/>
      <c r="M116" s="970"/>
      <c r="N116" s="365"/>
      <c r="O116" s="366"/>
      <c r="Q116" s="923" t="str">
        <f>IFERROR(IF(MAX(資本財!$W$5:$W$30)&lt;1,"",INDEX(資本財!$D$5:$D$30,MATCH(ROW(T4),資本財!$W$5:$W$30,0))),"")</f>
        <v>保安設備</v>
      </c>
      <c r="R116" s="924"/>
      <c r="S116" s="728">
        <f>IFERROR(IF(INDEX(資本財!$C$5:$C$30,MATCH(ROW(R4),資本財!$W$5:$W$30,0))=S$112,INDEX(資本財!$P$5:$P$30,MATCH(ROW(R4),資本財!$W$5:$W$30,0))*$AG116,0),"")</f>
        <v>0</v>
      </c>
      <c r="T116" s="728">
        <f>IFERROR(IF(INDEX(資本財!$C$5:$C$30,MATCH(ROW(S4),資本財!$W$5:$W$30,0))=T$112,INDEX(資本財!$P$5:$P$30,MATCH(ROW(S4),資本財!$W$5:$W$30,0))*$AG116,0),"")</f>
        <v>0</v>
      </c>
      <c r="U116" s="728">
        <f>IFERROR(IF(INDEX(資本財!$C$5:$C$30,MATCH(ROW(T4),資本財!$W$5:$W$30,0))=U$112,INDEX(資本財!$P$5:$P$30,MATCH(ROW(T4),資本財!$W$5:$W$30,0))*$AG116,0),"")</f>
        <v>0.76069692721504933</v>
      </c>
      <c r="V116" s="728">
        <f>IFERROR(IF(INDEX(資本財!$C$5:$C$30,MATCH(ROW(U4),資本財!$W$5:$W$30,0))=V$112,INDEX(資本財!$P$5:$P$30,MATCH(ROW(U4),資本財!$W$5:$W$30,0))*$AG116,0),"")</f>
        <v>0</v>
      </c>
      <c r="W116" s="728">
        <f>IFERROR(IF(INDEX(資本財!$C$5:$C$30,MATCH(ROW(V4),資本財!$W$5:$W$30,0))=W$112,INDEX(資本財!$P$5:$P$30,MATCH(ROW(V4),資本財!$W$5:$W$30,0))*$AG116,0),"")</f>
        <v>0</v>
      </c>
      <c r="X116" s="733">
        <f t="shared" si="49"/>
        <v>0.76069692721504933</v>
      </c>
      <c r="Y116" s="354">
        <f>IFERROR(S116*$AJ$170/('製造(P)'!$K$190+'貯蔵・輸送(ST)'!$K$190+'供給(D)'!$K$190),"")</f>
        <v>0</v>
      </c>
      <c r="Z116" s="354">
        <f>IFERROR(T116*$AJ$170/('製造(P)'!$K$190+'貯蔵・輸送(ST)'!$K$190+'供給(D)'!$K$190),"")</f>
        <v>0</v>
      </c>
      <c r="AA116" s="354">
        <f>IFERROR(U116*$AJ$170/('製造(P)'!$K$190+'貯蔵・輸送(ST)'!$K$190+'供給(D)'!$K$190),"")</f>
        <v>8.0559785037341482E-3</v>
      </c>
      <c r="AB116" s="354">
        <f>IFERROR(V116*$AJ$170/('製造(P)'!$K$190+'貯蔵・輸送(ST)'!$K$190+'供給(D)'!$K$190),"")</f>
        <v>0</v>
      </c>
      <c r="AC116" s="354">
        <f>IFERROR(W116*$AJ$170/('製造(P)'!$K$190+'貯蔵・輸送(ST)'!$K$190+'供給(D)'!$K$190),"")</f>
        <v>0</v>
      </c>
      <c r="AD116" s="778">
        <f>IFERROR(IF(X116=0,"",X116*$AJ$170/('製造(P)'!$K$190+'貯蔵・輸送(ST)'!$K$190+'供給(D)'!$K$190)),"")</f>
        <v>8.0559785037341482E-3</v>
      </c>
      <c r="AE116" s="685"/>
      <c r="AF116" s="808"/>
      <c r="AG116" s="408">
        <f>IFERROR(IF(INDEX(資本財!$H$5:$H$30,MATCH(ROW(R4),資本財!$W$5:$W$30,0))="[Nm3]",$D$6,IF(INDEX(資本財!$H$5:$H$30,MATCH(ROW(R4),資本財!$W$5:$W$30,0))="[MJ]",$D$10,IF(INDEX(資本財!$H$5:$H$30,MATCH(ROW(R4),資本財!$W$5:$W$30,0))="[kg]",$D$9,""))),"")</f>
        <v>100</v>
      </c>
      <c r="AH116" s="207"/>
      <c r="AI116" s="207"/>
      <c r="AJ116" s="535"/>
      <c r="AK116" s="153"/>
    </row>
    <row r="117" spans="2:39" s="149" customFormat="1" ht="15" customHeight="1">
      <c r="B117" s="936"/>
      <c r="C117" s="936"/>
      <c r="D117" s="936"/>
      <c r="E117" s="150"/>
      <c r="F117" s="225"/>
      <c r="G117" s="225"/>
      <c r="H117" s="225"/>
      <c r="I117" s="225"/>
      <c r="J117" s="225"/>
      <c r="K117" s="152"/>
      <c r="L117" s="970"/>
      <c r="M117" s="970"/>
      <c r="N117" s="365"/>
      <c r="O117" s="366"/>
      <c r="Q117" s="923" t="str">
        <f>IFERROR(IF(MAX(資本財!$W$5:$W$30)&lt;1,"",INDEX(資本財!$D$5:$D$30,MATCH(ROW(T5),資本財!$W$5:$W$30,0))),"")</f>
        <v/>
      </c>
      <c r="R117" s="924"/>
      <c r="S117" s="728" t="str">
        <f>IFERROR(IF(INDEX(資本財!$C$5:$C$30,MATCH(ROW(R5),資本財!$W$5:$W$30,0))=S$112,INDEX(資本財!$P$5:$P$30,MATCH(ROW(R5),資本財!$W$5:$W$30,0))*$AG117,0),"")</f>
        <v/>
      </c>
      <c r="T117" s="728" t="str">
        <f>IFERROR(IF(INDEX(資本財!$C$5:$C$30,MATCH(ROW(S5),資本財!$W$5:$W$30,0))=T$112,INDEX(資本財!$P$5:$P$30,MATCH(ROW(S5),資本財!$W$5:$W$30,0))*$AG117,0),"")</f>
        <v/>
      </c>
      <c r="U117" s="728" t="str">
        <f>IFERROR(IF(INDEX(資本財!$C$5:$C$30,MATCH(ROW(T5),資本財!$W$5:$W$30,0))=U$112,INDEX(資本財!$P$5:$P$30,MATCH(ROW(T5),資本財!$W$5:$W$30,0))*$AG117,0),"")</f>
        <v/>
      </c>
      <c r="V117" s="728" t="str">
        <f>IFERROR(IF(INDEX(資本財!$C$5:$C$30,MATCH(ROW(U5),資本財!$W$5:$W$30,0))=V$112,INDEX(資本財!$P$5:$P$30,MATCH(ROW(U5),資本財!$W$5:$W$30,0))*$AG117,0),"")</f>
        <v/>
      </c>
      <c r="W117" s="728" t="str">
        <f>IFERROR(IF(INDEX(資本財!$C$5:$C$30,MATCH(ROW(V5),資本財!$W$5:$W$30,0))=W$112,INDEX(資本財!$P$5:$P$30,MATCH(ROW(V5),資本財!$W$5:$W$30,0))*$AG117,0),"")</f>
        <v/>
      </c>
      <c r="X117" s="733">
        <f t="shared" si="49"/>
        <v>0</v>
      </c>
      <c r="Y117" s="354" t="str">
        <f>IFERROR(S117*$AJ$170/('製造(P)'!$K$190+'貯蔵・輸送(ST)'!$K$190+'供給(D)'!$K$190),"")</f>
        <v/>
      </c>
      <c r="Z117" s="354" t="str">
        <f>IFERROR(T117*$AJ$170/('製造(P)'!$K$190+'貯蔵・輸送(ST)'!$K$190+'供給(D)'!$K$190),"")</f>
        <v/>
      </c>
      <c r="AA117" s="354" t="str">
        <f>IFERROR(U117*$AJ$170/('製造(P)'!$K$190+'貯蔵・輸送(ST)'!$K$190+'供給(D)'!$K$190),"")</f>
        <v/>
      </c>
      <c r="AB117" s="354" t="str">
        <f>IFERROR(V117*$AJ$170/('製造(P)'!$K$190+'貯蔵・輸送(ST)'!$K$190+'供給(D)'!$K$190),"")</f>
        <v/>
      </c>
      <c r="AC117" s="354" t="str">
        <f>IFERROR(W117*$AJ$170/('製造(P)'!$K$190+'貯蔵・輸送(ST)'!$K$190+'供給(D)'!$K$190),"")</f>
        <v/>
      </c>
      <c r="AD117" s="778" t="str">
        <f>IFERROR(IF(X117=0,"",X117*$AJ$170/('製造(P)'!$K$190+'貯蔵・輸送(ST)'!$K$190+'供給(D)'!$K$190)),"")</f>
        <v/>
      </c>
      <c r="AE117" s="685"/>
      <c r="AF117" s="808"/>
      <c r="AG117" s="408" t="str">
        <f>IFERROR(IF(INDEX(資本財!$H$5:$H$30,MATCH(ROW(R5),資本財!$W$5:$W$30,0))="[Nm3]",$D$6,IF(INDEX(資本財!$H$5:$H$30,MATCH(ROW(R5),資本財!$W$5:$W$30,0))="[MJ]",$D$10,IF(INDEX(資本財!$H$5:$H$30,MATCH(ROW(R5),資本財!$W$5:$W$30,0))="[kg]",$D$9,""))),"")</f>
        <v/>
      </c>
      <c r="AH117" s="207"/>
      <c r="AI117" s="207"/>
      <c r="AJ117" s="535"/>
      <c r="AK117" s="153"/>
    </row>
    <row r="118" spans="2:39" s="149" customFormat="1" ht="15" customHeight="1">
      <c r="B118" s="936"/>
      <c r="C118" s="936"/>
      <c r="D118" s="936"/>
      <c r="E118" s="150"/>
      <c r="F118" s="225"/>
      <c r="G118" s="225"/>
      <c r="H118" s="225"/>
      <c r="I118" s="225"/>
      <c r="J118" s="225"/>
      <c r="K118" s="152"/>
      <c r="L118" s="367"/>
      <c r="M118" s="367"/>
      <c r="N118" s="365"/>
      <c r="O118" s="366"/>
      <c r="Q118" s="923" t="str">
        <f>IFERROR(IF(MAX(資本財!$W$5:$W$30)&lt;1,"",INDEX(資本財!$D$5:$D$30,MATCH(ROW(#REF!),資本財!$W$5:$W$30,0))),"")</f>
        <v/>
      </c>
      <c r="R118" s="924"/>
      <c r="S118" s="728" t="str">
        <f>IFERROR(IF(INDEX(資本財!$C$5:$C$30,MATCH(ROW(R6),資本財!$W$5:$W$30,0))=S$112,INDEX(資本財!$P$5:$P$30,MATCH(ROW(R6),資本財!$W$5:$W$30,0))*$AG118,0),"")</f>
        <v/>
      </c>
      <c r="T118" s="728" t="str">
        <f>IFERROR(IF(INDEX(資本財!$C$5:$C$30,MATCH(ROW(S6),資本財!$W$5:$W$30,0))=T$112,INDEX(資本財!$P$5:$P$30,MATCH(ROW(S6),資本財!$W$5:$W$30,0))*$AG118,0),"")</f>
        <v/>
      </c>
      <c r="U118" s="728" t="str">
        <f>IFERROR(IF(INDEX(資本財!$C$5:$C$30,MATCH(ROW(T6),資本財!$W$5:$W$30,0))=U$112,INDEX(資本財!$P$5:$P$30,MATCH(ROW(T6),資本財!$W$5:$W$30,0))*$AG118,0),"")</f>
        <v/>
      </c>
      <c r="V118" s="728" t="str">
        <f>IFERROR(IF(INDEX(資本財!$C$5:$C$30,MATCH(ROW(U6),資本財!$W$5:$W$30,0))=V$112,INDEX(資本財!$P$5:$P$30,MATCH(ROW(U6),資本財!$W$5:$W$30,0))*$AG118,0),"")</f>
        <v/>
      </c>
      <c r="W118" s="728" t="str">
        <f>IFERROR(IF(INDEX(資本財!$C$5:$C$30,MATCH(ROW(V6),資本財!$W$5:$W$30,0))=W$112,INDEX(資本財!$P$5:$P$30,MATCH(ROW(V6),資本財!$W$5:$W$30,0))*$AG118,0),"")</f>
        <v/>
      </c>
      <c r="X118" s="733">
        <f t="shared" si="49"/>
        <v>0</v>
      </c>
      <c r="Y118" s="354" t="str">
        <f>IFERROR(S118*$AJ$170/('製造(P)'!$K$190+'貯蔵・輸送(ST)'!$K$190+'供給(D)'!$K$190),"")</f>
        <v/>
      </c>
      <c r="Z118" s="354" t="str">
        <f>IFERROR(T118*$AJ$170/('製造(P)'!$K$190+'貯蔵・輸送(ST)'!$K$190+'供給(D)'!$K$190),"")</f>
        <v/>
      </c>
      <c r="AA118" s="354" t="str">
        <f>IFERROR(U118*$AJ$170/('製造(P)'!$K$190+'貯蔵・輸送(ST)'!$K$190+'供給(D)'!$K$190),"")</f>
        <v/>
      </c>
      <c r="AB118" s="354" t="str">
        <f>IFERROR(V118*$AJ$170/('製造(P)'!$K$190+'貯蔵・輸送(ST)'!$K$190+'供給(D)'!$K$190),"")</f>
        <v/>
      </c>
      <c r="AC118" s="354" t="str">
        <f>IFERROR(W118*$AJ$170/('製造(P)'!$K$190+'貯蔵・輸送(ST)'!$K$190+'供給(D)'!$K$190),"")</f>
        <v/>
      </c>
      <c r="AD118" s="778" t="str">
        <f>IFERROR(IF(X118=0,"",X118*$AJ$170/('製造(P)'!$K$190+'貯蔵・輸送(ST)'!$K$190+'供給(D)'!$K$190)),"")</f>
        <v/>
      </c>
      <c r="AE118" s="685"/>
      <c r="AF118" s="808"/>
      <c r="AG118" s="408" t="str">
        <f>IFERROR(IF(INDEX(資本財!$H$5:$H$30,MATCH(ROW(R6),資本財!$W$5:$W$30,0))="[Nm3]",$D$6,IF(INDEX(資本財!$H$5:$H$30,MATCH(ROW(R6),資本財!$W$5:$W$30,0))="[MJ]",$D$10,IF(INDEX(資本財!$H$5:$H$30,MATCH(ROW(R6),資本財!$W$5:$W$30,0))="[kg]",$D$9,""))),"")</f>
        <v/>
      </c>
      <c r="AH118" s="207"/>
      <c r="AI118" s="207"/>
      <c r="AJ118" s="535"/>
      <c r="AK118" s="153"/>
    </row>
    <row r="119" spans="2:39" s="149" customFormat="1" ht="15" customHeight="1">
      <c r="B119" s="936"/>
      <c r="C119" s="936"/>
      <c r="D119" s="936"/>
      <c r="E119" s="150"/>
      <c r="F119" s="225"/>
      <c r="G119" s="225"/>
      <c r="H119" s="225"/>
      <c r="I119" s="225"/>
      <c r="J119" s="225"/>
      <c r="K119" s="152"/>
      <c r="L119" s="367"/>
      <c r="M119" s="367"/>
      <c r="N119" s="365"/>
      <c r="O119" s="366"/>
      <c r="Q119" s="923" t="str">
        <f>IFERROR(IF(MAX(資本財!$W$5:$W$30)&lt;1,"",INDEX(資本財!$D$5:$D$30,MATCH(ROW(T6),資本財!$W$5:$W$30,0))),"")</f>
        <v/>
      </c>
      <c r="R119" s="924"/>
      <c r="S119" s="728" t="str">
        <f>IFERROR(IF(INDEX(資本財!$C$5:$C$30,MATCH(ROW(R7),資本財!$W$5:$W$30,0))=S$112,INDEX(資本財!$P$5:$P$30,MATCH(ROW(R7),資本財!$W$5:$W$30,0))*$AG119,0),"")</f>
        <v/>
      </c>
      <c r="T119" s="728" t="str">
        <f>IFERROR(IF(INDEX(資本財!$C$5:$C$30,MATCH(ROW(S7),資本財!$W$5:$W$30,0))=T$112,INDEX(資本財!$P$5:$P$30,MATCH(ROW(S7),資本財!$W$5:$W$30,0))*$AG119,0),"")</f>
        <v/>
      </c>
      <c r="U119" s="728" t="str">
        <f>IFERROR(IF(INDEX(資本財!$C$5:$C$30,MATCH(ROW(T7),資本財!$W$5:$W$30,0))=U$112,INDEX(資本財!$P$5:$P$30,MATCH(ROW(T7),資本財!$W$5:$W$30,0))*$AG119,0),"")</f>
        <v/>
      </c>
      <c r="V119" s="728" t="str">
        <f>IFERROR(IF(INDEX(資本財!$C$5:$C$30,MATCH(ROW(U7),資本財!$W$5:$W$30,0))=V$112,INDEX(資本財!$P$5:$P$30,MATCH(ROW(U7),資本財!$W$5:$W$30,0))*$AG119,0),"")</f>
        <v/>
      </c>
      <c r="W119" s="728" t="str">
        <f>IFERROR(IF(INDEX(資本財!$C$5:$C$30,MATCH(ROW(V7),資本財!$W$5:$W$30,0))=W$112,INDEX(資本財!$P$5:$P$30,MATCH(ROW(V7),資本財!$W$5:$W$30,0))*$AG119,0),"")</f>
        <v/>
      </c>
      <c r="X119" s="733">
        <f t="shared" si="49"/>
        <v>0</v>
      </c>
      <c r="Y119" s="354" t="str">
        <f>IFERROR(S119*$AJ$170/('製造(P)'!$K$190+'貯蔵・輸送(ST)'!$K$190+'供給(D)'!$K$190),"")</f>
        <v/>
      </c>
      <c r="Z119" s="354" t="str">
        <f>IFERROR(T119*$AJ$170/('製造(P)'!$K$190+'貯蔵・輸送(ST)'!$K$190+'供給(D)'!$K$190),"")</f>
        <v/>
      </c>
      <c r="AA119" s="354" t="str">
        <f>IFERROR(U119*$AJ$170/('製造(P)'!$K$190+'貯蔵・輸送(ST)'!$K$190+'供給(D)'!$K$190),"")</f>
        <v/>
      </c>
      <c r="AB119" s="354" t="str">
        <f>IFERROR(V119*$AJ$170/('製造(P)'!$K$190+'貯蔵・輸送(ST)'!$K$190+'供給(D)'!$K$190),"")</f>
        <v/>
      </c>
      <c r="AC119" s="354" t="str">
        <f>IFERROR(W119*$AJ$170/('製造(P)'!$K$190+'貯蔵・輸送(ST)'!$K$190+'供給(D)'!$K$190),"")</f>
        <v/>
      </c>
      <c r="AD119" s="778" t="str">
        <f>IFERROR(IF(X119=0,"",X119*$AJ$170/('製造(P)'!$K$190+'貯蔵・輸送(ST)'!$K$190+'供給(D)'!$K$190)),"")</f>
        <v/>
      </c>
      <c r="AE119" s="685"/>
      <c r="AF119" s="808"/>
      <c r="AG119" s="408" t="str">
        <f>IFERROR(IF(INDEX(資本財!$H$5:$H$30,MATCH(ROW(R7),資本財!$W$5:$W$30,0))="[Nm3]",$D$6,IF(INDEX(資本財!$H$5:$H$30,MATCH(ROW(R7),資本財!$W$5:$W$30,0))="[MJ]",$D$10,IF(INDEX(資本財!$H$5:$H$30,MATCH(ROW(R7),資本財!$W$5:$W$30,0))="[kg]",$D$9,""))),"")</f>
        <v/>
      </c>
      <c r="AH119" s="207"/>
      <c r="AI119" s="207"/>
      <c r="AJ119" s="535"/>
      <c r="AK119" s="153"/>
    </row>
    <row r="120" spans="2:39" s="149" customFormat="1" ht="15" customHeight="1">
      <c r="B120" s="936"/>
      <c r="C120" s="936"/>
      <c r="D120" s="936"/>
      <c r="E120" s="150"/>
      <c r="F120" s="225"/>
      <c r="G120" s="225"/>
      <c r="H120" s="225"/>
      <c r="I120" s="225"/>
      <c r="J120" s="225"/>
      <c r="K120" s="152"/>
      <c r="L120" s="367"/>
      <c r="M120" s="367"/>
      <c r="N120" s="365"/>
      <c r="O120" s="366"/>
      <c r="Q120" s="1075" t="str">
        <f>IFERROR(IF(MAX(資本財!$W$5:$W$30)&lt;1,"",INDEX(資本財!$D$5:$D$30,MATCH(ROW(T7),資本財!$W$5:$W$30,0))),"")</f>
        <v/>
      </c>
      <c r="R120" s="1076"/>
      <c r="S120" s="728" t="str">
        <f>IFERROR(IF(INDEX(資本財!$C$5:$C$30,MATCH(ROW(R8),資本財!$W$5:$W$30,0))=S$112,INDEX(資本財!$P$5:$P$30,MATCH(ROW(R8),資本財!$W$5:$W$30,0))*$AG120,0),"")</f>
        <v/>
      </c>
      <c r="T120" s="728" t="str">
        <f>IFERROR(IF(INDEX(資本財!$C$5:$C$30,MATCH(ROW(S8),資本財!$W$5:$W$30,0))=T$112,INDEX(資本財!$P$5:$P$30,MATCH(ROW(S8),資本財!$W$5:$W$30,0))*$AG120,0),"")</f>
        <v/>
      </c>
      <c r="U120" s="728" t="str">
        <f>IFERROR(IF(INDEX(資本財!$C$5:$C$30,MATCH(ROW(T8),資本財!$W$5:$W$30,0))=U$112,INDEX(資本財!$P$5:$P$30,MATCH(ROW(T8),資本財!$W$5:$W$30,0))*$AG120,0),"")</f>
        <v/>
      </c>
      <c r="V120" s="728" t="str">
        <f>IFERROR(IF(INDEX(資本財!$C$5:$C$30,MATCH(ROW(U8),資本財!$W$5:$W$30,0))=V$112,INDEX(資本財!$P$5:$P$30,MATCH(ROW(U8),資本財!$W$5:$W$30,0))*$AG120,0),"")</f>
        <v/>
      </c>
      <c r="W120" s="728" t="str">
        <f>IFERROR(IF(INDEX(資本財!$C$5:$C$30,MATCH(ROW(V8),資本財!$W$5:$W$30,0))=W$112,INDEX(資本財!$P$5:$P$30,MATCH(ROW(V8),資本財!$W$5:$W$30,0))*$AG120,0),"")</f>
        <v/>
      </c>
      <c r="X120" s="705">
        <f t="shared" si="49"/>
        <v>0</v>
      </c>
      <c r="Y120" s="354" t="str">
        <f>IFERROR(S120*$AJ$170/('製造(P)'!$K$190+'貯蔵・輸送(ST)'!$K$190+'供給(D)'!$K$190),"")</f>
        <v/>
      </c>
      <c r="Z120" s="354" t="str">
        <f>IFERROR(T120*$AJ$170/('製造(P)'!$K$190+'貯蔵・輸送(ST)'!$K$190+'供給(D)'!$K$190),"")</f>
        <v/>
      </c>
      <c r="AA120" s="354" t="str">
        <f>IFERROR(U120*$AJ$170/('製造(P)'!$K$190+'貯蔵・輸送(ST)'!$K$190+'供給(D)'!$K$190),"")</f>
        <v/>
      </c>
      <c r="AB120" s="354" t="str">
        <f>IFERROR(V120*$AJ$170/('製造(P)'!$K$190+'貯蔵・輸送(ST)'!$K$190+'供給(D)'!$K$190),"")</f>
        <v/>
      </c>
      <c r="AC120" s="354" t="str">
        <f>IFERROR(W120*$AJ$170/('製造(P)'!$K$190+'貯蔵・輸送(ST)'!$K$190+'供給(D)'!$K$190),"")</f>
        <v/>
      </c>
      <c r="AD120" s="778" t="str">
        <f>IFERROR(IF(X120=0,"",X120*$AJ$170/('製造(P)'!$K$190+'貯蔵・輸送(ST)'!$K$190+'供給(D)'!$K$190)),"")</f>
        <v/>
      </c>
      <c r="AE120" s="685"/>
      <c r="AF120" s="808"/>
      <c r="AG120" s="408" t="str">
        <f>IFERROR(IF(INDEX(資本財!$H$5:$H$30,MATCH(ROW(R8),資本財!$W$5:$W$30,0))="[Nm3]",$D$6,IF(INDEX(資本財!$H$5:$H$30,MATCH(ROW(R8),資本財!$W$5:$W$30,0))="[MJ]",$D$10,IF(INDEX(資本財!$H$5:$H$30,MATCH(ROW(R8),資本財!$W$5:$W$30,0))="[kg]",$D$9,""))),"")</f>
        <v/>
      </c>
      <c r="AH120" s="207"/>
      <c r="AI120" s="207"/>
      <c r="AJ120" s="535"/>
      <c r="AK120" s="153"/>
    </row>
    <row r="121" spans="2:39" s="149" customFormat="1" ht="15" customHeight="1">
      <c r="B121" s="936"/>
      <c r="C121" s="936"/>
      <c r="D121" s="936"/>
      <c r="E121" s="150"/>
      <c r="F121" s="225"/>
      <c r="G121" s="225"/>
      <c r="H121" s="225"/>
      <c r="I121" s="225"/>
      <c r="J121" s="225"/>
      <c r="K121" s="152"/>
      <c r="L121" s="367"/>
      <c r="M121" s="367"/>
      <c r="N121" s="365"/>
      <c r="O121" s="366"/>
      <c r="Q121" s="1075" t="str">
        <f>IFERROR(IF(MAX(資本財!$W$5:$W$30)&lt;1,"",INDEX(資本財!$D$5:$D$30,MATCH(ROW(S8),資本財!$W$5:$W$30,0))),"")</f>
        <v/>
      </c>
      <c r="R121" s="1076"/>
      <c r="S121" s="728" t="str">
        <f>IFERROR(IF(INDEX(資本財!$C$5:$C$30,MATCH(ROW(R9),資本財!$W$5:$W$30,0))=S$112,INDEX(資本財!$P$5:$P$30,MATCH(ROW(R9),資本財!$W$5:$W$30,0))*$AG121,0),"")</f>
        <v/>
      </c>
      <c r="T121" s="728" t="str">
        <f>IFERROR(IF(INDEX(資本財!$C$5:$C$30,MATCH(ROW(S9),資本財!$W$5:$W$30,0))=T$112,INDEX(資本財!$P$5:$P$30,MATCH(ROW(S9),資本財!$W$5:$W$30,0))*$AG121,0),"")</f>
        <v/>
      </c>
      <c r="U121" s="728" t="str">
        <f>IFERROR(IF(INDEX(資本財!$C$5:$C$30,MATCH(ROW(T9),資本財!$W$5:$W$30,0))=U$112,INDEX(資本財!$P$5:$P$30,MATCH(ROW(T9),資本財!$W$5:$W$30,0))*$AG121,0),"")</f>
        <v/>
      </c>
      <c r="V121" s="728" t="str">
        <f>IFERROR(IF(INDEX(資本財!$C$5:$C$30,MATCH(ROW(U9),資本財!$W$5:$W$30,0))=V$112,INDEX(資本財!$P$5:$P$30,MATCH(ROW(U9),資本財!$W$5:$W$30,0))*$AG121,0),"")</f>
        <v/>
      </c>
      <c r="W121" s="728" t="str">
        <f>IFERROR(IF(INDEX(資本財!$C$5:$C$30,MATCH(ROW(V9),資本財!$W$5:$W$30,0))=W$112,INDEX(資本財!$P$5:$P$30,MATCH(ROW(V9),資本財!$W$5:$W$30,0))*$AG121,0),"")</f>
        <v/>
      </c>
      <c r="X121" s="705">
        <f t="shared" si="49"/>
        <v>0</v>
      </c>
      <c r="Y121" s="354" t="str">
        <f>IFERROR(S121*$AJ$170/('製造(P)'!$K$190+'貯蔵・輸送(ST)'!$K$190+'供給(D)'!$K$190),"")</f>
        <v/>
      </c>
      <c r="Z121" s="354" t="str">
        <f>IFERROR(T121*$AJ$170/('製造(P)'!$K$190+'貯蔵・輸送(ST)'!$K$190+'供給(D)'!$K$190),"")</f>
        <v/>
      </c>
      <c r="AA121" s="354" t="str">
        <f>IFERROR(U121*$AJ$170/('製造(P)'!$K$190+'貯蔵・輸送(ST)'!$K$190+'供給(D)'!$K$190),"")</f>
        <v/>
      </c>
      <c r="AB121" s="354" t="str">
        <f>IFERROR(V121*$AJ$170/('製造(P)'!$K$190+'貯蔵・輸送(ST)'!$K$190+'供給(D)'!$K$190),"")</f>
        <v/>
      </c>
      <c r="AC121" s="354" t="str">
        <f>IFERROR(W121*$AJ$170/('製造(P)'!$K$190+'貯蔵・輸送(ST)'!$K$190+'供給(D)'!$K$190),"")</f>
        <v/>
      </c>
      <c r="AD121" s="778" t="str">
        <f>IFERROR(IF(X121=0,"",X121*$AJ$170/('製造(P)'!$K$190+'貯蔵・輸送(ST)'!$K$190+'供給(D)'!$K$190)),"")</f>
        <v/>
      </c>
      <c r="AE121" s="685"/>
      <c r="AF121" s="808"/>
      <c r="AG121" s="408" t="str">
        <f>IFERROR(IF(INDEX(資本財!$H$5:$H$30,MATCH(ROW(R9),資本財!$W$5:$W$30,0))="[Nm3]",$D$6,IF(INDEX(資本財!$H$5:$H$30,MATCH(ROW(R9),資本財!$W$5:$W$30,0))="[MJ]",$D$10,IF(INDEX(資本財!$H$5:$H$30,MATCH(ROW(R9),資本財!$W$5:$W$30,0))="[kg]",$D$9,""))),"")</f>
        <v/>
      </c>
      <c r="AH121" s="207"/>
      <c r="AI121" s="207"/>
      <c r="AJ121" s="535"/>
      <c r="AK121" s="153"/>
    </row>
    <row r="122" spans="2:39" s="149" customFormat="1" ht="15" customHeight="1">
      <c r="B122" s="936"/>
      <c r="C122" s="936"/>
      <c r="D122" s="936"/>
      <c r="E122" s="150"/>
      <c r="F122" s="225"/>
      <c r="G122" s="225"/>
      <c r="H122" s="225"/>
      <c r="I122" s="225"/>
      <c r="J122" s="225"/>
      <c r="K122" s="152"/>
      <c r="L122" s="367"/>
      <c r="M122" s="367"/>
      <c r="N122" s="365"/>
      <c r="O122" s="366"/>
      <c r="Q122" s="1075" t="str">
        <f>IFERROR(IF(MAX(資本財!$W$5:$W$30)&lt;1,"",INDEX(資本財!$D$5:$D$30,MATCH(ROW(S9),資本財!$W$5:$W$30,0))),"")</f>
        <v/>
      </c>
      <c r="R122" s="1076"/>
      <c r="S122" s="728" t="str">
        <f>IFERROR(IF(INDEX(資本財!$C$5:$C$30,MATCH(ROW(R10),資本財!$W$5:$W$30,0))=S$112,INDEX(資本財!$P$5:$P$30,MATCH(ROW(R10),資本財!$W$5:$W$30,0))*$AG122,0),"")</f>
        <v/>
      </c>
      <c r="T122" s="728" t="str">
        <f>IFERROR(IF(INDEX(資本財!$C$5:$C$30,MATCH(ROW(S10),資本財!$W$5:$W$30,0))=T$112,INDEX(資本財!$P$5:$P$30,MATCH(ROW(S10),資本財!$W$5:$W$30,0))*$AG122,0),"")</f>
        <v/>
      </c>
      <c r="U122" s="728" t="str">
        <f>IFERROR(IF(INDEX(資本財!$C$5:$C$30,MATCH(ROW(T10),資本財!$W$5:$W$30,0))=U$112,INDEX(資本財!$P$5:$P$30,MATCH(ROW(T10),資本財!$W$5:$W$30,0))*$AG122,0),"")</f>
        <v/>
      </c>
      <c r="V122" s="728" t="str">
        <f>IFERROR(IF(INDEX(資本財!$C$5:$C$30,MATCH(ROW(U10),資本財!$W$5:$W$30,0))=V$112,INDEX(資本財!$P$5:$P$30,MATCH(ROW(U10),資本財!$W$5:$W$30,0))*$AG122,0),"")</f>
        <v/>
      </c>
      <c r="W122" s="728" t="str">
        <f>IFERROR(IF(INDEX(資本財!$C$5:$C$30,MATCH(ROW(V10),資本財!$W$5:$W$30,0))=W$112,INDEX(資本財!$P$5:$P$30,MATCH(ROW(V10),資本財!$W$5:$W$30,0))*$AG122,0),"")</f>
        <v/>
      </c>
      <c r="X122" s="705">
        <f t="shared" si="49"/>
        <v>0</v>
      </c>
      <c r="Y122" s="354" t="str">
        <f>IFERROR(S122*$AJ$170/('製造(P)'!$K$190+'貯蔵・輸送(ST)'!$K$190+'供給(D)'!$K$190),"")</f>
        <v/>
      </c>
      <c r="Z122" s="354" t="str">
        <f>IFERROR(T122*$AJ$170/('製造(P)'!$K$190+'貯蔵・輸送(ST)'!$K$190+'供給(D)'!$K$190),"")</f>
        <v/>
      </c>
      <c r="AA122" s="354" t="str">
        <f>IFERROR(U122*$AJ$170/('製造(P)'!$K$190+'貯蔵・輸送(ST)'!$K$190+'供給(D)'!$K$190),"")</f>
        <v/>
      </c>
      <c r="AB122" s="354" t="str">
        <f>IFERROR(V122*$AJ$170/('製造(P)'!$K$190+'貯蔵・輸送(ST)'!$K$190+'供給(D)'!$K$190),"")</f>
        <v/>
      </c>
      <c r="AC122" s="354" t="str">
        <f>IFERROR(W122*$AJ$170/('製造(P)'!$K$190+'貯蔵・輸送(ST)'!$K$190+'供給(D)'!$K$190),"")</f>
        <v/>
      </c>
      <c r="AD122" s="778" t="str">
        <f>IFERROR(IF(X122=0,"",X122*$AJ$170/('製造(P)'!$K$190+'貯蔵・輸送(ST)'!$K$190+'供給(D)'!$K$190)),"")</f>
        <v/>
      </c>
      <c r="AE122" s="685"/>
      <c r="AF122" s="808"/>
      <c r="AG122" s="408" t="str">
        <f>IFERROR(IF(INDEX(資本財!$H$5:$H$30,MATCH(ROW(R10),資本財!$W$5:$W$30,0))="[Nm3]",$D$6,IF(INDEX(資本財!$H$5:$H$30,MATCH(ROW(R10),資本財!$W$5:$W$30,0))="[MJ]",$D$10,IF(INDEX(資本財!$H$5:$H$30,MATCH(ROW(R10),資本財!$W$5:$W$30,0))="[kg]",$D$9,""))),"")</f>
        <v/>
      </c>
      <c r="AH122" s="207"/>
      <c r="AI122" s="207"/>
      <c r="AJ122" s="535"/>
      <c r="AK122" s="153"/>
    </row>
    <row r="123" spans="2:39" s="149" customFormat="1" ht="15" customHeight="1">
      <c r="B123" s="368"/>
      <c r="C123" s="368"/>
      <c r="D123" s="368"/>
      <c r="E123" s="150"/>
      <c r="F123" s="225"/>
      <c r="G123" s="225"/>
      <c r="H123" s="225"/>
      <c r="I123" s="225"/>
      <c r="J123" s="225"/>
      <c r="K123" s="152"/>
      <c r="L123" s="367"/>
      <c r="M123" s="367"/>
      <c r="N123" s="365"/>
      <c r="O123" s="366"/>
      <c r="Q123" s="147" t="s">
        <v>144</v>
      </c>
      <c r="R123" s="148"/>
      <c r="S123" s="716">
        <f>SUM(S113:S122)</f>
        <v>0.42607132461817798</v>
      </c>
      <c r="T123" s="716">
        <f t="shared" ref="T123:X123" si="50">SUM(T113:T122)</f>
        <v>0.87766434451995456</v>
      </c>
      <c r="U123" s="716">
        <f t="shared" si="50"/>
        <v>0.76069692721504933</v>
      </c>
      <c r="V123" s="716">
        <f t="shared" si="50"/>
        <v>0</v>
      </c>
      <c r="W123" s="716">
        <f t="shared" si="50"/>
        <v>0</v>
      </c>
      <c r="X123" s="716">
        <f t="shared" si="50"/>
        <v>2.064432596353182</v>
      </c>
      <c r="Y123" s="354">
        <f>IFERROR(S123*$AJ$170/('製造(P)'!$K$190+'貯蔵・輸送(ST)'!$K$190+'供給(D)'!$K$190),"")</f>
        <v>4.5122062537413521E-3</v>
      </c>
      <c r="Z123" s="354">
        <f>IFERROR(T123*$AJ$170/('製造(P)'!$K$190+'貯蔵・輸送(ST)'!$K$190+'供給(D)'!$K$190),"")</f>
        <v>9.2946939050114735E-3</v>
      </c>
      <c r="AA123" s="354">
        <f>IFERROR(U123*$AJ$170/('製造(P)'!$K$190+'貯蔵・輸送(ST)'!$K$190+'供給(D)'!$K$190),"")</f>
        <v>8.0559785037341482E-3</v>
      </c>
      <c r="AB123" s="354">
        <f>IFERROR(V123*$AJ$170/('製造(P)'!$K$190+'貯蔵・輸送(ST)'!$K$190+'供給(D)'!$K$190),"")</f>
        <v>0</v>
      </c>
      <c r="AC123" s="354">
        <f>IFERROR(W123*$AJ$170/('製造(P)'!$K$190+'貯蔵・輸送(ST)'!$K$190+'供給(D)'!$K$190),"")</f>
        <v>0</v>
      </c>
      <c r="AD123" s="354">
        <f>IFERROR(X123*$AJ$170/('製造(P)'!$K$190+'貯蔵・輸送(ST)'!$K$190+'供給(D)'!$K$190),"")</f>
        <v>2.1862878662486974E-2</v>
      </c>
      <c r="AE123" s="796"/>
      <c r="AF123" s="796"/>
      <c r="AG123" s="408" t="str">
        <f>IFERROR(IF(INDEX(資本財!$H$5:$H$30,MATCH(ROW(R11),資本財!$W$5:$W$30,0))="[Nm3]",$D$6,IF(INDEX(資本財!$H$5:$H$30,MATCH(ROW(R11),資本財!$W$5:$W$30,0))="[MJ]",$D$10,IF(INDEX(資本財!$H$5:$H$30,MATCH(ROW(R11),資本財!$W$5:$W$30,0))="[kg]",$D$9,""))),"")</f>
        <v/>
      </c>
      <c r="AH123" s="207"/>
      <c r="AI123" s="207"/>
      <c r="AJ123" s="535"/>
      <c r="AK123" s="153"/>
    </row>
    <row r="124" spans="2:39" s="149" customFormat="1">
      <c r="F124" s="220"/>
      <c r="G124" s="220"/>
      <c r="H124" s="220"/>
      <c r="I124" s="220"/>
      <c r="J124" s="220"/>
      <c r="N124" s="320"/>
      <c r="S124" s="220"/>
      <c r="T124" s="220"/>
      <c r="U124" s="220"/>
      <c r="V124" s="220"/>
      <c r="W124" s="220"/>
      <c r="X124" s="220"/>
      <c r="Y124" s="355"/>
      <c r="Z124" s="355"/>
      <c r="AA124" s="355"/>
      <c r="AB124" s="355"/>
      <c r="AC124" s="355"/>
      <c r="AD124" s="355"/>
      <c r="AE124" s="222"/>
      <c r="AF124" s="222"/>
      <c r="AG124" s="207"/>
      <c r="AH124" s="207"/>
      <c r="AI124" s="207"/>
      <c r="AJ124" s="535"/>
      <c r="AK124" s="153"/>
    </row>
    <row r="125" spans="2:39" ht="14.1" customHeight="1">
      <c r="B125" s="890" t="s">
        <v>7526</v>
      </c>
      <c r="C125" s="937"/>
      <c r="D125" s="891"/>
      <c r="E125" s="892"/>
      <c r="F125" s="1069" t="s">
        <v>7669</v>
      </c>
      <c r="G125" s="939"/>
      <c r="H125" s="939"/>
      <c r="I125" s="939"/>
      <c r="J125" s="939"/>
      <c r="K125" s="940"/>
      <c r="L125" s="941" t="s">
        <v>136</v>
      </c>
      <c r="M125" s="943" t="s">
        <v>210</v>
      </c>
      <c r="N125" s="944"/>
      <c r="O125" s="945"/>
      <c r="P125" s="149"/>
      <c r="Q125" s="890" t="s">
        <v>7797</v>
      </c>
      <c r="R125" s="892"/>
      <c r="S125" s="933" t="s">
        <v>7666</v>
      </c>
      <c r="T125" s="934"/>
      <c r="U125" s="934"/>
      <c r="V125" s="934"/>
      <c r="W125" s="934"/>
      <c r="X125" s="934"/>
      <c r="Y125" s="955" t="s">
        <v>7543</v>
      </c>
      <c r="Z125" s="956"/>
      <c r="AA125" s="956"/>
      <c r="AB125" s="956"/>
      <c r="AC125" s="956"/>
      <c r="AD125" s="956"/>
      <c r="AE125" s="810"/>
      <c r="AF125" s="810"/>
      <c r="AG125" s="207"/>
      <c r="AH125" s="207"/>
      <c r="AI125" s="59"/>
      <c r="AJ125" s="1026" t="s">
        <v>210</v>
      </c>
      <c r="AK125" s="1026"/>
      <c r="AL125" s="59"/>
      <c r="AM125" s="59"/>
    </row>
    <row r="126" spans="2:39">
      <c r="B126" s="893"/>
      <c r="C126" s="894"/>
      <c r="D126" s="897"/>
      <c r="E126" s="898"/>
      <c r="F126" s="312" t="s">
        <v>7434</v>
      </c>
      <c r="G126" s="312" t="s">
        <v>7060</v>
      </c>
      <c r="H126" s="312" t="s">
        <v>7061</v>
      </c>
      <c r="I126" s="312" t="s">
        <v>7062</v>
      </c>
      <c r="J126" s="312" t="s">
        <v>7063</v>
      </c>
      <c r="K126" s="369" t="s">
        <v>7436</v>
      </c>
      <c r="L126" s="942"/>
      <c r="M126" s="946"/>
      <c r="N126" s="947"/>
      <c r="O126" s="948"/>
      <c r="P126" s="149"/>
      <c r="Q126" s="896"/>
      <c r="R126" s="898"/>
      <c r="S126" s="312" t="s">
        <v>7434</v>
      </c>
      <c r="T126" s="312" t="s">
        <v>7060</v>
      </c>
      <c r="U126" s="312" t="s">
        <v>7061</v>
      </c>
      <c r="V126" s="312" t="s">
        <v>7062</v>
      </c>
      <c r="W126" s="312" t="s">
        <v>7063</v>
      </c>
      <c r="X126" s="369" t="s">
        <v>7436</v>
      </c>
      <c r="Y126" s="383" t="s">
        <v>7545</v>
      </c>
      <c r="Z126" s="383" t="s">
        <v>7546</v>
      </c>
      <c r="AA126" s="383" t="s">
        <v>7061</v>
      </c>
      <c r="AB126" s="383" t="s">
        <v>7062</v>
      </c>
      <c r="AC126" s="383" t="s">
        <v>7063</v>
      </c>
      <c r="AD126" s="790" t="s">
        <v>7436</v>
      </c>
      <c r="AE126" s="364"/>
      <c r="AF126" s="364"/>
      <c r="AG126" s="207"/>
      <c r="AH126" s="207"/>
      <c r="AI126" s="59"/>
      <c r="AJ126" s="1019"/>
      <c r="AK126" s="1019"/>
      <c r="AL126" s="59"/>
      <c r="AM126" s="59"/>
    </row>
    <row r="127" spans="2:39" ht="15" customHeight="1">
      <c r="B127" s="932" t="str">
        <f>IF(B57="","",B57)</f>
        <v>風力発電陸上（1,000kW級）</v>
      </c>
      <c r="C127" s="932"/>
      <c r="D127" s="932"/>
      <c r="E127" s="373" t="s">
        <v>7530</v>
      </c>
      <c r="F127" s="703">
        <f t="shared" ref="F127:J127" si="51">F57</f>
        <v>5</v>
      </c>
      <c r="G127" s="703">
        <f t="shared" si="51"/>
        <v>15</v>
      </c>
      <c r="H127" s="703">
        <f t="shared" si="51"/>
        <v>1</v>
      </c>
      <c r="I127" s="703">
        <f t="shared" si="51"/>
        <v>0</v>
      </c>
      <c r="J127" s="703">
        <f t="shared" si="51"/>
        <v>0</v>
      </c>
      <c r="K127" s="726">
        <f t="shared" ref="K127:K129" si="52">SUM(F127:J127)</f>
        <v>21</v>
      </c>
      <c r="L127" s="654" t="s">
        <v>192</v>
      </c>
      <c r="M127" s="350"/>
      <c r="N127" s="479">
        <f>IFERROR(VLOOKUP($B127,共通データ!$B$32:$P$37,14,FALSE),"")</f>
        <v>1.7600000000000001E-2</v>
      </c>
      <c r="O127" s="213" t="str">
        <f>IF(B127="","","[kg-CO2/kWh] ")</f>
        <v xml:space="preserve">[kg-CO2/kWh] </v>
      </c>
      <c r="P127" s="149"/>
      <c r="Q127" s="910" t="str">
        <f>B127</f>
        <v>風力発電陸上（1,000kW級）</v>
      </c>
      <c r="R127" s="911"/>
      <c r="S127" s="715">
        <f>IFERROR(F127*$N127,0)</f>
        <v>8.8000000000000009E-2</v>
      </c>
      <c r="T127" s="715">
        <f t="shared" ref="T127:W129" si="53">IFERROR(G127*$N127,0)</f>
        <v>0.26400000000000001</v>
      </c>
      <c r="U127" s="715">
        <f t="shared" si="53"/>
        <v>1.7600000000000001E-2</v>
      </c>
      <c r="V127" s="715">
        <f t="shared" si="53"/>
        <v>0</v>
      </c>
      <c r="W127" s="715">
        <f t="shared" si="53"/>
        <v>0</v>
      </c>
      <c r="X127" s="717">
        <f t="shared" ref="X127:X128" si="54">SUM(S127:W127)</f>
        <v>0.36960000000000004</v>
      </c>
      <c r="Y127" s="354">
        <f>IFERROR(IF(S127=0,"",S127*$AJ$170/('製造(P)'!$K$190+'貯蔵・輸送(ST)'!$K$190+'供給(D)'!$K$190)),"")</f>
        <v>9.3194291046240995E-4</v>
      </c>
      <c r="Z127" s="354">
        <f>IFERROR(IF(T127=0,"",T127*$AJ$170/('製造(P)'!$K$190+'貯蔵・輸送(ST)'!$K$190+'供給(D)'!$K$190)),"")</f>
        <v>2.7958287313872296E-3</v>
      </c>
      <c r="AA127" s="354">
        <f>IFERROR(IF(U127=0,"",U127*$AJ$170/('製造(P)'!$K$190+'貯蔵・輸送(ST)'!$K$190+'供給(D)'!$K$190)),"")</f>
        <v>1.8638858209248197E-4</v>
      </c>
      <c r="AB127" s="354" t="str">
        <f>IFERROR(IF(V127=0,"",V127*$AJ$170/('製造(P)'!$K$190+'貯蔵・輸送(ST)'!$K$190+'供給(D)'!$K$190)),"")</f>
        <v/>
      </c>
      <c r="AC127" s="354" t="str">
        <f>IFERROR(IF(W127=0,"",W127*$AJ$170/('製造(P)'!$K$190+'貯蔵・輸送(ST)'!$K$190+'供給(D)'!$K$190)),"")</f>
        <v/>
      </c>
      <c r="AD127" s="778">
        <f>IFERROR(IF(X127=0,"",X127*$AJ$170/('製造(P)'!$K$190+'貯蔵・輸送(ST)'!$K$190+'供給(D)'!$K$190)),"")</f>
        <v>3.9141602239421217E-3</v>
      </c>
      <c r="AE127" s="806"/>
      <c r="AF127" s="806"/>
      <c r="AG127" s="207" t="s">
        <v>6940</v>
      </c>
      <c r="AH127" s="207">
        <v>172411000</v>
      </c>
      <c r="AI127" s="59"/>
      <c r="AJ127" s="538">
        <f>VLOOKUP($AH127,IDEAv2原単位!$A$3:$F$4021,6,FALSE)</f>
        <v>1.2378879008784885E-2</v>
      </c>
      <c r="AK127" s="213" t="s">
        <v>54</v>
      </c>
      <c r="AL127" s="59"/>
      <c r="AM127" s="59"/>
    </row>
    <row r="128" spans="2:39" ht="15" customHeight="1">
      <c r="B128" s="932" t="str">
        <f t="shared" ref="B128:B129" si="55">IF(B58="","",B58)</f>
        <v/>
      </c>
      <c r="C128" s="932"/>
      <c r="D128" s="932"/>
      <c r="E128" s="373" t="s">
        <v>7530</v>
      </c>
      <c r="F128" s="703">
        <f t="shared" ref="F128:J129" si="56">F58</f>
        <v>0</v>
      </c>
      <c r="G128" s="703">
        <f t="shared" si="56"/>
        <v>0</v>
      </c>
      <c r="H128" s="703">
        <f t="shared" si="56"/>
        <v>0</v>
      </c>
      <c r="I128" s="703">
        <f t="shared" si="56"/>
        <v>0</v>
      </c>
      <c r="J128" s="703">
        <f t="shared" si="56"/>
        <v>0</v>
      </c>
      <c r="K128" s="726">
        <f t="shared" si="52"/>
        <v>0</v>
      </c>
      <c r="L128" s="654" t="s">
        <v>192</v>
      </c>
      <c r="M128" s="350"/>
      <c r="N128" s="479" t="str">
        <f>IFERROR(VLOOKUP($B128,共通データ!$B$32:$P$37,14,FALSE),"")</f>
        <v/>
      </c>
      <c r="O128" s="213" t="str">
        <f t="shared" ref="O128:O129" si="57">IF(B128="","","[kg-CO2/kWh] ")</f>
        <v/>
      </c>
      <c r="P128" s="149"/>
      <c r="Q128" s="910" t="str">
        <f t="shared" ref="Q128:Q129" si="58">B128</f>
        <v/>
      </c>
      <c r="R128" s="911"/>
      <c r="S128" s="715">
        <f t="shared" ref="S128:S129" si="59">IFERROR(F128*$N128,0)</f>
        <v>0</v>
      </c>
      <c r="T128" s="715">
        <f t="shared" si="53"/>
        <v>0</v>
      </c>
      <c r="U128" s="715">
        <f t="shared" si="53"/>
        <v>0</v>
      </c>
      <c r="V128" s="715">
        <f t="shared" si="53"/>
        <v>0</v>
      </c>
      <c r="W128" s="715">
        <f t="shared" si="53"/>
        <v>0</v>
      </c>
      <c r="X128" s="717">
        <f t="shared" si="54"/>
        <v>0</v>
      </c>
      <c r="Y128" s="354" t="str">
        <f>IFERROR(IF(S128=0,"",S128*$AJ$170/('製造(P)'!$K$190+'貯蔵・輸送(ST)'!$K$190+'供給(D)'!$K$190)),"")</f>
        <v/>
      </c>
      <c r="Z128" s="354" t="str">
        <f>IFERROR(IF(T128=0,"",T128*$AJ$170/('製造(P)'!$K$190+'貯蔵・輸送(ST)'!$K$190+'供給(D)'!$K$190)),"")</f>
        <v/>
      </c>
      <c r="AA128" s="354" t="str">
        <f>IFERROR(IF(U128=0,"",U128*$AJ$170/('製造(P)'!$K$190+'貯蔵・輸送(ST)'!$K$190+'供給(D)'!$K$190)),"")</f>
        <v/>
      </c>
      <c r="AB128" s="354" t="str">
        <f>IFERROR(IF(V128=0,"",V128*$AJ$170/('製造(P)'!$K$190+'貯蔵・輸送(ST)'!$K$190+'供給(D)'!$K$190)),"")</f>
        <v/>
      </c>
      <c r="AC128" s="354" t="str">
        <f>IFERROR(IF(W128=0,"",W128*$AJ$170/('製造(P)'!$K$190+'貯蔵・輸送(ST)'!$K$190+'供給(D)'!$K$190)),"")</f>
        <v/>
      </c>
      <c r="AD128" s="778" t="str">
        <f>IFERROR(IF(X128=0,"",X128*$AJ$170/('製造(P)'!$K$190+'貯蔵・輸送(ST)'!$K$190+'供給(D)'!$K$190)),"")</f>
        <v/>
      </c>
      <c r="AE128" s="806"/>
      <c r="AF128" s="806"/>
      <c r="AG128" s="207" t="s">
        <v>6937</v>
      </c>
      <c r="AH128" s="207">
        <v>362111000</v>
      </c>
      <c r="AI128" s="59"/>
      <c r="AJ128" s="538">
        <f>VLOOKUP($AH128,IDEAv2原単位!$A$3:$F$4021,6,FALSE)</f>
        <v>0.14873753178233792</v>
      </c>
      <c r="AK128" s="213" t="s">
        <v>140</v>
      </c>
      <c r="AL128" s="59"/>
      <c r="AM128" s="59"/>
    </row>
    <row r="129" spans="1:39" ht="15" customHeight="1">
      <c r="B129" s="932" t="str">
        <f t="shared" si="55"/>
        <v/>
      </c>
      <c r="C129" s="932"/>
      <c r="D129" s="932"/>
      <c r="E129" s="373" t="s">
        <v>7530</v>
      </c>
      <c r="F129" s="703">
        <f t="shared" si="56"/>
        <v>0</v>
      </c>
      <c r="G129" s="703">
        <f t="shared" si="56"/>
        <v>0</v>
      </c>
      <c r="H129" s="703">
        <f t="shared" si="56"/>
        <v>0</v>
      </c>
      <c r="I129" s="703">
        <f t="shared" si="56"/>
        <v>0</v>
      </c>
      <c r="J129" s="703">
        <f t="shared" si="56"/>
        <v>0</v>
      </c>
      <c r="K129" s="726">
        <f t="shared" si="52"/>
        <v>0</v>
      </c>
      <c r="L129" s="654" t="s">
        <v>192</v>
      </c>
      <c r="M129" s="350"/>
      <c r="N129" s="479" t="str">
        <f>IFERROR(VLOOKUP($B129,共通データ!$B$32:$P$37,14,FALSE),"")</f>
        <v/>
      </c>
      <c r="O129" s="213" t="str">
        <f t="shared" si="57"/>
        <v/>
      </c>
      <c r="P129" s="149"/>
      <c r="Q129" s="910" t="str">
        <f t="shared" si="58"/>
        <v/>
      </c>
      <c r="R129" s="911"/>
      <c r="S129" s="715">
        <f t="shared" si="59"/>
        <v>0</v>
      </c>
      <c r="T129" s="715">
        <f t="shared" si="53"/>
        <v>0</v>
      </c>
      <c r="U129" s="715">
        <f t="shared" si="53"/>
        <v>0</v>
      </c>
      <c r="V129" s="715">
        <f t="shared" si="53"/>
        <v>0</v>
      </c>
      <c r="W129" s="715">
        <f t="shared" si="53"/>
        <v>0</v>
      </c>
      <c r="X129" s="717">
        <f t="shared" ref="X129" si="60">SUM(S129:W129)</f>
        <v>0</v>
      </c>
      <c r="Y129" s="354" t="str">
        <f>IFERROR(IF(S129=0,"",S129*$AJ$170/('製造(P)'!$K$190+'貯蔵・輸送(ST)'!$K$190+'供給(D)'!$K$190)),"")</f>
        <v/>
      </c>
      <c r="Z129" s="354" t="str">
        <f>IFERROR(IF(T129=0,"",T129*$AJ$170/('製造(P)'!$K$190+'貯蔵・輸送(ST)'!$K$190+'供給(D)'!$K$190)),"")</f>
        <v/>
      </c>
      <c r="AA129" s="354" t="str">
        <f>IFERROR(IF(U129=0,"",U129*$AJ$170/('製造(P)'!$K$190+'貯蔵・輸送(ST)'!$K$190+'供給(D)'!$K$190)),"")</f>
        <v/>
      </c>
      <c r="AB129" s="354" t="str">
        <f>IFERROR(IF(V129=0,"",V129*$AJ$170/('製造(P)'!$K$190+'貯蔵・輸送(ST)'!$K$190+'供給(D)'!$K$190)),"")</f>
        <v/>
      </c>
      <c r="AC129" s="354" t="str">
        <f>IFERROR(IF(W129=0,"",W129*$AJ$170/('製造(P)'!$K$190+'貯蔵・輸送(ST)'!$K$190+'供給(D)'!$K$190)),"")</f>
        <v/>
      </c>
      <c r="AD129" s="778" t="str">
        <f>IFERROR(IF(X129=0,"",X129*$AJ$170/('製造(P)'!$K$190+'貯蔵・輸送(ST)'!$K$190+'供給(D)'!$K$190)),"")</f>
        <v/>
      </c>
      <c r="AE129" s="806"/>
      <c r="AF129" s="806"/>
      <c r="AG129" s="207"/>
      <c r="AH129" s="207"/>
      <c r="AI129" s="59"/>
      <c r="AJ129" s="540"/>
      <c r="AK129" s="371"/>
      <c r="AL129" s="59"/>
      <c r="AM129" s="59"/>
    </row>
    <row r="130" spans="1:39">
      <c r="B130" s="150"/>
      <c r="C130" s="150"/>
      <c r="D130" s="151"/>
      <c r="E130" s="151"/>
      <c r="F130" s="225"/>
      <c r="G130" s="225"/>
      <c r="H130" s="225"/>
      <c r="I130" s="225"/>
      <c r="J130" s="225"/>
      <c r="K130" s="152"/>
      <c r="L130" s="152"/>
      <c r="M130" s="152"/>
      <c r="N130" s="322"/>
      <c r="O130" s="153"/>
      <c r="P130" s="149"/>
      <c r="Q130" s="147" t="s">
        <v>144</v>
      </c>
      <c r="R130" s="148"/>
      <c r="S130" s="715">
        <f t="shared" ref="S130:X130" si="61">SUM(S127:S128)</f>
        <v>8.8000000000000009E-2</v>
      </c>
      <c r="T130" s="715">
        <f t="shared" si="61"/>
        <v>0.26400000000000001</v>
      </c>
      <c r="U130" s="715">
        <f t="shared" si="61"/>
        <v>1.7600000000000001E-2</v>
      </c>
      <c r="V130" s="715">
        <f t="shared" si="61"/>
        <v>0</v>
      </c>
      <c r="W130" s="715">
        <f t="shared" si="61"/>
        <v>0</v>
      </c>
      <c r="X130" s="715">
        <f t="shared" si="61"/>
        <v>0.36960000000000004</v>
      </c>
      <c r="Y130" s="354">
        <f>IFERROR(S130*$AJ$170/('製造(P)'!$K$190+'貯蔵・輸送(ST)'!$K$190+'供給(D)'!$K$190),"")</f>
        <v>9.3194291046240995E-4</v>
      </c>
      <c r="Z130" s="354">
        <f>IFERROR(T130*$AJ$170/('製造(P)'!$K$190+'貯蔵・輸送(ST)'!$K$190+'供給(D)'!$K$190),"")</f>
        <v>2.7958287313872296E-3</v>
      </c>
      <c r="AA130" s="354">
        <f>IFERROR(U130*$AJ$170/('製造(P)'!$K$190+'貯蔵・輸送(ST)'!$K$190+'供給(D)'!$K$190),"")</f>
        <v>1.8638858209248197E-4</v>
      </c>
      <c r="AB130" s="354">
        <f>IFERROR(V130*$AJ$170/('製造(P)'!$K$190+'貯蔵・輸送(ST)'!$K$190+'供給(D)'!$K$190),"")</f>
        <v>0</v>
      </c>
      <c r="AC130" s="354">
        <f>IFERROR(W130*$AJ$170/('製造(P)'!$K$190+'貯蔵・輸送(ST)'!$K$190+'供給(D)'!$K$190),"")</f>
        <v>0</v>
      </c>
      <c r="AD130" s="354">
        <f>IFERROR(X130*$AJ$170/('製造(P)'!$K$190+'貯蔵・輸送(ST)'!$K$190+'供給(D)'!$K$190),"")</f>
        <v>3.9141602239421217E-3</v>
      </c>
      <c r="AE130" s="806"/>
      <c r="AF130" s="806"/>
      <c r="AG130" s="59"/>
      <c r="AH130" s="59"/>
      <c r="AI130" s="59"/>
      <c r="AJ130" s="534"/>
      <c r="AK130" s="212"/>
      <c r="AL130" s="59"/>
      <c r="AM130" s="59"/>
    </row>
    <row r="131" spans="1:39">
      <c r="B131" s="149"/>
      <c r="C131" s="149"/>
      <c r="D131" s="149"/>
      <c r="E131" s="149"/>
      <c r="F131" s="220"/>
      <c r="G131" s="220"/>
      <c r="H131" s="220"/>
      <c r="I131" s="220"/>
      <c r="J131" s="220"/>
      <c r="K131" s="149"/>
      <c r="L131" s="149"/>
      <c r="M131" s="149"/>
      <c r="N131" s="320"/>
      <c r="O131" s="149"/>
      <c r="P131" s="149"/>
      <c r="Q131" s="149"/>
      <c r="R131" s="149"/>
      <c r="S131" s="220"/>
      <c r="T131" s="220"/>
      <c r="U131" s="220"/>
      <c r="V131" s="220"/>
      <c r="W131" s="220"/>
      <c r="X131" s="220"/>
      <c r="Y131" s="355"/>
      <c r="Z131" s="355"/>
      <c r="AA131" s="355"/>
      <c r="AB131" s="355"/>
      <c r="AC131" s="355"/>
      <c r="AD131" s="355"/>
      <c r="AE131" s="805"/>
      <c r="AF131" s="805"/>
      <c r="AG131" s="59"/>
      <c r="AH131" s="59"/>
      <c r="AI131" s="59"/>
      <c r="AJ131" s="534"/>
      <c r="AK131" s="212"/>
      <c r="AL131" s="59"/>
      <c r="AM131" s="59"/>
    </row>
    <row r="132" spans="1:39">
      <c r="B132" s="915" t="s">
        <v>7788</v>
      </c>
      <c r="C132" s="915"/>
      <c r="D132" s="915"/>
      <c r="E132" s="915"/>
      <c r="F132" s="915"/>
      <c r="G132" s="915"/>
      <c r="H132" s="915"/>
      <c r="I132" s="915"/>
      <c r="J132" s="915"/>
      <c r="K132" s="915"/>
      <c r="L132" s="915"/>
      <c r="M132" s="915"/>
      <c r="N132" s="915"/>
      <c r="O132" s="915"/>
      <c r="P132" s="149"/>
      <c r="Q132" s="935" t="s">
        <v>7796</v>
      </c>
      <c r="R132" s="935"/>
      <c r="S132" s="935"/>
      <c r="T132" s="935"/>
      <c r="U132" s="935"/>
      <c r="V132" s="935"/>
      <c r="W132" s="935"/>
      <c r="X132" s="935"/>
      <c r="Y132" s="223"/>
      <c r="Z132" s="223"/>
      <c r="AA132" s="223"/>
      <c r="AB132" s="223"/>
      <c r="AC132" s="223"/>
      <c r="AD132" s="223"/>
      <c r="AE132" s="803"/>
      <c r="AF132" s="803"/>
      <c r="AG132" s="207"/>
      <c r="AH132" s="207"/>
      <c r="AI132" s="207"/>
      <c r="AJ132" s="214"/>
      <c r="AK132" s="214"/>
      <c r="AL132" s="59"/>
      <c r="AM132" s="59"/>
    </row>
    <row r="133" spans="1:39" s="149" customFormat="1">
      <c r="F133" s="220"/>
      <c r="G133" s="220"/>
      <c r="H133" s="220"/>
      <c r="I133" s="220"/>
      <c r="J133" s="220"/>
      <c r="N133" s="320"/>
      <c r="S133" s="220"/>
      <c r="T133" s="220"/>
      <c r="U133" s="220"/>
      <c r="V133" s="220"/>
      <c r="W133" s="220"/>
      <c r="X133" s="220"/>
      <c r="Y133" s="222"/>
      <c r="Z133" s="222"/>
      <c r="AA133" s="222"/>
      <c r="AB133" s="222"/>
      <c r="AC133" s="222"/>
      <c r="AD133" s="222"/>
      <c r="AE133" s="222"/>
      <c r="AF133" s="222"/>
      <c r="AG133" s="207"/>
      <c r="AH133" s="207"/>
      <c r="AI133" s="207"/>
      <c r="AJ133" s="541"/>
      <c r="AK133" s="234"/>
    </row>
    <row r="134" spans="1:39" s="149" customFormat="1" ht="13.8" thickBot="1">
      <c r="B134" s="67" t="s">
        <v>172</v>
      </c>
      <c r="F134" s="220"/>
      <c r="G134" s="220"/>
      <c r="H134" s="220"/>
      <c r="I134" s="220"/>
      <c r="J134" s="220"/>
      <c r="N134" s="320"/>
      <c r="S134" s="220"/>
      <c r="T134" s="220"/>
      <c r="U134" s="220"/>
      <c r="V134" s="220"/>
      <c r="W134" s="220"/>
      <c r="X134" s="220"/>
      <c r="Y134" s="222"/>
      <c r="Z134" s="222"/>
      <c r="AA134" s="222"/>
      <c r="AB134" s="222"/>
      <c r="AC134" s="222"/>
      <c r="AD134" s="222"/>
      <c r="AE134" s="222"/>
      <c r="AF134" s="222"/>
      <c r="AG134" s="207"/>
      <c r="AH134" s="207"/>
      <c r="AI134" s="207"/>
      <c r="AJ134" s="535"/>
      <c r="AK134" s="153"/>
    </row>
    <row r="135" spans="1:39" s="149" customFormat="1" ht="13.8" thickBot="1">
      <c r="B135" s="649" t="s">
        <v>7455</v>
      </c>
      <c r="F135" s="220"/>
      <c r="G135" s="220"/>
      <c r="H135" s="220"/>
      <c r="I135" s="220"/>
      <c r="J135" s="220"/>
      <c r="N135" s="320"/>
      <c r="S135" s="220"/>
      <c r="T135" s="220"/>
      <c r="U135" s="220"/>
      <c r="V135" s="220"/>
      <c r="W135" s="220"/>
      <c r="X135" s="220"/>
      <c r="Y135" s="222"/>
      <c r="Z135" s="222"/>
      <c r="AA135" s="222"/>
      <c r="AB135" s="222"/>
      <c r="AC135" s="222"/>
      <c r="AD135" s="222"/>
      <c r="AE135" s="222"/>
      <c r="AF135" s="222"/>
      <c r="AG135" s="207"/>
      <c r="AH135" s="207"/>
      <c r="AI135" s="207"/>
      <c r="AJ135" s="535"/>
      <c r="AK135" s="153"/>
    </row>
    <row r="136" spans="1:39" s="149" customFormat="1">
      <c r="F136" s="220"/>
      <c r="G136" s="220"/>
      <c r="H136" s="220"/>
      <c r="I136" s="220"/>
      <c r="J136" s="220"/>
      <c r="N136" s="320"/>
      <c r="S136" s="220"/>
      <c r="T136" s="220"/>
      <c r="U136" s="220"/>
      <c r="V136" s="220"/>
      <c r="W136" s="220"/>
      <c r="X136" s="220"/>
      <c r="Y136" s="222"/>
      <c r="Z136" s="222"/>
      <c r="AA136" s="222"/>
      <c r="AB136" s="222"/>
      <c r="AC136" s="222"/>
      <c r="AD136" s="222"/>
      <c r="AE136" s="222"/>
      <c r="AF136" s="222"/>
      <c r="AG136" s="207"/>
      <c r="AH136" s="207"/>
      <c r="AI136" s="207"/>
      <c r="AJ136" s="535"/>
      <c r="AK136" s="153"/>
    </row>
    <row r="137" spans="1:39" ht="14.1" customHeight="1">
      <c r="B137" s="969" t="s">
        <v>7674</v>
      </c>
      <c r="C137" s="1001"/>
      <c r="D137" s="1001"/>
      <c r="E137" s="1002"/>
      <c r="F137" s="938" t="s">
        <v>7671</v>
      </c>
      <c r="G137" s="939"/>
      <c r="H137" s="939"/>
      <c r="I137" s="939"/>
      <c r="J137" s="939"/>
      <c r="K137" s="940"/>
      <c r="L137" s="973" t="s">
        <v>136</v>
      </c>
      <c r="M137" s="928" t="s">
        <v>6946</v>
      </c>
      <c r="N137" s="930" t="s">
        <v>7456</v>
      </c>
      <c r="O137" s="928" t="s">
        <v>6945</v>
      </c>
      <c r="P137" s="149"/>
      <c r="Q137" s="954" t="s">
        <v>166</v>
      </c>
      <c r="R137" s="975"/>
      <c r="S137" s="1074" t="s">
        <v>7666</v>
      </c>
      <c r="T137" s="934"/>
      <c r="U137" s="934"/>
      <c r="V137" s="934"/>
      <c r="W137" s="934"/>
      <c r="X137" s="934"/>
      <c r="Y137" s="238"/>
      <c r="Z137" s="238"/>
      <c r="AA137" s="238"/>
      <c r="AB137" s="238"/>
      <c r="AC137" s="238"/>
      <c r="AD137" s="238"/>
      <c r="AE137" s="238"/>
      <c r="AF137" s="238"/>
      <c r="AG137" s="207"/>
      <c r="AH137" s="207"/>
      <c r="AI137" s="207"/>
      <c r="AJ137" s="207"/>
      <c r="AK137" s="207"/>
    </row>
    <row r="138" spans="1:39" ht="43.5" customHeight="1" thickBot="1">
      <c r="B138" s="349"/>
      <c r="C138" s="349" t="s">
        <v>7439</v>
      </c>
      <c r="D138" s="349" t="s">
        <v>7440</v>
      </c>
      <c r="E138" s="349" t="s">
        <v>7467</v>
      </c>
      <c r="F138" s="312" t="s">
        <v>7435</v>
      </c>
      <c r="G138" s="312" t="s">
        <v>7546</v>
      </c>
      <c r="H138" s="312" t="s">
        <v>7061</v>
      </c>
      <c r="I138" s="312" t="s">
        <v>7062</v>
      </c>
      <c r="J138" s="312" t="s">
        <v>7063</v>
      </c>
      <c r="K138" s="313" t="s">
        <v>7436</v>
      </c>
      <c r="L138" s="1000"/>
      <c r="M138" s="929"/>
      <c r="N138" s="931"/>
      <c r="O138" s="929"/>
      <c r="P138" s="149"/>
      <c r="Q138" s="896"/>
      <c r="R138" s="898"/>
      <c r="S138" s="312" t="s">
        <v>7905</v>
      </c>
      <c r="T138" s="312" t="s">
        <v>7906</v>
      </c>
      <c r="U138" s="312" t="s">
        <v>7061</v>
      </c>
      <c r="V138" s="312" t="s">
        <v>7062</v>
      </c>
      <c r="W138" s="312" t="s">
        <v>7063</v>
      </c>
      <c r="X138" s="314" t="s">
        <v>7436</v>
      </c>
      <c r="Y138" s="231"/>
      <c r="Z138" s="231"/>
      <c r="AA138" s="231"/>
      <c r="AB138" s="231"/>
      <c r="AC138" s="231"/>
      <c r="AD138" s="231"/>
      <c r="AE138" s="231"/>
      <c r="AF138" s="231"/>
      <c r="AG138" s="207"/>
      <c r="AH138" s="207"/>
      <c r="AI138" s="207"/>
      <c r="AJ138" s="207"/>
      <c r="AK138" s="207"/>
    </row>
    <row r="139" spans="1:39" ht="15" customHeight="1" thickBot="1">
      <c r="B139" s="650"/>
      <c r="C139" s="706"/>
      <c r="D139" s="707"/>
      <c r="E139" s="708"/>
      <c r="F139" s="704">
        <v>0</v>
      </c>
      <c r="G139" s="704">
        <v>0</v>
      </c>
      <c r="H139" s="704">
        <v>0</v>
      </c>
      <c r="I139" s="704">
        <v>0</v>
      </c>
      <c r="J139" s="704">
        <v>0</v>
      </c>
      <c r="K139" s="705">
        <f>SUM(F139:J139)</f>
        <v>0</v>
      </c>
      <c r="L139" s="639" t="s">
        <v>192</v>
      </c>
      <c r="M139" s="651"/>
      <c r="N139" s="651"/>
      <c r="O139" s="651"/>
      <c r="P139" s="149"/>
      <c r="Q139" s="992" t="str">
        <f>IF(B139=0,"",B139)</f>
        <v/>
      </c>
      <c r="R139" s="68" t="s">
        <v>169</v>
      </c>
      <c r="S139" s="722">
        <f>F139</f>
        <v>0</v>
      </c>
      <c r="T139" s="722">
        <f t="shared" ref="T139:W139" si="62">G139</f>
        <v>0</v>
      </c>
      <c r="U139" s="722">
        <f t="shared" si="62"/>
        <v>0</v>
      </c>
      <c r="V139" s="722">
        <f t="shared" si="62"/>
        <v>0</v>
      </c>
      <c r="W139" s="722">
        <f t="shared" si="62"/>
        <v>0</v>
      </c>
      <c r="X139" s="719">
        <f t="shared" ref="X139:X150" si="63">SUM(S139:W139)</f>
        <v>0</v>
      </c>
      <c r="Y139" s="240"/>
      <c r="Z139" s="240"/>
      <c r="AA139" s="240"/>
      <c r="AB139" s="240"/>
      <c r="AC139" s="240"/>
      <c r="AD139" s="240"/>
      <c r="AE139" s="240"/>
      <c r="AF139" s="240"/>
      <c r="AG139" s="207"/>
      <c r="AH139" s="207"/>
      <c r="AI139" s="207"/>
      <c r="AJ139" s="535"/>
      <c r="AK139" s="236"/>
    </row>
    <row r="140" spans="1:39" ht="13.8" thickBot="1">
      <c r="B140" s="650"/>
      <c r="C140" s="706"/>
      <c r="D140" s="707"/>
      <c r="E140" s="708"/>
      <c r="F140" s="704">
        <v>0</v>
      </c>
      <c r="G140" s="704">
        <v>0</v>
      </c>
      <c r="H140" s="704">
        <v>0</v>
      </c>
      <c r="I140" s="704">
        <v>0</v>
      </c>
      <c r="J140" s="704">
        <v>0</v>
      </c>
      <c r="K140" s="705">
        <f>SUM(F140:J140)</f>
        <v>0</v>
      </c>
      <c r="L140" s="639" t="s">
        <v>192</v>
      </c>
      <c r="M140" s="651"/>
      <c r="N140" s="651"/>
      <c r="O140" s="651"/>
      <c r="P140" s="149"/>
      <c r="Q140" s="993"/>
      <c r="R140" s="68" t="s">
        <v>167</v>
      </c>
      <c r="S140" s="723">
        <f>F139*$C$139</f>
        <v>0</v>
      </c>
      <c r="T140" s="723">
        <f t="shared" ref="T140:W140" si="64">G139*$C$139</f>
        <v>0</v>
      </c>
      <c r="U140" s="723">
        <f t="shared" si="64"/>
        <v>0</v>
      </c>
      <c r="V140" s="723">
        <f t="shared" si="64"/>
        <v>0</v>
      </c>
      <c r="W140" s="723">
        <f t="shared" si="64"/>
        <v>0</v>
      </c>
      <c r="X140" s="719">
        <f t="shared" si="63"/>
        <v>0</v>
      </c>
      <c r="Y140" s="240"/>
      <c r="Z140" s="240"/>
      <c r="AA140" s="240"/>
      <c r="AB140" s="240"/>
      <c r="AC140" s="240"/>
      <c r="AD140" s="240"/>
      <c r="AE140" s="240"/>
      <c r="AF140" s="240"/>
      <c r="AJ140" s="535"/>
      <c r="AK140" s="236"/>
    </row>
    <row r="141" spans="1:39" ht="13.8" thickBot="1">
      <c r="B141" s="650"/>
      <c r="C141" s="706"/>
      <c r="D141" s="707"/>
      <c r="E141" s="707"/>
      <c r="F141" s="704">
        <v>0</v>
      </c>
      <c r="G141" s="704">
        <v>0</v>
      </c>
      <c r="H141" s="704">
        <v>0</v>
      </c>
      <c r="I141" s="704">
        <v>0</v>
      </c>
      <c r="J141" s="704">
        <v>0</v>
      </c>
      <c r="K141" s="705">
        <f>SUM(F141:J141)</f>
        <v>0</v>
      </c>
      <c r="L141" s="639" t="s">
        <v>7865</v>
      </c>
      <c r="M141" s="651"/>
      <c r="N141" s="651"/>
      <c r="O141" s="651"/>
      <c r="P141" s="149"/>
      <c r="Q141" s="993"/>
      <c r="R141" s="72" t="s">
        <v>168</v>
      </c>
      <c r="S141" s="723">
        <f>F139*$D$139</f>
        <v>0</v>
      </c>
      <c r="T141" s="723">
        <f t="shared" ref="T141:W141" si="65">G139*$D$139</f>
        <v>0</v>
      </c>
      <c r="U141" s="723">
        <f t="shared" si="65"/>
        <v>0</v>
      </c>
      <c r="V141" s="723">
        <f t="shared" si="65"/>
        <v>0</v>
      </c>
      <c r="W141" s="723">
        <f t="shared" si="65"/>
        <v>0</v>
      </c>
      <c r="X141" s="719">
        <f t="shared" si="63"/>
        <v>0</v>
      </c>
      <c r="Y141" s="240"/>
      <c r="Z141" s="240"/>
      <c r="AA141" s="240"/>
      <c r="AB141" s="240"/>
      <c r="AC141" s="240"/>
      <c r="AD141" s="240"/>
      <c r="AE141" s="240"/>
      <c r="AF141" s="240"/>
      <c r="AJ141" s="535"/>
      <c r="AK141" s="236"/>
    </row>
    <row r="142" spans="1:39">
      <c r="A142" s="149"/>
      <c r="B142" s="149"/>
      <c r="C142" s="149"/>
      <c r="D142" s="149"/>
      <c r="E142" s="149"/>
      <c r="F142" s="220"/>
      <c r="G142" s="220"/>
      <c r="H142" s="220"/>
      <c r="I142" s="220"/>
      <c r="J142" s="220"/>
      <c r="K142" s="149"/>
      <c r="L142" s="149"/>
      <c r="M142" s="149"/>
      <c r="N142" s="320"/>
      <c r="O142" s="149"/>
      <c r="P142" s="149"/>
      <c r="Q142" s="994"/>
      <c r="R142" s="72" t="s">
        <v>7468</v>
      </c>
      <c r="S142" s="723">
        <f>F139*$E$139</f>
        <v>0</v>
      </c>
      <c r="T142" s="723">
        <f t="shared" ref="T142:W142" si="66">G139*$E$139</f>
        <v>0</v>
      </c>
      <c r="U142" s="723">
        <f t="shared" si="66"/>
        <v>0</v>
      </c>
      <c r="V142" s="723">
        <f t="shared" si="66"/>
        <v>0</v>
      </c>
      <c r="W142" s="723">
        <f t="shared" si="66"/>
        <v>0</v>
      </c>
      <c r="X142" s="719">
        <f t="shared" si="63"/>
        <v>0</v>
      </c>
      <c r="Y142" s="240"/>
      <c r="Z142" s="240"/>
      <c r="AA142" s="240"/>
      <c r="AB142" s="240"/>
      <c r="AC142" s="240"/>
      <c r="AD142" s="240"/>
      <c r="AE142" s="240"/>
      <c r="AF142" s="240"/>
      <c r="AJ142" s="535"/>
      <c r="AK142" s="236"/>
    </row>
    <row r="143" spans="1:39" ht="13.8" thickBot="1">
      <c r="A143" s="149"/>
      <c r="B143" s="149"/>
      <c r="C143" s="149"/>
      <c r="D143" s="149"/>
      <c r="E143" s="149"/>
      <c r="F143" s="220"/>
      <c r="G143" s="220"/>
      <c r="H143" s="220"/>
      <c r="I143" s="220"/>
      <c r="J143" s="220"/>
      <c r="K143" s="149"/>
      <c r="L143" s="149"/>
      <c r="M143" s="149"/>
      <c r="N143" s="320"/>
      <c r="O143" s="149"/>
      <c r="P143" s="149"/>
      <c r="Q143" s="992" t="str">
        <f>IF(B140=0,"",B140)</f>
        <v/>
      </c>
      <c r="R143" s="68" t="s">
        <v>7907</v>
      </c>
      <c r="S143" s="722">
        <f>F140</f>
        <v>0</v>
      </c>
      <c r="T143" s="722">
        <f t="shared" ref="T143:W143" si="67">G140</f>
        <v>0</v>
      </c>
      <c r="U143" s="722">
        <f t="shared" si="67"/>
        <v>0</v>
      </c>
      <c r="V143" s="722">
        <f t="shared" si="67"/>
        <v>0</v>
      </c>
      <c r="W143" s="722">
        <f t="shared" si="67"/>
        <v>0</v>
      </c>
      <c r="X143" s="719">
        <f t="shared" si="63"/>
        <v>0</v>
      </c>
      <c r="Y143" s="240"/>
      <c r="Z143" s="240"/>
      <c r="AA143" s="240"/>
      <c r="AB143" s="240"/>
      <c r="AC143" s="240"/>
      <c r="AD143" s="240"/>
      <c r="AE143" s="240"/>
      <c r="AF143" s="240"/>
      <c r="AJ143" s="535"/>
      <c r="AK143" s="153"/>
    </row>
    <row r="144" spans="1:39" ht="13.8" thickBot="1">
      <c r="A144" s="149"/>
      <c r="B144" s="962" t="s">
        <v>7620</v>
      </c>
      <c r="C144" s="963"/>
      <c r="D144" s="964"/>
      <c r="E144" s="709"/>
      <c r="F144" s="638" t="s">
        <v>170</v>
      </c>
      <c r="G144" s="392" t="s">
        <v>7443</v>
      </c>
      <c r="H144" s="965" t="s">
        <v>7444</v>
      </c>
      <c r="I144" s="965"/>
      <c r="J144" s="710">
        <f>IFERROR(IF(F144=Color!$G$4,D9*E144,D11*E144),"")</f>
        <v>0</v>
      </c>
      <c r="K144" s="149"/>
      <c r="L144" s="149"/>
      <c r="M144" s="149"/>
      <c r="N144" s="320"/>
      <c r="O144" s="149"/>
      <c r="P144" s="149"/>
      <c r="Q144" s="993"/>
      <c r="R144" s="68" t="s">
        <v>167</v>
      </c>
      <c r="S144" s="723">
        <f>F140*$C$140</f>
        <v>0</v>
      </c>
      <c r="T144" s="723">
        <f t="shared" ref="T144:W144" si="68">G140*$C$140</f>
        <v>0</v>
      </c>
      <c r="U144" s="723">
        <f t="shared" si="68"/>
        <v>0</v>
      </c>
      <c r="V144" s="723">
        <f t="shared" si="68"/>
        <v>0</v>
      </c>
      <c r="W144" s="723">
        <f t="shared" si="68"/>
        <v>0</v>
      </c>
      <c r="X144" s="719">
        <f t="shared" si="63"/>
        <v>0</v>
      </c>
      <c r="Y144" s="240"/>
      <c r="Z144" s="240"/>
      <c r="AA144" s="240"/>
      <c r="AB144" s="240"/>
      <c r="AC144" s="240"/>
      <c r="AD144" s="240"/>
      <c r="AE144" s="240"/>
      <c r="AF144" s="240"/>
      <c r="AJ144" s="535"/>
      <c r="AK144" s="153"/>
    </row>
    <row r="145" spans="1:51">
      <c r="A145" s="149"/>
      <c r="B145" s="149"/>
      <c r="C145" s="149"/>
      <c r="D145" s="149"/>
      <c r="E145" s="149"/>
      <c r="F145" s="220"/>
      <c r="G145" s="220"/>
      <c r="H145" s="220"/>
      <c r="I145" s="220"/>
      <c r="J145" s="220"/>
      <c r="K145" s="149"/>
      <c r="L145" s="149"/>
      <c r="M145" s="149"/>
      <c r="N145" s="320"/>
      <c r="O145" s="149"/>
      <c r="P145" s="149"/>
      <c r="Q145" s="993"/>
      <c r="R145" s="72" t="s">
        <v>168</v>
      </c>
      <c r="S145" s="723">
        <f>F140*$D$140</f>
        <v>0</v>
      </c>
      <c r="T145" s="723">
        <f t="shared" ref="T145:W145" si="69">G140*$D$140</f>
        <v>0</v>
      </c>
      <c r="U145" s="723">
        <f t="shared" si="69"/>
        <v>0</v>
      </c>
      <c r="V145" s="723">
        <f t="shared" si="69"/>
        <v>0</v>
      </c>
      <c r="W145" s="723">
        <f t="shared" si="69"/>
        <v>0</v>
      </c>
      <c r="X145" s="719">
        <f t="shared" si="63"/>
        <v>0</v>
      </c>
      <c r="Y145" s="240"/>
      <c r="Z145" s="240"/>
      <c r="AA145" s="240"/>
      <c r="AB145" s="240"/>
      <c r="AC145" s="240"/>
      <c r="AD145" s="240"/>
      <c r="AE145" s="240"/>
      <c r="AF145" s="240"/>
      <c r="AJ145" s="535"/>
      <c r="AK145" s="153"/>
    </row>
    <row r="146" spans="1:51">
      <c r="A146" s="149"/>
      <c r="B146" s="149"/>
      <c r="C146" s="149"/>
      <c r="D146" s="149"/>
      <c r="E146" s="149"/>
      <c r="F146" s="220"/>
      <c r="G146" s="220"/>
      <c r="H146" s="220"/>
      <c r="I146" s="220"/>
      <c r="J146" s="220"/>
      <c r="K146" s="149"/>
      <c r="L146" s="149"/>
      <c r="M146" s="149"/>
      <c r="N146" s="320"/>
      <c r="O146" s="149"/>
      <c r="P146" s="149"/>
      <c r="Q146" s="994"/>
      <c r="R146" s="72" t="s">
        <v>7468</v>
      </c>
      <c r="S146" s="723">
        <f>F140*$E$140</f>
        <v>0</v>
      </c>
      <c r="T146" s="723">
        <f t="shared" ref="T146:W146" si="70">G140*$E$140</f>
        <v>0</v>
      </c>
      <c r="U146" s="723">
        <f t="shared" si="70"/>
        <v>0</v>
      </c>
      <c r="V146" s="723">
        <f t="shared" si="70"/>
        <v>0</v>
      </c>
      <c r="W146" s="723">
        <f t="shared" si="70"/>
        <v>0</v>
      </c>
      <c r="X146" s="719">
        <f t="shared" si="63"/>
        <v>0</v>
      </c>
      <c r="Y146" s="240"/>
      <c r="Z146" s="240"/>
      <c r="AA146" s="240"/>
      <c r="AB146" s="240"/>
      <c r="AC146" s="240"/>
      <c r="AD146" s="240"/>
      <c r="AE146" s="240"/>
      <c r="AF146" s="240"/>
      <c r="AJ146" s="535"/>
      <c r="AK146" s="153"/>
    </row>
    <row r="147" spans="1:51">
      <c r="A147" s="149"/>
      <c r="B147" s="149"/>
      <c r="C147" s="149"/>
      <c r="D147" s="149"/>
      <c r="E147" s="149"/>
      <c r="F147" s="220"/>
      <c r="G147" s="220"/>
      <c r="H147" s="220"/>
      <c r="I147" s="220"/>
      <c r="J147" s="220"/>
      <c r="K147" s="149"/>
      <c r="L147" s="149"/>
      <c r="M147" s="149"/>
      <c r="N147" s="320"/>
      <c r="O147" s="149"/>
      <c r="P147" s="149"/>
      <c r="Q147" s="995" t="str">
        <f>IF(B141=0,"",B141)</f>
        <v/>
      </c>
      <c r="R147" s="68" t="s">
        <v>169</v>
      </c>
      <c r="S147" s="722">
        <f>F141</f>
        <v>0</v>
      </c>
      <c r="T147" s="722">
        <f t="shared" ref="T147:W147" si="71">G141</f>
        <v>0</v>
      </c>
      <c r="U147" s="722">
        <f t="shared" si="71"/>
        <v>0</v>
      </c>
      <c r="V147" s="722">
        <f t="shared" si="71"/>
        <v>0</v>
      </c>
      <c r="W147" s="722">
        <f t="shared" si="71"/>
        <v>0</v>
      </c>
      <c r="X147" s="719">
        <f t="shared" si="63"/>
        <v>0</v>
      </c>
      <c r="Y147" s="240"/>
      <c r="Z147" s="240"/>
      <c r="AA147" s="240"/>
      <c r="AB147" s="240"/>
      <c r="AC147" s="240"/>
      <c r="AD147" s="240"/>
      <c r="AE147" s="240"/>
      <c r="AF147" s="240"/>
      <c r="AJ147" s="535"/>
      <c r="AK147" s="153"/>
    </row>
    <row r="148" spans="1:51">
      <c r="A148" s="149"/>
      <c r="B148" s="149"/>
      <c r="C148" s="149"/>
      <c r="D148" s="149"/>
      <c r="E148" s="149"/>
      <c r="F148" s="220"/>
      <c r="G148" s="220"/>
      <c r="H148" s="220"/>
      <c r="I148" s="220"/>
      <c r="J148" s="220"/>
      <c r="K148" s="149"/>
      <c r="L148" s="149"/>
      <c r="M148" s="149"/>
      <c r="N148" s="320"/>
      <c r="O148" s="149"/>
      <c r="P148" s="149"/>
      <c r="Q148" s="996"/>
      <c r="R148" s="68" t="s">
        <v>167</v>
      </c>
      <c r="S148" s="723">
        <f>F141*$C$141</f>
        <v>0</v>
      </c>
      <c r="T148" s="723">
        <f t="shared" ref="T148:W148" si="72">G141*$C$141</f>
        <v>0</v>
      </c>
      <c r="U148" s="723">
        <f t="shared" si="72"/>
        <v>0</v>
      </c>
      <c r="V148" s="723">
        <f t="shared" si="72"/>
        <v>0</v>
      </c>
      <c r="W148" s="723">
        <f t="shared" si="72"/>
        <v>0</v>
      </c>
      <c r="X148" s="719">
        <f t="shared" si="63"/>
        <v>0</v>
      </c>
      <c r="Y148" s="240"/>
      <c r="Z148" s="240"/>
      <c r="AA148" s="240"/>
      <c r="AB148" s="240"/>
      <c r="AC148" s="240"/>
      <c r="AD148" s="240"/>
      <c r="AE148" s="240"/>
      <c r="AF148" s="240"/>
      <c r="AJ148" s="535"/>
      <c r="AK148" s="153"/>
    </row>
    <row r="149" spans="1:51">
      <c r="A149" s="149"/>
      <c r="B149" s="149"/>
      <c r="C149" s="149"/>
      <c r="D149" s="149"/>
      <c r="E149" s="149"/>
      <c r="F149" s="220"/>
      <c r="G149" s="220"/>
      <c r="H149" s="220"/>
      <c r="I149" s="220"/>
      <c r="J149" s="220"/>
      <c r="K149" s="149"/>
      <c r="L149" s="149"/>
      <c r="M149" s="149"/>
      <c r="N149" s="320"/>
      <c r="O149" s="149"/>
      <c r="P149" s="149"/>
      <c r="Q149" s="996"/>
      <c r="R149" s="72" t="s">
        <v>168</v>
      </c>
      <c r="S149" s="723">
        <f>F141*$D$141</f>
        <v>0</v>
      </c>
      <c r="T149" s="723">
        <f t="shared" ref="T149:W149" si="73">G141*$D$141</f>
        <v>0</v>
      </c>
      <c r="U149" s="723">
        <f t="shared" si="73"/>
        <v>0</v>
      </c>
      <c r="V149" s="723">
        <f t="shared" si="73"/>
        <v>0</v>
      </c>
      <c r="W149" s="723">
        <f t="shared" si="73"/>
        <v>0</v>
      </c>
      <c r="X149" s="719">
        <f t="shared" si="63"/>
        <v>0</v>
      </c>
      <c r="Y149" s="240"/>
      <c r="Z149" s="240"/>
      <c r="AA149" s="240"/>
      <c r="AB149" s="240"/>
      <c r="AC149" s="240"/>
      <c r="AD149" s="240"/>
      <c r="AE149" s="240"/>
      <c r="AF149" s="240"/>
      <c r="AJ149" s="535"/>
      <c r="AK149" s="153"/>
    </row>
    <row r="150" spans="1:51" s="149" customFormat="1">
      <c r="N150" s="320"/>
      <c r="Q150" s="996"/>
      <c r="R150" s="72" t="s">
        <v>7468</v>
      </c>
      <c r="S150" s="723">
        <f>F141*$E$141</f>
        <v>0</v>
      </c>
      <c r="T150" s="723">
        <f t="shared" ref="T150:W150" si="74">G141*$E$141</f>
        <v>0</v>
      </c>
      <c r="U150" s="723">
        <f t="shared" si="74"/>
        <v>0</v>
      </c>
      <c r="V150" s="723">
        <f t="shared" si="74"/>
        <v>0</v>
      </c>
      <c r="W150" s="723">
        <f t="shared" si="74"/>
        <v>0</v>
      </c>
      <c r="X150" s="719">
        <f t="shared" si="63"/>
        <v>0</v>
      </c>
      <c r="Y150" s="240"/>
      <c r="Z150" s="240"/>
      <c r="AA150" s="240"/>
      <c r="AB150" s="240"/>
      <c r="AC150" s="240"/>
      <c r="AD150" s="240"/>
      <c r="AE150" s="240"/>
      <c r="AF150" s="240"/>
      <c r="AG150" s="235"/>
      <c r="AH150" s="235"/>
      <c r="AI150" s="235"/>
      <c r="AJ150" s="535"/>
      <c r="AK150" s="153"/>
      <c r="AL150" s="235"/>
      <c r="AM150" s="235"/>
      <c r="AN150" s="59"/>
      <c r="AO150" s="59"/>
      <c r="AP150" s="59"/>
    </row>
    <row r="151" spans="1:51">
      <c r="A151" s="149"/>
      <c r="B151" s="149"/>
      <c r="C151" s="149"/>
      <c r="D151" s="143"/>
      <c r="E151" s="143"/>
      <c r="F151" s="385"/>
      <c r="G151" s="385"/>
      <c r="H151" s="385"/>
      <c r="I151" s="385"/>
      <c r="J151" s="385"/>
      <c r="K151" s="143"/>
      <c r="L151" s="149"/>
      <c r="M151" s="149"/>
      <c r="N151" s="325"/>
      <c r="O151" s="149"/>
      <c r="P151" s="149"/>
      <c r="Q151" s="149"/>
      <c r="R151" s="149"/>
      <c r="S151" s="220"/>
      <c r="T151" s="220"/>
      <c r="U151" s="220"/>
      <c r="V151" s="220"/>
      <c r="W151" s="220"/>
      <c r="X151" s="220"/>
      <c r="Y151" s="231"/>
      <c r="Z151" s="231"/>
      <c r="AA151" s="231"/>
      <c r="AB151" s="231"/>
      <c r="AC151" s="231"/>
      <c r="AD151" s="231"/>
      <c r="AE151" s="231"/>
      <c r="AF151" s="231"/>
      <c r="AG151" s="149"/>
      <c r="AH151" s="149"/>
      <c r="AI151" s="149"/>
      <c r="AJ151" s="333" t="s">
        <v>7452</v>
      </c>
      <c r="AK151" s="153"/>
    </row>
    <row r="152" spans="1:51">
      <c r="A152" s="149"/>
      <c r="B152" s="149"/>
      <c r="C152" s="149"/>
      <c r="D152" s="143"/>
      <c r="E152" s="143"/>
      <c r="F152" s="143"/>
      <c r="G152" s="143"/>
      <c r="H152" s="385"/>
      <c r="I152" s="385"/>
      <c r="J152" s="385"/>
      <c r="K152" s="385"/>
      <c r="L152" s="220"/>
      <c r="M152" s="149"/>
      <c r="N152" s="320"/>
      <c r="O152" s="149"/>
      <c r="P152" s="149"/>
      <c r="Q152" s="935" t="s">
        <v>7678</v>
      </c>
      <c r="R152" s="935"/>
      <c r="S152" s="935"/>
      <c r="T152" s="935"/>
      <c r="U152" s="935"/>
      <c r="V152" s="935"/>
      <c r="W152" s="935"/>
      <c r="X152" s="935"/>
      <c r="Y152" s="265"/>
      <c r="Z152" s="237"/>
      <c r="AA152" s="237"/>
      <c r="AB152" s="237"/>
      <c r="AC152" s="237"/>
      <c r="AD152" s="237"/>
      <c r="AE152" s="804"/>
      <c r="AF152" s="804"/>
      <c r="AG152" s="251" t="s">
        <v>7454</v>
      </c>
      <c r="AH152" s="252" t="str">
        <f>$Q$139</f>
        <v/>
      </c>
      <c r="AI152" s="253" t="str">
        <f t="shared" ref="AI152:AI167" si="75">AG152&amp;AH152</f>
        <v>金額配分</v>
      </c>
      <c r="AJ152" s="254" t="e">
        <f>$X$141/($J$144+$X$141+$X$145+$X$149)</f>
        <v>#DIV/0!</v>
      </c>
      <c r="AK152" s="153"/>
    </row>
    <row r="153" spans="1:51">
      <c r="A153" s="149"/>
      <c r="B153" s="149"/>
      <c r="C153" s="149"/>
      <c r="D153" s="143"/>
      <c r="E153" s="143"/>
      <c r="F153" s="143"/>
      <c r="G153" s="143"/>
      <c r="H153" s="385"/>
      <c r="I153" s="385"/>
      <c r="J153" s="385"/>
      <c r="K153" s="385"/>
      <c r="L153" s="220"/>
      <c r="M153" s="149"/>
      <c r="N153" s="320"/>
      <c r="O153" s="149"/>
      <c r="P153" s="149"/>
      <c r="Q153" s="149"/>
      <c r="R153" s="149"/>
      <c r="S153" s="220"/>
      <c r="T153" s="220"/>
      <c r="U153" s="220"/>
      <c r="V153" s="220"/>
      <c r="W153" s="220"/>
      <c r="X153" s="220"/>
      <c r="Y153" s="231"/>
      <c r="Z153" s="231"/>
      <c r="AA153" s="231"/>
      <c r="AB153" s="231"/>
      <c r="AC153" s="231"/>
      <c r="AD153" s="231"/>
      <c r="AE153" s="231"/>
      <c r="AF153" s="231"/>
      <c r="AG153" s="255" t="s">
        <v>7454</v>
      </c>
      <c r="AH153" s="252" t="str">
        <f>$Q$147</f>
        <v/>
      </c>
      <c r="AI153" s="253" t="str">
        <f t="shared" si="75"/>
        <v>金額配分</v>
      </c>
      <c r="AJ153" s="254" t="e">
        <f>$X$149/($J$144+$X$141+$X$145+$X$149)</f>
        <v>#DIV/0!</v>
      </c>
      <c r="AK153" s="153"/>
      <c r="AL153" s="153"/>
      <c r="AN153" s="235"/>
    </row>
    <row r="154" spans="1:51" ht="13.5" customHeight="1">
      <c r="A154" s="149"/>
      <c r="B154" s="149"/>
      <c r="C154" s="149"/>
      <c r="D154" s="143"/>
      <c r="E154" s="143"/>
      <c r="F154" s="143"/>
      <c r="G154" s="143"/>
      <c r="H154" s="143"/>
      <c r="I154" s="385"/>
      <c r="J154" s="385"/>
      <c r="K154" s="385"/>
      <c r="L154" s="220"/>
      <c r="M154" s="149"/>
      <c r="N154" s="320"/>
      <c r="O154" s="149"/>
      <c r="P154" s="149"/>
      <c r="Q154" s="890" t="s">
        <v>173</v>
      </c>
      <c r="R154" s="892"/>
      <c r="S154" s="1016" t="s">
        <v>7666</v>
      </c>
      <c r="T154" s="1017"/>
      <c r="U154" s="1017"/>
      <c r="V154" s="1017"/>
      <c r="W154" s="1017"/>
      <c r="X154" s="1018"/>
      <c r="Y154" s="238"/>
      <c r="Z154" s="149"/>
      <c r="AA154" s="149"/>
      <c r="AB154" s="149"/>
      <c r="AC154" s="149"/>
      <c r="AD154" s="149"/>
      <c r="AE154" s="149"/>
      <c r="AF154" s="149"/>
      <c r="AG154" s="255" t="s">
        <v>7454</v>
      </c>
      <c r="AH154" s="252" t="str">
        <f>$Q$143</f>
        <v/>
      </c>
      <c r="AI154" s="253" t="str">
        <f t="shared" si="75"/>
        <v>金額配分</v>
      </c>
      <c r="AJ154" s="254" t="e">
        <f>$X$145/($J$144+$X$141+$X$145+$X$149)</f>
        <v>#DIV/0!</v>
      </c>
      <c r="AK154" s="59"/>
      <c r="AL154" s="59"/>
      <c r="AM154" s="59"/>
    </row>
    <row r="155" spans="1:51">
      <c r="A155" s="149"/>
      <c r="B155" s="149"/>
      <c r="C155" s="149"/>
      <c r="D155" s="143"/>
      <c r="E155" s="143"/>
      <c r="F155" s="143"/>
      <c r="G155" s="143"/>
      <c r="H155" s="143"/>
      <c r="I155" s="385"/>
      <c r="J155" s="385"/>
      <c r="K155" s="385"/>
      <c r="L155" s="220"/>
      <c r="M155" s="149"/>
      <c r="N155" s="320"/>
      <c r="O155" s="149"/>
      <c r="P155" s="149"/>
      <c r="Q155" s="896"/>
      <c r="R155" s="898"/>
      <c r="S155" s="312" t="s">
        <v>7905</v>
      </c>
      <c r="T155" s="312" t="s">
        <v>7908</v>
      </c>
      <c r="U155" s="312" t="s">
        <v>7061</v>
      </c>
      <c r="V155" s="312" t="s">
        <v>7062</v>
      </c>
      <c r="W155" s="312" t="s">
        <v>7063</v>
      </c>
      <c r="X155" s="314" t="s">
        <v>7436</v>
      </c>
      <c r="Y155" s="231"/>
      <c r="Z155" s="149"/>
      <c r="AA155" s="149"/>
      <c r="AB155" s="149"/>
      <c r="AC155" s="149"/>
      <c r="AD155" s="149"/>
      <c r="AE155" s="149"/>
      <c r="AF155" s="149"/>
      <c r="AG155" s="256" t="s">
        <v>7454</v>
      </c>
      <c r="AH155" s="252" t="s">
        <v>145</v>
      </c>
      <c r="AI155" s="253" t="str">
        <f t="shared" si="75"/>
        <v>金額配分水素</v>
      </c>
      <c r="AJ155" s="254" t="e">
        <f>$J$144/($J$144+$X$141+$X$145+$X$149)</f>
        <v>#DIV/0!</v>
      </c>
      <c r="AK155" s="59"/>
      <c r="AL155" s="59"/>
      <c r="AM155" s="59"/>
    </row>
    <row r="156" spans="1:51">
      <c r="A156" s="149"/>
      <c r="B156" s="149"/>
      <c r="C156" s="149"/>
      <c r="D156" s="143"/>
      <c r="E156" s="143"/>
      <c r="F156" s="143"/>
      <c r="G156" s="143"/>
      <c r="H156" s="143"/>
      <c r="I156" s="385"/>
      <c r="J156" s="385"/>
      <c r="K156" s="385"/>
      <c r="L156" s="220"/>
      <c r="M156" s="149"/>
      <c r="N156" s="320"/>
      <c r="O156" s="149"/>
      <c r="P156" s="149"/>
      <c r="Q156" s="990" t="s">
        <v>6979</v>
      </c>
      <c r="R156" s="991"/>
      <c r="S156" s="690">
        <f>IFERROR(S$33+S$53+S60+S$71+S$88+S$98+S$107+S$123+S$130,"")</f>
        <v>0.54957132461817793</v>
      </c>
      <c r="T156" s="690">
        <f>IFERROR(T$33+T$53+T60+T$71+T$88+T$98+T$107+T$123+T$130,"")</f>
        <v>1.2481643445199546</v>
      </c>
      <c r="U156" s="690">
        <f>IFERROR(U$33+U$53+U60+U$71+U$88+U$98+U$107+U$123+U$130,"")</f>
        <v>0.78539692721504928</v>
      </c>
      <c r="V156" s="690">
        <f>IFERROR(V$33+V$53+V60+V$71+V$88+V$98+V$107+V$123+V$130,"")</f>
        <v>0</v>
      </c>
      <c r="W156" s="690">
        <f>IFERROR(W$33+W$53+W60+W$71+W$88+W$98+W$107+W$123+W$130,"")</f>
        <v>0</v>
      </c>
      <c r="X156" s="724">
        <f t="shared" ref="X156:X172" si="76">SUM(S156:W156)</f>
        <v>2.5831325963531819</v>
      </c>
      <c r="Y156" s="239"/>
      <c r="Z156" s="231"/>
      <c r="AA156" s="231"/>
      <c r="AB156" s="231"/>
      <c r="AC156" s="231"/>
      <c r="AD156" s="149"/>
      <c r="AE156" s="149"/>
      <c r="AF156" s="149"/>
      <c r="AG156" s="251" t="s">
        <v>7453</v>
      </c>
      <c r="AH156" s="252" t="str">
        <f>$Q$139</f>
        <v/>
      </c>
      <c r="AI156" s="253" t="str">
        <f t="shared" si="75"/>
        <v>重量配分</v>
      </c>
      <c r="AJ156" s="254">
        <f>$X$139/($D$9+$X$139+$X$143+$X$147)</f>
        <v>0</v>
      </c>
      <c r="AK156" s="59"/>
      <c r="AL156" s="59"/>
      <c r="AM156" s="59"/>
      <c r="AT156" s="683"/>
      <c r="AU156" s="683" t="str">
        <f>Q157</f>
        <v>重量配分</v>
      </c>
      <c r="AV156" s="683" t="str">
        <f>Q161</f>
        <v>熱量配分</v>
      </c>
      <c r="AW156" s="683" t="str">
        <f>Q165</f>
        <v>金額配分</v>
      </c>
      <c r="AX156" s="683" t="str">
        <f>Q169</f>
        <v>体積配分</v>
      </c>
      <c r="AY156" s="683" t="str">
        <f>Q173</f>
        <v>代替</v>
      </c>
    </row>
    <row r="157" spans="1:51">
      <c r="A157" s="149"/>
      <c r="B157" s="149"/>
      <c r="C157" s="149"/>
      <c r="D157" s="143"/>
      <c r="E157" s="143"/>
      <c r="F157" s="143"/>
      <c r="G157" s="143"/>
      <c r="H157" s="143"/>
      <c r="I157" s="385"/>
      <c r="J157" s="385"/>
      <c r="K157" s="385"/>
      <c r="L157" s="220"/>
      <c r="M157" s="149"/>
      <c r="N157" s="320"/>
      <c r="O157" s="149"/>
      <c r="P157" s="149"/>
      <c r="Q157" s="77" t="s">
        <v>7453</v>
      </c>
      <c r="R157" s="76" t="s">
        <v>145</v>
      </c>
      <c r="S157" s="690">
        <f>IFERROR(S$156*$D$9/($D$9+$X$139+$X$143+$X$147),"")</f>
        <v>0.54957132461817793</v>
      </c>
      <c r="T157" s="690">
        <f>IFERROR(T$156*$D$9/($D$9+$X$139+$X$143+$X$147),"")</f>
        <v>1.2481643445199546</v>
      </c>
      <c r="U157" s="690">
        <f>IFERROR(U$156*$D$9/($D$9+$X$139+$X$143+$X$147),"")</f>
        <v>0.78539692721504928</v>
      </c>
      <c r="V157" s="690">
        <f>IFERROR(V$156*$D$9/($D$9+$X$139+$X$143+$X$147),"")</f>
        <v>0</v>
      </c>
      <c r="W157" s="690">
        <f>IFERROR(W$156*$D$9/($D$9+$X$139+$X$143+$X$147),"")</f>
        <v>0</v>
      </c>
      <c r="X157" s="724">
        <f t="shared" si="76"/>
        <v>2.5831325963531819</v>
      </c>
      <c r="Y157" s="240"/>
      <c r="Z157" s="231"/>
      <c r="AA157" s="231"/>
      <c r="AB157" s="231"/>
      <c r="AC157" s="231"/>
      <c r="AD157" s="153"/>
      <c r="AE157" s="153"/>
      <c r="AF157" s="153"/>
      <c r="AG157" s="255" t="s">
        <v>7453</v>
      </c>
      <c r="AH157" s="252" t="str">
        <f>$Q$147</f>
        <v/>
      </c>
      <c r="AI157" s="253" t="str">
        <f t="shared" si="75"/>
        <v>重量配分</v>
      </c>
      <c r="AJ157" s="254">
        <f>$X$147/($D$9+$X$139+$X$143+$X$147)</f>
        <v>0</v>
      </c>
      <c r="AK157" s="59"/>
      <c r="AL157" s="59"/>
      <c r="AM157" s="59"/>
      <c r="AT157" s="683" t="str">
        <f>R157</f>
        <v>水素</v>
      </c>
      <c r="AU157" s="684">
        <f>X157</f>
        <v>2.5831325963531819</v>
      </c>
      <c r="AV157" s="684">
        <f>X161</f>
        <v>2.5831325963531819</v>
      </c>
      <c r="AW157" s="684">
        <f>X165</f>
        <v>0</v>
      </c>
      <c r="AX157" s="684">
        <f>X169</f>
        <v>2.5831325963531819</v>
      </c>
      <c r="AY157" s="684">
        <f>X176</f>
        <v>2.5831325963531819</v>
      </c>
    </row>
    <row r="158" spans="1:51">
      <c r="A158" s="149"/>
      <c r="B158" s="149"/>
      <c r="C158" s="149"/>
      <c r="D158" s="143"/>
      <c r="E158" s="143"/>
      <c r="F158" s="143"/>
      <c r="G158" s="143"/>
      <c r="H158" s="143"/>
      <c r="I158" s="385"/>
      <c r="J158" s="385"/>
      <c r="K158" s="385"/>
      <c r="L158" s="220"/>
      <c r="M158" s="149"/>
      <c r="N158" s="320"/>
      <c r="O158" s="149"/>
      <c r="P158" s="149"/>
      <c r="Q158" s="78" t="s">
        <v>7453</v>
      </c>
      <c r="R158" s="68" t="str">
        <f>$Q$139</f>
        <v/>
      </c>
      <c r="S158" s="690">
        <f>IFERROR(S$156*$X$139/($D$9+$X$139+$X$143+$X$147),"")</f>
        <v>0</v>
      </c>
      <c r="T158" s="690">
        <f>IFERROR(T$156*$X$139/($D$9+$X$139+$X$143+$X$147),"")</f>
        <v>0</v>
      </c>
      <c r="U158" s="690">
        <f>IFERROR(U$156*$X$139/($D$9+$X$139+$X$143+$X$147),"")</f>
        <v>0</v>
      </c>
      <c r="V158" s="690">
        <f>IFERROR(V$156*$X$139/($D$9+$X$139+$X$143+$X$147),"")</f>
        <v>0</v>
      </c>
      <c r="W158" s="690">
        <f>IFERROR(W$156*$X$139/($D$9+$X$139+$X$143+$X$147),"")</f>
        <v>0</v>
      </c>
      <c r="X158" s="724">
        <f t="shared" si="76"/>
        <v>0</v>
      </c>
      <c r="Y158" s="240"/>
      <c r="Z158" s="231"/>
      <c r="AA158" s="231"/>
      <c r="AB158" s="231"/>
      <c r="AC158" s="231"/>
      <c r="AD158" s="153"/>
      <c r="AE158" s="153"/>
      <c r="AF158" s="153"/>
      <c r="AG158" s="255" t="s">
        <v>7453</v>
      </c>
      <c r="AH158" s="252" t="str">
        <f>$Q$143</f>
        <v/>
      </c>
      <c r="AI158" s="253" t="str">
        <f t="shared" si="75"/>
        <v>重量配分</v>
      </c>
      <c r="AJ158" s="254">
        <f>$X$143/($D$9+$X$139+$X$143+$X$147)</f>
        <v>0</v>
      </c>
      <c r="AK158" s="59"/>
      <c r="AL158" s="59"/>
      <c r="AM158" s="59"/>
      <c r="AT158" s="683" t="str">
        <f>R158</f>
        <v/>
      </c>
      <c r="AU158" s="684">
        <f>X158</f>
        <v>0</v>
      </c>
      <c r="AV158" s="684">
        <f>X162</f>
        <v>0</v>
      </c>
      <c r="AW158" s="684">
        <f>X166</f>
        <v>0</v>
      </c>
      <c r="AX158" s="684">
        <f>X170</f>
        <v>0</v>
      </c>
      <c r="AY158" s="684">
        <f>X173</f>
        <v>0</v>
      </c>
    </row>
    <row r="159" spans="1:51">
      <c r="A159" s="149"/>
      <c r="B159" s="149"/>
      <c r="C159" s="149"/>
      <c r="D159" s="143"/>
      <c r="E159" s="143"/>
      <c r="F159" s="143"/>
      <c r="G159" s="143"/>
      <c r="H159" s="143"/>
      <c r="I159" s="385"/>
      <c r="J159" s="385"/>
      <c r="K159" s="385"/>
      <c r="L159" s="220"/>
      <c r="M159" s="149"/>
      <c r="N159" s="320"/>
      <c r="O159" s="149"/>
      <c r="P159" s="149"/>
      <c r="Q159" s="79" t="s">
        <v>7453</v>
      </c>
      <c r="R159" s="68" t="str">
        <f>$Q$143</f>
        <v/>
      </c>
      <c r="S159" s="690">
        <f>IFERROR(S$156*$X$143/($D$9+$X$139+$X$143+$X$147),"")</f>
        <v>0</v>
      </c>
      <c r="T159" s="690">
        <f>IFERROR(T$156*$X$143/($D$9+$X$139+$X$143+$X$147),"")</f>
        <v>0</v>
      </c>
      <c r="U159" s="690">
        <f>IFERROR(U$156*$X$143/($D$9+$X$139+$X$143+$X$147),"")</f>
        <v>0</v>
      </c>
      <c r="V159" s="690">
        <f>IFERROR(V$156*$X$143/($D$9+$X$139+$X$143+$X$147),"")</f>
        <v>0</v>
      </c>
      <c r="W159" s="690">
        <f>IFERROR(W$156*$X$143/($D$9+$X$139+$X$143+$X$147),"")</f>
        <v>0</v>
      </c>
      <c r="X159" s="724">
        <f t="shared" si="76"/>
        <v>0</v>
      </c>
      <c r="Y159" s="240"/>
      <c r="Z159" s="231"/>
      <c r="AA159" s="231"/>
      <c r="AB159" s="231"/>
      <c r="AC159" s="231"/>
      <c r="AD159" s="153"/>
      <c r="AE159" s="153"/>
      <c r="AF159" s="153"/>
      <c r="AG159" s="256" t="s">
        <v>7453</v>
      </c>
      <c r="AH159" s="252" t="s">
        <v>145</v>
      </c>
      <c r="AI159" s="253" t="str">
        <f t="shared" si="75"/>
        <v>重量配分水素</v>
      </c>
      <c r="AJ159" s="254">
        <f>$D$9/($D$9+$X$139+$X$143+$X$147)</f>
        <v>1</v>
      </c>
      <c r="AK159" s="59"/>
      <c r="AL159" s="59"/>
      <c r="AM159" s="59"/>
      <c r="AT159" s="683" t="str">
        <f>R159</f>
        <v/>
      </c>
      <c r="AU159" s="684">
        <f>X159</f>
        <v>0</v>
      </c>
      <c r="AV159" s="684">
        <f>X163</f>
        <v>0</v>
      </c>
      <c r="AW159" s="684">
        <f>X167</f>
        <v>0</v>
      </c>
      <c r="AX159" s="684">
        <f>X171</f>
        <v>0</v>
      </c>
      <c r="AY159" s="684">
        <f>X174</f>
        <v>0</v>
      </c>
    </row>
    <row r="160" spans="1:51">
      <c r="A160" s="149"/>
      <c r="B160" s="149"/>
      <c r="C160" s="149"/>
      <c r="D160" s="143"/>
      <c r="E160" s="143"/>
      <c r="F160" s="143"/>
      <c r="G160" s="143"/>
      <c r="H160" s="143"/>
      <c r="I160" s="385"/>
      <c r="J160" s="385"/>
      <c r="K160" s="385"/>
      <c r="L160" s="220"/>
      <c r="M160" s="149"/>
      <c r="N160" s="320"/>
      <c r="O160" s="149"/>
      <c r="P160" s="149"/>
      <c r="Q160" s="80" t="s">
        <v>7453</v>
      </c>
      <c r="R160" s="68" t="str">
        <f>$Q$147</f>
        <v/>
      </c>
      <c r="S160" s="690">
        <f>IFERROR(S$156*$X$147/($D$9+$X$139+$X$143+$X$147),"")</f>
        <v>0</v>
      </c>
      <c r="T160" s="690">
        <f>IFERROR(T$156*$X$147/($D$9+$X$139+$X$143+$X$147),"")</f>
        <v>0</v>
      </c>
      <c r="U160" s="690">
        <f>IFERROR(U$156*$X$147/($D$9+$X$139+$X$143+$X$147),"")</f>
        <v>0</v>
      </c>
      <c r="V160" s="690">
        <f>IFERROR(V$156*$X$147/($D$9+$X$139+$X$143+$X$147),"")</f>
        <v>0</v>
      </c>
      <c r="W160" s="690">
        <f>IFERROR(W$156*$X$147/($D$9+$X$139+$X$143+$X$147),"")</f>
        <v>0</v>
      </c>
      <c r="X160" s="724">
        <f t="shared" si="76"/>
        <v>0</v>
      </c>
      <c r="Y160" s="240"/>
      <c r="Z160" s="231"/>
      <c r="AA160" s="231"/>
      <c r="AB160" s="231"/>
      <c r="AC160" s="231"/>
      <c r="AD160" s="153"/>
      <c r="AE160" s="153"/>
      <c r="AF160" s="153"/>
      <c r="AG160" s="251" t="s">
        <v>7455</v>
      </c>
      <c r="AH160" s="252" t="str">
        <f>$Q$139</f>
        <v/>
      </c>
      <c r="AI160" s="253" t="str">
        <f t="shared" si="75"/>
        <v>熱量配分</v>
      </c>
      <c r="AJ160" s="254">
        <f>$X$140/($D$10+$X$140+$X$144+$X$148)</f>
        <v>0</v>
      </c>
      <c r="AK160" s="59"/>
      <c r="AL160" s="59"/>
      <c r="AM160" s="59"/>
      <c r="AT160" s="683" t="str">
        <f>R160</f>
        <v/>
      </c>
      <c r="AU160" s="684">
        <f>X160</f>
        <v>0</v>
      </c>
      <c r="AV160" s="684">
        <f>X164</f>
        <v>0</v>
      </c>
      <c r="AW160" s="684">
        <f>X168</f>
        <v>0</v>
      </c>
      <c r="AX160" s="684">
        <f>X172</f>
        <v>0</v>
      </c>
      <c r="AY160" s="684">
        <f>X175</f>
        <v>0</v>
      </c>
    </row>
    <row r="161" spans="1:51">
      <c r="A161" s="149"/>
      <c r="B161" s="149"/>
      <c r="C161" s="149"/>
      <c r="D161" s="143"/>
      <c r="E161" s="143"/>
      <c r="F161" s="143"/>
      <c r="G161" s="143"/>
      <c r="H161" s="143"/>
      <c r="I161" s="385"/>
      <c r="J161" s="385"/>
      <c r="K161" s="385"/>
      <c r="L161" s="220"/>
      <c r="M161" s="149"/>
      <c r="N161" s="320"/>
      <c r="O161" s="149"/>
      <c r="P161" s="149"/>
      <c r="Q161" s="77" t="s">
        <v>7455</v>
      </c>
      <c r="R161" s="76" t="s">
        <v>145</v>
      </c>
      <c r="S161" s="690">
        <f>IFERROR(S$156*$D$10/($D$10+$X$140+$X$144+$X$148),"")</f>
        <v>0.54957132461817793</v>
      </c>
      <c r="T161" s="690">
        <f>IFERROR(T$156*$D$10/($D$10+$X$140+$X$144+$X$148),"")</f>
        <v>1.2481643445199546</v>
      </c>
      <c r="U161" s="690">
        <f>IFERROR(U$156*$D$10/($D$10+$X$140+$X$144+$X$148),"")</f>
        <v>0.78539692721504928</v>
      </c>
      <c r="V161" s="690">
        <f>IFERROR(V$156*$D$10/($D$10+$X$140+$X$144+$X$148),"")</f>
        <v>0</v>
      </c>
      <c r="W161" s="690">
        <f>IFERROR(W$156*$D$10/($D$10+$X$140+$X$144+$X$148),"")</f>
        <v>0</v>
      </c>
      <c r="X161" s="724">
        <f t="shared" si="76"/>
        <v>2.5831325963531819</v>
      </c>
      <c r="Y161" s="240"/>
      <c r="Z161" s="231"/>
      <c r="AA161" s="231"/>
      <c r="AB161" s="231"/>
      <c r="AC161" s="231"/>
      <c r="AD161" s="153"/>
      <c r="AE161" s="153"/>
      <c r="AF161" s="153"/>
      <c r="AG161" s="255" t="s">
        <v>7455</v>
      </c>
      <c r="AH161" s="252" t="str">
        <f>$Q$147</f>
        <v/>
      </c>
      <c r="AI161" s="253" t="str">
        <f t="shared" si="75"/>
        <v>熱量配分</v>
      </c>
      <c r="AJ161" s="254">
        <f>$X$148/($D$10+$X$140+$X$144+$X$148)</f>
        <v>0</v>
      </c>
      <c r="AK161" s="59"/>
      <c r="AL161" s="59"/>
      <c r="AM161" s="59"/>
      <c r="AT161" s="683"/>
      <c r="AU161" s="683"/>
      <c r="AV161" s="683"/>
      <c r="AW161" s="683"/>
      <c r="AX161" s="683"/>
      <c r="AY161" s="683"/>
    </row>
    <row r="162" spans="1:51">
      <c r="A162" s="149"/>
      <c r="B162" s="149"/>
      <c r="C162" s="149"/>
      <c r="D162" s="143"/>
      <c r="E162" s="143"/>
      <c r="F162" s="143"/>
      <c r="G162" s="143"/>
      <c r="H162" s="143"/>
      <c r="I162" s="385"/>
      <c r="J162" s="385"/>
      <c r="K162" s="385"/>
      <c r="L162" s="220"/>
      <c r="M162" s="149"/>
      <c r="N162" s="320"/>
      <c r="O162" s="149"/>
      <c r="P162" s="149"/>
      <c r="Q162" s="79" t="s">
        <v>7455</v>
      </c>
      <c r="R162" s="68" t="str">
        <f>Q139</f>
        <v/>
      </c>
      <c r="S162" s="690">
        <f>IFERROR(S$156*$X$140/($D$10+$X$140+$X$144+$X$148),"")</f>
        <v>0</v>
      </c>
      <c r="T162" s="690">
        <f>IFERROR(T$156*$X$140/($D$10+$X$140+$X$144+$X$148),"")</f>
        <v>0</v>
      </c>
      <c r="U162" s="690">
        <f>IFERROR(U$156*$X$140/($D$10+$X$140+$X$144+$X$148),"")</f>
        <v>0</v>
      </c>
      <c r="V162" s="690">
        <f>IFERROR(V$156*$X$140/($D$10+$X$140+$X$144+$X$148),"")</f>
        <v>0</v>
      </c>
      <c r="W162" s="690">
        <f>IFERROR(W$156*$X$140/($D$10+$X$140+$X$144+$X$148),"")</f>
        <v>0</v>
      </c>
      <c r="X162" s="724">
        <f t="shared" si="76"/>
        <v>0</v>
      </c>
      <c r="Y162" s="240"/>
      <c r="Z162" s="231"/>
      <c r="AA162" s="231"/>
      <c r="AB162" s="231"/>
      <c r="AC162" s="231"/>
      <c r="AD162" s="153"/>
      <c r="AE162" s="153"/>
      <c r="AF162" s="153"/>
      <c r="AG162" s="255" t="s">
        <v>7455</v>
      </c>
      <c r="AH162" s="252" t="str">
        <f>$Q$143</f>
        <v/>
      </c>
      <c r="AI162" s="253" t="str">
        <f t="shared" si="75"/>
        <v>熱量配分</v>
      </c>
      <c r="AJ162" s="254">
        <f>$X$144/($D$10+$X$140+$X$144+$X$148)</f>
        <v>0</v>
      </c>
      <c r="AK162" s="59"/>
      <c r="AL162" s="59"/>
      <c r="AM162" s="59"/>
      <c r="AT162" s="683"/>
      <c r="AU162" s="683" t="str">
        <f>AU156</f>
        <v>重量配分</v>
      </c>
      <c r="AV162" s="683" t="str">
        <f>AV156</f>
        <v>熱量配分</v>
      </c>
      <c r="AW162" s="683" t="str">
        <f>AW156</f>
        <v>金額配分</v>
      </c>
      <c r="AX162" s="683" t="str">
        <f>AX156</f>
        <v>体積配分</v>
      </c>
      <c r="AY162" s="683" t="str">
        <f>AY156</f>
        <v>代替</v>
      </c>
    </row>
    <row r="163" spans="1:51">
      <c r="A163" s="149"/>
      <c r="B163" s="149"/>
      <c r="C163" s="149"/>
      <c r="D163" s="143"/>
      <c r="E163" s="143"/>
      <c r="F163" s="143"/>
      <c r="G163" s="143"/>
      <c r="H163" s="143"/>
      <c r="I163" s="385"/>
      <c r="J163" s="385"/>
      <c r="K163" s="385"/>
      <c r="L163" s="220"/>
      <c r="M163" s="149"/>
      <c r="N163" s="320"/>
      <c r="O163" s="149"/>
      <c r="P163" s="149"/>
      <c r="Q163" s="79" t="s">
        <v>7455</v>
      </c>
      <c r="R163" s="68" t="str">
        <f>Q143</f>
        <v/>
      </c>
      <c r="S163" s="690">
        <f>IFERROR(S$156*$X$144/($D$10+$X$140+$X$144+$X$148),"")</f>
        <v>0</v>
      </c>
      <c r="T163" s="690">
        <f>IFERROR(T$156*$X$144/($D$10+$X$140+$X$144+$X$148),"")</f>
        <v>0</v>
      </c>
      <c r="U163" s="690">
        <f>IFERROR(U$156*$X$144/($D$10+$X$140+$X$144+$X$148),"")</f>
        <v>0</v>
      </c>
      <c r="V163" s="690">
        <f>IFERROR(V$156*$X$144/($D$10+$X$140+$X$144+$X$148),"")</f>
        <v>0</v>
      </c>
      <c r="W163" s="690">
        <f>IFERROR(W$156*$X$144/($D$10+$X$140+$X$144+$X$148),"")</f>
        <v>0</v>
      </c>
      <c r="X163" s="724">
        <f t="shared" si="76"/>
        <v>0</v>
      </c>
      <c r="Y163" s="240"/>
      <c r="Z163" s="231"/>
      <c r="AA163" s="231"/>
      <c r="AB163" s="231"/>
      <c r="AC163" s="231"/>
      <c r="AD163" s="153"/>
      <c r="AE163" s="153"/>
      <c r="AF163" s="153"/>
      <c r="AG163" s="256" t="s">
        <v>7455</v>
      </c>
      <c r="AH163" s="252" t="s">
        <v>145</v>
      </c>
      <c r="AI163" s="253" t="str">
        <f t="shared" si="75"/>
        <v>熱量配分水素</v>
      </c>
      <c r="AJ163" s="254">
        <f>$D$10/($D$10+$X$140+$X$144+$X$148)</f>
        <v>1</v>
      </c>
      <c r="AK163" s="59"/>
      <c r="AL163" s="59"/>
      <c r="AM163" s="59"/>
      <c r="AT163" s="683" t="str">
        <f>AT157</f>
        <v>水素</v>
      </c>
      <c r="AU163" s="684">
        <f t="shared" ref="AU163:AY166" si="77">AU157/$D$6</f>
        <v>2.5831325963531819E-2</v>
      </c>
      <c r="AV163" s="684">
        <f t="shared" si="77"/>
        <v>2.5831325963531819E-2</v>
      </c>
      <c r="AW163" s="684">
        <f t="shared" si="77"/>
        <v>0</v>
      </c>
      <c r="AX163" s="684">
        <f t="shared" si="77"/>
        <v>2.5831325963531819E-2</v>
      </c>
      <c r="AY163" s="684">
        <f t="shared" si="77"/>
        <v>2.5831325963531819E-2</v>
      </c>
    </row>
    <row r="164" spans="1:51">
      <c r="A164" s="149"/>
      <c r="B164" s="149"/>
      <c r="C164" s="149"/>
      <c r="D164" s="143"/>
      <c r="E164" s="143"/>
      <c r="F164" s="143"/>
      <c r="G164" s="143"/>
      <c r="H164" s="143"/>
      <c r="I164" s="385"/>
      <c r="J164" s="385"/>
      <c r="K164" s="385"/>
      <c r="L164" s="220"/>
      <c r="M164" s="149"/>
      <c r="N164" s="320"/>
      <c r="O164" s="149"/>
      <c r="P164" s="149"/>
      <c r="Q164" s="80" t="s">
        <v>7455</v>
      </c>
      <c r="R164" s="68" t="str">
        <f>Q147</f>
        <v/>
      </c>
      <c r="S164" s="690">
        <f>IFERROR(S$156*$X$148/($D$10+$X$140+$X$144+$X$148),"")</f>
        <v>0</v>
      </c>
      <c r="T164" s="690">
        <f>IFERROR(T$156*$X$148/($D$10+$X$140+$X$144+$X$148),"")</f>
        <v>0</v>
      </c>
      <c r="U164" s="690">
        <f>IFERROR(U$156*$X$148/($D$10+$X$140+$X$144+$X$148),"")</f>
        <v>0</v>
      </c>
      <c r="V164" s="690">
        <f>IFERROR(V$156*$X$148/($D$10+$X$140+$X$144+$X$148),"")</f>
        <v>0</v>
      </c>
      <c r="W164" s="690">
        <f>IFERROR(W$156*$X$148/($D$10+$X$140+$X$144+$X$148),"")</f>
        <v>0</v>
      </c>
      <c r="X164" s="724">
        <f t="shared" si="76"/>
        <v>0</v>
      </c>
      <c r="Y164" s="240"/>
      <c r="Z164" s="231"/>
      <c r="AA164" s="231"/>
      <c r="AB164" s="231"/>
      <c r="AC164" s="231"/>
      <c r="AD164" s="153"/>
      <c r="AE164" s="153"/>
      <c r="AF164" s="153"/>
      <c r="AG164" s="251" t="s">
        <v>7466</v>
      </c>
      <c r="AH164" s="252" t="str">
        <f>$Q$139</f>
        <v/>
      </c>
      <c r="AI164" s="253" t="str">
        <f t="shared" si="75"/>
        <v>体積配分</v>
      </c>
      <c r="AJ164" s="254">
        <f>$X$142/($D$11+$X$142+$X$146+$X$150)</f>
        <v>0</v>
      </c>
      <c r="AK164" s="59"/>
      <c r="AL164" s="59"/>
      <c r="AM164" s="59"/>
      <c r="AT164" s="683" t="str">
        <f>AT158</f>
        <v/>
      </c>
      <c r="AU164" s="684">
        <f t="shared" si="77"/>
        <v>0</v>
      </c>
      <c r="AV164" s="684">
        <f t="shared" si="77"/>
        <v>0</v>
      </c>
      <c r="AW164" s="684">
        <f t="shared" si="77"/>
        <v>0</v>
      </c>
      <c r="AX164" s="684">
        <f t="shared" si="77"/>
        <v>0</v>
      </c>
      <c r="AY164" s="684">
        <f t="shared" si="77"/>
        <v>0</v>
      </c>
    </row>
    <row r="165" spans="1:51">
      <c r="A165" s="149"/>
      <c r="B165" s="149"/>
      <c r="C165" s="149"/>
      <c r="D165" s="143"/>
      <c r="E165" s="143"/>
      <c r="F165" s="143"/>
      <c r="G165" s="143"/>
      <c r="H165" s="143"/>
      <c r="I165" s="385"/>
      <c r="J165" s="385"/>
      <c r="K165" s="385"/>
      <c r="L165" s="220"/>
      <c r="M165" s="149"/>
      <c r="N165" s="320"/>
      <c r="O165" s="149"/>
      <c r="P165" s="193"/>
      <c r="Q165" s="77" t="s">
        <v>7454</v>
      </c>
      <c r="R165" s="76" t="s">
        <v>145</v>
      </c>
      <c r="S165" s="690" t="str">
        <f>IFERROR(S$156*$J$144/($J$144+$X$141+$X$145+$X$149),"")</f>
        <v/>
      </c>
      <c r="T165" s="690" t="str">
        <f>IFERROR(T$156*$J$144/($J$144+$X$141+$X$145+$X$149),"")</f>
        <v/>
      </c>
      <c r="U165" s="690" t="str">
        <f>IFERROR(U$156*$J$144/($J$144+$X$141+$X$145+$X$149),"")</f>
        <v/>
      </c>
      <c r="V165" s="690" t="str">
        <f>IFERROR(V$156*$J$144/($J$144+$X$141+$X$145+$X$149),"")</f>
        <v/>
      </c>
      <c r="W165" s="690" t="str">
        <f>IFERROR(W$156*$J$144/($J$144+$X$141+$X$145+$X$149),"")</f>
        <v/>
      </c>
      <c r="X165" s="724">
        <f t="shared" si="76"/>
        <v>0</v>
      </c>
      <c r="Y165" s="240"/>
      <c r="Z165" s="231"/>
      <c r="AA165" s="231"/>
      <c r="AB165" s="231"/>
      <c r="AC165" s="231"/>
      <c r="AD165" s="153"/>
      <c r="AE165" s="153"/>
      <c r="AF165" s="153"/>
      <c r="AG165" s="251" t="s">
        <v>7466</v>
      </c>
      <c r="AH165" s="252" t="str">
        <f>$Q$147</f>
        <v/>
      </c>
      <c r="AI165" s="253" t="str">
        <f t="shared" si="75"/>
        <v>体積配分</v>
      </c>
      <c r="AJ165" s="254">
        <f>$X$150/($D$11+$X$142+$X$146+$X$150)</f>
        <v>0</v>
      </c>
      <c r="AK165" s="59"/>
      <c r="AL165" s="59"/>
      <c r="AM165" s="59"/>
      <c r="AT165" s="683" t="str">
        <f>AT159</f>
        <v/>
      </c>
      <c r="AU165" s="684">
        <f t="shared" si="77"/>
        <v>0</v>
      </c>
      <c r="AV165" s="684">
        <f t="shared" si="77"/>
        <v>0</v>
      </c>
      <c r="AW165" s="684">
        <f t="shared" si="77"/>
        <v>0</v>
      </c>
      <c r="AX165" s="684">
        <f t="shared" si="77"/>
        <v>0</v>
      </c>
      <c r="AY165" s="684">
        <f t="shared" si="77"/>
        <v>0</v>
      </c>
    </row>
    <row r="166" spans="1:51" ht="14.25" customHeight="1">
      <c r="A166" s="149"/>
      <c r="B166" s="149"/>
      <c r="C166" s="149"/>
      <c r="D166" s="143"/>
      <c r="E166" s="143"/>
      <c r="F166" s="385"/>
      <c r="G166" s="385"/>
      <c r="H166" s="385"/>
      <c r="I166" s="385"/>
      <c r="J166" s="385"/>
      <c r="K166" s="385"/>
      <c r="L166" s="220"/>
      <c r="M166" s="149"/>
      <c r="N166" s="320"/>
      <c r="O166" s="149"/>
      <c r="P166" s="193"/>
      <c r="Q166" s="79" t="s">
        <v>7454</v>
      </c>
      <c r="R166" s="68" t="str">
        <f>Q139</f>
        <v/>
      </c>
      <c r="S166" s="690" t="str">
        <f>IFERROR(S$156*$X$141/($J$144+$X$141+$X$145+$X$149),"")</f>
        <v/>
      </c>
      <c r="T166" s="690" t="str">
        <f>IFERROR(T$156*$X$141/($J$144+$X$141+$X$145+$X$149),"")</f>
        <v/>
      </c>
      <c r="U166" s="690" t="str">
        <f>IFERROR(U$156*$X$141/($J$144+$X$141+$X$145+$X$149),"")</f>
        <v/>
      </c>
      <c r="V166" s="690" t="str">
        <f>IFERROR(V$156*$X$141/($J$144+$X$141+$X$145+$X$149),"")</f>
        <v/>
      </c>
      <c r="W166" s="690" t="str">
        <f>IFERROR(W$156*$X$141/($J$144+$X$141+$X$145+$X$149),"")</f>
        <v/>
      </c>
      <c r="X166" s="724">
        <f t="shared" si="76"/>
        <v>0</v>
      </c>
      <c r="Y166" s="240"/>
      <c r="Z166" s="231"/>
      <c r="AA166" s="231"/>
      <c r="AB166" s="231"/>
      <c r="AC166" s="231"/>
      <c r="AD166" s="153"/>
      <c r="AE166" s="153"/>
      <c r="AF166" s="153"/>
      <c r="AG166" s="251" t="s">
        <v>7466</v>
      </c>
      <c r="AH166" s="252" t="str">
        <f>$Q$143</f>
        <v/>
      </c>
      <c r="AI166" s="253" t="str">
        <f t="shared" si="75"/>
        <v>体積配分</v>
      </c>
      <c r="AJ166" s="254">
        <f>$X$146/($D$11+$X$142+$X$146+$X$150)</f>
        <v>0</v>
      </c>
      <c r="AK166" s="59"/>
      <c r="AL166" s="59"/>
      <c r="AM166" s="59"/>
      <c r="AT166" s="683" t="str">
        <f>AT160</f>
        <v/>
      </c>
      <c r="AU166" s="684">
        <f t="shared" si="77"/>
        <v>0</v>
      </c>
      <c r="AV166" s="684">
        <f t="shared" si="77"/>
        <v>0</v>
      </c>
      <c r="AW166" s="684">
        <f t="shared" si="77"/>
        <v>0</v>
      </c>
      <c r="AX166" s="684">
        <f t="shared" si="77"/>
        <v>0</v>
      </c>
      <c r="AY166" s="684">
        <f t="shared" si="77"/>
        <v>0</v>
      </c>
    </row>
    <row r="167" spans="1:51">
      <c r="A167" s="149"/>
      <c r="B167" s="149"/>
      <c r="C167" s="149"/>
      <c r="D167" s="143"/>
      <c r="E167" s="143"/>
      <c r="F167" s="385"/>
      <c r="G167" s="385"/>
      <c r="H167" s="385"/>
      <c r="I167" s="385"/>
      <c r="J167" s="385"/>
      <c r="K167" s="385"/>
      <c r="L167" s="220"/>
      <c r="M167" s="149"/>
      <c r="N167" s="320"/>
      <c r="O167" s="149"/>
      <c r="P167" s="193"/>
      <c r="Q167" s="79" t="s">
        <v>7454</v>
      </c>
      <c r="R167" s="68" t="str">
        <f>Q143</f>
        <v/>
      </c>
      <c r="S167" s="690" t="str">
        <f>IFERROR(S$156*$X$145/($J$144+$X$141+$X$145+$X$149),"")</f>
        <v/>
      </c>
      <c r="T167" s="690" t="str">
        <f>IFERROR(T$156*$X$145/($J$144+$X$141+$X$145+$X$149),"")</f>
        <v/>
      </c>
      <c r="U167" s="690" t="str">
        <f>IFERROR(U$156*$X$145/($J$144+$X$141+$X$145+$X$149),"")</f>
        <v/>
      </c>
      <c r="V167" s="690" t="str">
        <f>IFERROR(V$156*$X$145/($J$144+$X$141+$X$145+$X$149),"")</f>
        <v/>
      </c>
      <c r="W167" s="690" t="str">
        <f>IFERROR(W$156*$X$145/($J$144+$X$141+$X$145+$X$149),"")</f>
        <v/>
      </c>
      <c r="X167" s="724">
        <f t="shared" si="76"/>
        <v>0</v>
      </c>
      <c r="Y167" s="240"/>
      <c r="Z167" s="231"/>
      <c r="AA167" s="231"/>
      <c r="AB167" s="231"/>
      <c r="AC167" s="231"/>
      <c r="AD167" s="153"/>
      <c r="AE167" s="153"/>
      <c r="AF167" s="153"/>
      <c r="AG167" s="251" t="s">
        <v>7466</v>
      </c>
      <c r="AH167" s="252" t="s">
        <v>145</v>
      </c>
      <c r="AI167" s="253" t="str">
        <f t="shared" si="75"/>
        <v>体積配分水素</v>
      </c>
      <c r="AJ167" s="254">
        <f>$D$11/($D$11+$X$142+$X$146+$X$150)</f>
        <v>1</v>
      </c>
      <c r="AK167" s="59"/>
      <c r="AL167" s="59"/>
      <c r="AM167" s="59"/>
    </row>
    <row r="168" spans="1:51">
      <c r="A168" s="149"/>
      <c r="B168" s="149"/>
      <c r="C168" s="149"/>
      <c r="D168" s="143"/>
      <c r="E168" s="143"/>
      <c r="F168" s="385"/>
      <c r="G168" s="385"/>
      <c r="H168" s="385"/>
      <c r="I168" s="385"/>
      <c r="J168" s="385"/>
      <c r="K168" s="385"/>
      <c r="L168" s="220"/>
      <c r="M168" s="149"/>
      <c r="N168" s="320"/>
      <c r="O168" s="149"/>
      <c r="P168" s="193"/>
      <c r="Q168" s="79" t="s">
        <v>7454</v>
      </c>
      <c r="R168" s="68" t="str">
        <f>Q147</f>
        <v/>
      </c>
      <c r="S168" s="690" t="str">
        <f>IFERROR(S$156*$X$149/($J$144+$X$141+$X$145+$X$149),"")</f>
        <v/>
      </c>
      <c r="T168" s="690" t="str">
        <f>IFERROR(T$156*$X$149/($J$144+$X$141+$X$145+$X$149),"")</f>
        <v/>
      </c>
      <c r="U168" s="690" t="str">
        <f>IFERROR(U$156*$X$149/($J$144+$X$141+$X$145+$X$149),"")</f>
        <v/>
      </c>
      <c r="V168" s="690" t="str">
        <f>IFERROR(V$156*$X$149/($J$144+$X$141+$X$145+$X$149),"")</f>
        <v/>
      </c>
      <c r="W168" s="690" t="str">
        <f>IFERROR(W$156*$X$149/($J$144+$X$141+$X$145+$X$149),"")</f>
        <v/>
      </c>
      <c r="X168" s="724">
        <f t="shared" si="76"/>
        <v>0</v>
      </c>
      <c r="Y168" s="240"/>
      <c r="Z168" s="231"/>
      <c r="AA168" s="231"/>
      <c r="AB168" s="231"/>
      <c r="AC168" s="231"/>
      <c r="AD168" s="153"/>
      <c r="AE168" s="153"/>
      <c r="AF168" s="153"/>
      <c r="AK168" s="59"/>
      <c r="AL168" s="59"/>
      <c r="AM168" s="59"/>
    </row>
    <row r="169" spans="1:51">
      <c r="A169" s="149"/>
      <c r="B169" s="149"/>
      <c r="C169" s="149"/>
      <c r="D169" s="143"/>
      <c r="E169" s="143"/>
      <c r="F169" s="385"/>
      <c r="G169" s="385"/>
      <c r="H169" s="385"/>
      <c r="I169" s="385"/>
      <c r="J169" s="385"/>
      <c r="K169" s="385"/>
      <c r="L169" s="220"/>
      <c r="M169" s="149"/>
      <c r="N169" s="320"/>
      <c r="O169" s="149"/>
      <c r="Q169" s="67" t="s">
        <v>7464</v>
      </c>
      <c r="R169" s="76" t="s">
        <v>145</v>
      </c>
      <c r="S169" s="690">
        <f>IFERROR(S$156*$D$11/($D$11+$X$142+$X$146+$X$150),"")</f>
        <v>0.54957132461817793</v>
      </c>
      <c r="T169" s="690">
        <f>IFERROR(T$156*$D$11/($D$11+$X$142+$X$146+$X$150),"")</f>
        <v>1.2481643445199546</v>
      </c>
      <c r="U169" s="690">
        <f>IFERROR(U$156*$D$11/($D$11+$X$142+$X$146+$X$150),"")</f>
        <v>0.78539692721504928</v>
      </c>
      <c r="V169" s="690">
        <f>IFERROR(V$156*$D$11/($D$11+$X$142+$X$146+$X$150),"")</f>
        <v>0</v>
      </c>
      <c r="W169" s="690">
        <f>IFERROR(W$156*$D$11/($D$11+$X$142+$X$146+$X$150),"")</f>
        <v>0</v>
      </c>
      <c r="X169" s="724">
        <f t="shared" si="76"/>
        <v>2.5831325963531819</v>
      </c>
      <c r="Y169" s="240"/>
      <c r="Z169" s="231"/>
      <c r="AA169" s="231"/>
      <c r="AB169" s="231"/>
      <c r="AC169" s="231"/>
      <c r="AD169" s="153"/>
      <c r="AE169" s="153"/>
      <c r="AF169" s="153"/>
      <c r="AK169" s="59"/>
      <c r="AL169" s="59"/>
      <c r="AM169" s="59"/>
    </row>
    <row r="170" spans="1:51" s="149" customFormat="1">
      <c r="D170" s="143"/>
      <c r="E170" s="143"/>
      <c r="F170" s="385"/>
      <c r="G170" s="385"/>
      <c r="H170" s="385"/>
      <c r="I170" s="385"/>
      <c r="J170" s="385"/>
      <c r="K170" s="385"/>
      <c r="L170" s="220"/>
      <c r="N170" s="320"/>
      <c r="Q170" s="79" t="s">
        <v>7464</v>
      </c>
      <c r="R170" s="68" t="str">
        <f>Q139</f>
        <v/>
      </c>
      <c r="S170" s="690">
        <f>IFERROR(S$156*$X$142/($D$11+$X$142+$X$146+$X$150),"")</f>
        <v>0</v>
      </c>
      <c r="T170" s="690">
        <f>IFERROR(T$156*$X$142/($D$11+$X$142+$X$146+$X$150),"")</f>
        <v>0</v>
      </c>
      <c r="U170" s="690">
        <f>IFERROR(U$156*$X$142/($D$11+$X$142+$X$146+$X$150),"")</f>
        <v>0</v>
      </c>
      <c r="V170" s="690">
        <f>IFERROR(V$156*$X$142/($D$11+$X$142+$X$146+$X$150),"")</f>
        <v>0</v>
      </c>
      <c r="W170" s="690">
        <f>IFERROR(W$156*$X$142/($D$11+$X$142+$X$146+$X$150),"")</f>
        <v>0</v>
      </c>
      <c r="X170" s="724">
        <f t="shared" si="76"/>
        <v>0</v>
      </c>
      <c r="Y170" s="240"/>
      <c r="Z170" s="231"/>
      <c r="AA170" s="231"/>
      <c r="AB170" s="231"/>
      <c r="AC170" s="231"/>
      <c r="AD170" s="153"/>
      <c r="AE170" s="153"/>
      <c r="AF170" s="153"/>
      <c r="AG170" s="762" t="s">
        <v>7916</v>
      </c>
      <c r="AH170" s="763"/>
      <c r="AI170" s="763"/>
      <c r="AJ170" s="764">
        <f>IF($B$135="金額配分",AJ155,IF($B$135="重量配分",AJ159,IF($B$135="熱量配分",AJ163,IF($B$135="体積配分",AJ167,"NA"))))</f>
        <v>1</v>
      </c>
      <c r="AK170" s="59"/>
      <c r="AL170" s="59"/>
      <c r="AM170" s="59"/>
      <c r="AN170" s="59"/>
      <c r="AO170" s="59"/>
    </row>
    <row r="171" spans="1:51" s="149" customFormat="1">
      <c r="D171" s="143"/>
      <c r="E171" s="143"/>
      <c r="F171" s="385"/>
      <c r="G171" s="385"/>
      <c r="H171" s="385"/>
      <c r="I171" s="385"/>
      <c r="J171" s="143"/>
      <c r="K171" s="143"/>
      <c r="N171" s="320"/>
      <c r="Q171" s="79" t="s">
        <v>7464</v>
      </c>
      <c r="R171" s="68" t="str">
        <f>Q143</f>
        <v/>
      </c>
      <c r="S171" s="690">
        <f>IFERROR(S$156*$X$146/($D$11+$X$142+$X$146+$X$150),"")</f>
        <v>0</v>
      </c>
      <c r="T171" s="690">
        <f>IFERROR(T$156*$X$146/($D$11+$X$142+$X$146+$X$150),"")</f>
        <v>0</v>
      </c>
      <c r="U171" s="690">
        <f>IFERROR(U$156*$X$146/($D$11+$X$142+$X$146+$X$150),"")</f>
        <v>0</v>
      </c>
      <c r="V171" s="690">
        <f>IFERROR(V$156*$X$146/($D$11+$X$142+$X$146+$X$150),"")</f>
        <v>0</v>
      </c>
      <c r="W171" s="690">
        <f>IFERROR(W$156*$X$146/($D$11+$X$142+$X$146+$X$150),"")</f>
        <v>0</v>
      </c>
      <c r="X171" s="724">
        <f t="shared" si="76"/>
        <v>0</v>
      </c>
      <c r="Y171" s="240"/>
      <c r="Z171" s="231"/>
      <c r="AA171" s="231"/>
      <c r="AB171" s="231"/>
      <c r="AC171" s="231"/>
      <c r="AD171" s="153"/>
      <c r="AE171" s="153"/>
      <c r="AF171" s="153"/>
      <c r="AG171" s="235"/>
      <c r="AH171" s="235"/>
      <c r="AI171" s="235"/>
      <c r="AJ171" s="206"/>
      <c r="AK171" s="59"/>
      <c r="AL171" s="59"/>
      <c r="AM171" s="59"/>
      <c r="AN171" s="59"/>
      <c r="AO171" s="59"/>
    </row>
    <row r="172" spans="1:51" s="149" customFormat="1">
      <c r="D172" s="143"/>
      <c r="E172" s="143"/>
      <c r="F172" s="385"/>
      <c r="G172" s="385"/>
      <c r="H172" s="385"/>
      <c r="I172" s="385"/>
      <c r="J172" s="143"/>
      <c r="K172" s="143"/>
      <c r="N172" s="320"/>
      <c r="Q172" s="80" t="s">
        <v>7464</v>
      </c>
      <c r="R172" s="68" t="str">
        <f>Q147</f>
        <v/>
      </c>
      <c r="S172" s="690">
        <f>IFERROR(S$156*$X$150/($D$11+$X$142+$X$146+$X$150),"")</f>
        <v>0</v>
      </c>
      <c r="T172" s="690">
        <f>IFERROR(T$156*$X$150/($D$11+$X$142+$X$146+$X$150),"")</f>
        <v>0</v>
      </c>
      <c r="U172" s="690">
        <f>IFERROR(U$156*$X$150/($D$11+$X$142+$X$146+$X$150),"")</f>
        <v>0</v>
      </c>
      <c r="V172" s="690">
        <f>IFERROR(V$156*$X$150/($D$11+$X$142+$X$146+$X$150),"")</f>
        <v>0</v>
      </c>
      <c r="W172" s="690">
        <f>IFERROR(W$156*$X$150/($D$11+$X$142+$X$146+$X$150),"")</f>
        <v>0</v>
      </c>
      <c r="X172" s="724">
        <f t="shared" si="76"/>
        <v>0</v>
      </c>
      <c r="Y172" s="240"/>
      <c r="Z172" s="231"/>
      <c r="AA172" s="231"/>
      <c r="AB172" s="231"/>
      <c r="AC172" s="231"/>
      <c r="AD172" s="153"/>
      <c r="AE172" s="153"/>
      <c r="AF172" s="153"/>
      <c r="AG172" s="235"/>
      <c r="AH172" s="235"/>
      <c r="AI172" s="235"/>
      <c r="AJ172" s="206"/>
      <c r="AK172" s="59"/>
      <c r="AL172" s="59"/>
      <c r="AM172" s="59"/>
      <c r="AN172" s="59"/>
      <c r="AO172" s="59"/>
    </row>
    <row r="173" spans="1:51">
      <c r="A173" s="149"/>
      <c r="B173" s="149"/>
      <c r="C173" s="149"/>
      <c r="D173" s="143"/>
      <c r="E173" s="143"/>
      <c r="F173" s="385"/>
      <c r="G173" s="385"/>
      <c r="H173" s="385"/>
      <c r="I173" s="385"/>
      <c r="J173" s="385"/>
      <c r="K173" s="385"/>
      <c r="L173" s="220"/>
      <c r="M173" s="149"/>
      <c r="N173" s="320"/>
      <c r="O173" s="149"/>
      <c r="P173" s="149"/>
      <c r="Q173" s="67" t="s">
        <v>5551</v>
      </c>
      <c r="R173" s="68" t="str">
        <f>Q139</f>
        <v/>
      </c>
      <c r="S173" s="690">
        <f t="shared" ref="S173:W175" si="78">0-F139*$N139*$O139</f>
        <v>0</v>
      </c>
      <c r="T173" s="690">
        <f t="shared" si="78"/>
        <v>0</v>
      </c>
      <c r="U173" s="690">
        <f t="shared" si="78"/>
        <v>0</v>
      </c>
      <c r="V173" s="690">
        <f t="shared" si="78"/>
        <v>0</v>
      </c>
      <c r="W173" s="690">
        <f t="shared" si="78"/>
        <v>0</v>
      </c>
      <c r="X173" s="724">
        <f t="shared" ref="X173:X175" si="79">SUM(S173:W173)</f>
        <v>0</v>
      </c>
      <c r="Y173" s="240"/>
      <c r="Z173" s="149"/>
      <c r="AA173" s="149"/>
      <c r="AB173" s="149"/>
      <c r="AC173" s="149"/>
      <c r="AD173" s="149"/>
      <c r="AE173" s="149"/>
      <c r="AF173" s="149"/>
      <c r="AK173" s="59"/>
      <c r="AL173" s="59"/>
      <c r="AM173" s="59"/>
    </row>
    <row r="174" spans="1:51">
      <c r="A174" s="149"/>
      <c r="B174" s="149"/>
      <c r="C174" s="149"/>
      <c r="D174" s="149"/>
      <c r="E174" s="149"/>
      <c r="F174" s="220"/>
      <c r="G174" s="220"/>
      <c r="H174" s="220"/>
      <c r="I174" s="220"/>
      <c r="J174" s="220"/>
      <c r="K174" s="220"/>
      <c r="L174" s="220"/>
      <c r="M174" s="149"/>
      <c r="N174" s="325"/>
      <c r="O174" s="149"/>
      <c r="P174" s="149"/>
      <c r="Q174" s="79" t="s">
        <v>5551</v>
      </c>
      <c r="R174" s="68" t="str">
        <f>Q143</f>
        <v/>
      </c>
      <c r="S174" s="690">
        <f t="shared" si="78"/>
        <v>0</v>
      </c>
      <c r="T174" s="690">
        <f t="shared" si="78"/>
        <v>0</v>
      </c>
      <c r="U174" s="690">
        <f t="shared" si="78"/>
        <v>0</v>
      </c>
      <c r="V174" s="690">
        <f t="shared" si="78"/>
        <v>0</v>
      </c>
      <c r="W174" s="690">
        <f t="shared" si="78"/>
        <v>0</v>
      </c>
      <c r="X174" s="724">
        <f t="shared" si="79"/>
        <v>0</v>
      </c>
      <c r="Y174" s="240"/>
      <c r="Z174" s="149"/>
      <c r="AA174" s="149"/>
      <c r="AB174" s="149"/>
      <c r="AC174" s="149"/>
      <c r="AD174" s="149"/>
      <c r="AE174" s="149"/>
      <c r="AF174" s="149"/>
      <c r="AG174" s="149"/>
      <c r="AH174" s="149"/>
      <c r="AI174" s="153"/>
      <c r="AJ174" s="535"/>
      <c r="AK174" s="153"/>
      <c r="AL174" s="153"/>
      <c r="AM174" s="153"/>
      <c r="AN174" s="149"/>
      <c r="AO174" s="149"/>
    </row>
    <row r="175" spans="1:51">
      <c r="A175" s="149"/>
      <c r="B175" s="149"/>
      <c r="C175" s="149"/>
      <c r="D175" s="220"/>
      <c r="E175" s="149"/>
      <c r="F175" s="220"/>
      <c r="G175" s="220"/>
      <c r="H175" s="220"/>
      <c r="I175" s="220"/>
      <c r="J175" s="220"/>
      <c r="K175" s="149"/>
      <c r="L175" s="149"/>
      <c r="M175" s="149"/>
      <c r="N175" s="320"/>
      <c r="O175" s="149"/>
      <c r="P175" s="149"/>
      <c r="Q175" s="79" t="s">
        <v>5551</v>
      </c>
      <c r="R175" s="68" t="str">
        <f>Q147</f>
        <v/>
      </c>
      <c r="S175" s="690">
        <f t="shared" si="78"/>
        <v>0</v>
      </c>
      <c r="T175" s="690">
        <f t="shared" si="78"/>
        <v>0</v>
      </c>
      <c r="U175" s="690">
        <f t="shared" si="78"/>
        <v>0</v>
      </c>
      <c r="V175" s="690">
        <f t="shared" si="78"/>
        <v>0</v>
      </c>
      <c r="W175" s="690">
        <f t="shared" si="78"/>
        <v>0</v>
      </c>
      <c r="X175" s="724">
        <f t="shared" si="79"/>
        <v>0</v>
      </c>
      <c r="Y175" s="240"/>
      <c r="Z175" s="149"/>
      <c r="AA175" s="149"/>
      <c r="AB175" s="149"/>
      <c r="AC175" s="149"/>
      <c r="AD175" s="149"/>
      <c r="AE175" s="149"/>
      <c r="AF175" s="149"/>
      <c r="AG175" s="149"/>
      <c r="AH175" s="149"/>
      <c r="AI175" s="153"/>
      <c r="AJ175" s="535"/>
      <c r="AK175" s="153"/>
      <c r="AL175" s="153"/>
      <c r="AM175" s="153"/>
      <c r="AN175" s="149"/>
      <c r="AO175" s="149"/>
    </row>
    <row r="176" spans="1:51" ht="13.8" thickBot="1">
      <c r="A176" s="149"/>
      <c r="B176" s="149"/>
      <c r="C176" s="149"/>
      <c r="D176" s="220"/>
      <c r="E176" s="149"/>
      <c r="F176" s="220"/>
      <c r="G176" s="220"/>
      <c r="H176" s="220"/>
      <c r="I176" s="220"/>
      <c r="J176" s="220"/>
      <c r="K176" s="149"/>
      <c r="L176" s="149"/>
      <c r="M176" s="149"/>
      <c r="N176" s="320"/>
      <c r="O176" s="149"/>
      <c r="P176" s="149"/>
      <c r="Q176" s="80" t="s">
        <v>5551</v>
      </c>
      <c r="R176" s="76" t="s">
        <v>145</v>
      </c>
      <c r="S176" s="690">
        <f>SUM(S173:S175)+S156</f>
        <v>0.54957132461817793</v>
      </c>
      <c r="T176" s="690">
        <f>SUM(T173:T175)+T156</f>
        <v>1.2481643445199546</v>
      </c>
      <c r="U176" s="690">
        <f>SUM(U173:U175)+U156</f>
        <v>0.78539692721504928</v>
      </c>
      <c r="V176" s="690">
        <f>SUM(V173:V175)+V156</f>
        <v>0</v>
      </c>
      <c r="W176" s="690">
        <f>SUM(W173:W175)+W156</f>
        <v>0</v>
      </c>
      <c r="X176" s="724">
        <f>SUM(S176:W176)</f>
        <v>2.5831325963531819</v>
      </c>
      <c r="Y176" s="231"/>
      <c r="Z176" s="149"/>
      <c r="AA176" s="149"/>
      <c r="AB176" s="149"/>
      <c r="AC176" s="149"/>
      <c r="AD176" s="149"/>
      <c r="AE176" s="149"/>
      <c r="AF176" s="149"/>
      <c r="AG176" s="149"/>
      <c r="AH176" s="149"/>
      <c r="AI176" s="153"/>
      <c r="AJ176" s="535"/>
      <c r="AK176" s="153"/>
      <c r="AL176" s="153"/>
      <c r="AM176" s="153"/>
      <c r="AN176" s="149"/>
      <c r="AO176" s="149"/>
    </row>
    <row r="177" spans="1:39" ht="15.6" thickTop="1" thickBot="1">
      <c r="A177" s="149"/>
      <c r="B177" s="149"/>
      <c r="C177" s="149"/>
      <c r="D177" s="149"/>
      <c r="E177" s="1003" t="s">
        <v>7451</v>
      </c>
      <c r="F177" s="1004"/>
      <c r="G177" s="143"/>
      <c r="H177" s="143"/>
      <c r="I177" s="143"/>
      <c r="J177" s="143"/>
      <c r="K177" s="211"/>
      <c r="L177" s="220"/>
      <c r="M177" s="149"/>
      <c r="N177" s="149"/>
      <c r="O177" s="149"/>
      <c r="P177" s="149"/>
      <c r="Q177" s="244"/>
      <c r="R177" s="248"/>
      <c r="S177" s="245"/>
      <c r="T177" s="245"/>
      <c r="U177" s="245"/>
      <c r="V177" s="245"/>
      <c r="W177" s="245"/>
      <c r="X177" s="249"/>
      <c r="Y177" s="240"/>
      <c r="Z177" s="149"/>
      <c r="AA177" s="149"/>
      <c r="AB177" s="149"/>
      <c r="AC177" s="149"/>
      <c r="AD177" s="149"/>
      <c r="AE177" s="149"/>
      <c r="AF177" s="149"/>
      <c r="AG177" s="59"/>
      <c r="AH177" s="59"/>
      <c r="AJ177" s="535"/>
      <c r="AK177" s="153"/>
    </row>
    <row r="178" spans="1:39" ht="13.8" thickTop="1">
      <c r="A178" s="149"/>
      <c r="B178" s="149"/>
      <c r="C178" s="149"/>
      <c r="D178" s="149"/>
      <c r="E178" s="143"/>
      <c r="F178" s="143"/>
      <c r="G178" s="143"/>
      <c r="H178" s="143"/>
      <c r="I178" s="143"/>
      <c r="J178" s="143"/>
      <c r="K178" s="211"/>
      <c r="L178" s="220"/>
      <c r="M178" s="149"/>
      <c r="N178" s="149"/>
      <c r="O178" s="149"/>
      <c r="P178" s="149"/>
      <c r="Q178" s="67" t="s">
        <v>172</v>
      </c>
      <c r="R178" s="248"/>
      <c r="S178" s="245"/>
      <c r="T178" s="245"/>
      <c r="U178" s="245"/>
      <c r="V178" s="245"/>
      <c r="W178" s="245"/>
      <c r="X178" s="249"/>
      <c r="Y178" s="240"/>
      <c r="Z178" s="149"/>
      <c r="AA178" s="149"/>
      <c r="AB178" s="149"/>
      <c r="AC178" s="149"/>
      <c r="AD178" s="149"/>
      <c r="AE178" s="149"/>
      <c r="AF178" s="149"/>
      <c r="AG178" s="259" t="s">
        <v>2130</v>
      </c>
      <c r="AH178" s="260" t="s">
        <v>187</v>
      </c>
      <c r="AI178" s="259" t="s">
        <v>2130</v>
      </c>
      <c r="AJ178" s="542" t="str">
        <f>AG178&amp;AI178</f>
        <v>[kg][kg]</v>
      </c>
      <c r="AK178" s="230">
        <f>$F$194</f>
        <v>100</v>
      </c>
    </row>
    <row r="179" spans="1:39">
      <c r="A179" s="149"/>
      <c r="B179" s="149"/>
      <c r="C179" s="149"/>
      <c r="D179" s="149"/>
      <c r="E179" s="966" t="s">
        <v>7673</v>
      </c>
      <c r="F179" s="966"/>
      <c r="G179" s="966"/>
      <c r="H179" s="966"/>
      <c r="I179" s="966"/>
      <c r="J179" s="966"/>
      <c r="K179" s="966"/>
      <c r="L179" s="220"/>
      <c r="M179" s="149"/>
      <c r="N179" s="149"/>
      <c r="O179" s="149"/>
      <c r="P179" s="149"/>
      <c r="Q179" s="487" t="str">
        <f>B135</f>
        <v>熱量配分</v>
      </c>
      <c r="R179" s="248"/>
      <c r="S179" s="245"/>
      <c r="T179" s="245"/>
      <c r="U179" s="245"/>
      <c r="V179" s="245"/>
      <c r="W179" s="245"/>
      <c r="X179" s="249"/>
      <c r="Y179" s="240"/>
      <c r="Z179" s="149"/>
      <c r="AA179" s="149"/>
      <c r="AB179" s="149"/>
      <c r="AC179" s="149"/>
      <c r="AD179" s="149"/>
      <c r="AE179" s="149"/>
      <c r="AF179" s="149"/>
      <c r="AG179" s="259" t="s">
        <v>2130</v>
      </c>
      <c r="AH179" s="260" t="s">
        <v>187</v>
      </c>
      <c r="AI179" s="261" t="s">
        <v>6998</v>
      </c>
      <c r="AJ179" s="542" t="str">
        <f t="shared" ref="AJ179:AJ189" si="80">AG179&amp;AI179</f>
        <v>[kg][MJ]</v>
      </c>
      <c r="AK179" s="262">
        <f>$F$194*製品単位換算2!$E$877/製品単位換算2!$E$876</f>
        <v>14200.000000000002</v>
      </c>
    </row>
    <row r="180" spans="1:39">
      <c r="A180" s="149"/>
      <c r="B180" s="149"/>
      <c r="C180" s="149"/>
      <c r="D180" s="149"/>
      <c r="E180" s="149"/>
      <c r="F180" s="149"/>
      <c r="G180" s="149"/>
      <c r="H180" s="149"/>
      <c r="I180" s="149"/>
      <c r="J180" s="220"/>
      <c r="K180" s="510" t="s">
        <v>7681</v>
      </c>
      <c r="M180" s="149"/>
      <c r="N180" s="149"/>
      <c r="O180" s="149"/>
      <c r="P180" s="149"/>
      <c r="Q180" s="247" t="s">
        <v>6990</v>
      </c>
      <c r="R180" s="149"/>
      <c r="S180" s="220"/>
      <c r="T180" s="220"/>
      <c r="U180" s="220"/>
      <c r="V180" s="220"/>
      <c r="W180" s="220"/>
      <c r="X180" s="220"/>
      <c r="Y180" s="231"/>
      <c r="Z180" s="149"/>
      <c r="AA180" s="149"/>
      <c r="AB180" s="149"/>
      <c r="AC180" s="149"/>
      <c r="AD180" s="149"/>
      <c r="AE180" s="149"/>
      <c r="AF180" s="149"/>
      <c r="AG180" s="259" t="s">
        <v>2130</v>
      </c>
      <c r="AH180" s="260" t="s">
        <v>187</v>
      </c>
      <c r="AI180" s="261" t="s">
        <v>6996</v>
      </c>
      <c r="AJ180" s="542" t="str">
        <f t="shared" si="80"/>
        <v>[kg][Nm3]</v>
      </c>
      <c r="AK180" s="262">
        <f>$F$194/(製品単位換算2!$E$876*共通データ!$E$29/共通データ!$F$29)</f>
        <v>1318.3372471470359</v>
      </c>
    </row>
    <row r="181" spans="1:39">
      <c r="B181" s="149"/>
      <c r="C181" s="149"/>
      <c r="D181" s="149"/>
      <c r="E181" s="466" t="s">
        <v>146</v>
      </c>
      <c r="F181" s="226" t="s">
        <v>7434</v>
      </c>
      <c r="G181" s="229" t="s">
        <v>7060</v>
      </c>
      <c r="H181" s="229" t="s">
        <v>7061</v>
      </c>
      <c r="I181" s="229" t="s">
        <v>7062</v>
      </c>
      <c r="J181" s="229" t="s">
        <v>7063</v>
      </c>
      <c r="K181" s="232" t="s">
        <v>7436</v>
      </c>
      <c r="L181" s="149"/>
      <c r="M181" s="149"/>
      <c r="N181" s="149"/>
      <c r="O181" s="149"/>
      <c r="P181" s="257"/>
      <c r="Q181" s="890" t="s">
        <v>173</v>
      </c>
      <c r="R181" s="892"/>
      <c r="S181" s="933" t="s">
        <v>7666</v>
      </c>
      <c r="T181" s="934"/>
      <c r="U181" s="934"/>
      <c r="V181" s="934"/>
      <c r="W181" s="934"/>
      <c r="X181" s="934"/>
      <c r="Y181" s="238"/>
      <c r="Z181" s="149"/>
      <c r="AA181" s="149"/>
      <c r="AB181" s="149"/>
      <c r="AC181" s="149"/>
      <c r="AD181" s="149"/>
      <c r="AE181" s="149"/>
      <c r="AF181" s="149"/>
      <c r="AG181" s="261" t="s">
        <v>6995</v>
      </c>
      <c r="AH181" s="260" t="s">
        <v>187</v>
      </c>
      <c r="AI181" s="259" t="s">
        <v>2130</v>
      </c>
      <c r="AJ181" s="542" t="str">
        <f t="shared" si="80"/>
        <v>[t][kg]</v>
      </c>
      <c r="AK181" s="230">
        <f>AK178*1000</f>
        <v>100000</v>
      </c>
    </row>
    <row r="182" spans="1:39">
      <c r="B182" s="149"/>
      <c r="C182" s="149"/>
      <c r="D182" s="149"/>
      <c r="E182" s="511" t="s">
        <v>6965</v>
      </c>
      <c r="F182" s="711">
        <f>S188</f>
        <v>0</v>
      </c>
      <c r="G182" s="711">
        <f>T188</f>
        <v>0</v>
      </c>
      <c r="H182" s="711">
        <f>U188</f>
        <v>0</v>
      </c>
      <c r="I182" s="711">
        <f>V188</f>
        <v>0</v>
      </c>
      <c r="J182" s="711">
        <f>W188</f>
        <v>0</v>
      </c>
      <c r="K182" s="729">
        <f>SUM(F182:J182)</f>
        <v>0</v>
      </c>
      <c r="L182" s="149"/>
      <c r="M182" s="149"/>
      <c r="N182" s="149"/>
      <c r="O182" s="149"/>
      <c r="P182" s="149"/>
      <c r="Q182" s="896"/>
      <c r="R182" s="898"/>
      <c r="S182" s="312" t="s">
        <v>7435</v>
      </c>
      <c r="T182" s="312" t="s">
        <v>7060</v>
      </c>
      <c r="U182" s="312" t="s">
        <v>7061</v>
      </c>
      <c r="V182" s="312" t="s">
        <v>7062</v>
      </c>
      <c r="W182" s="312" t="s">
        <v>7063</v>
      </c>
      <c r="X182" s="314" t="s">
        <v>7436</v>
      </c>
      <c r="Y182" s="231"/>
      <c r="Z182" s="149"/>
      <c r="AA182" s="149"/>
      <c r="AB182" s="149"/>
      <c r="AC182" s="149"/>
      <c r="AD182" s="149"/>
      <c r="AE182" s="149"/>
      <c r="AF182" s="149"/>
      <c r="AG182" s="261" t="s">
        <v>6995</v>
      </c>
      <c r="AH182" s="260" t="s">
        <v>187</v>
      </c>
      <c r="AI182" s="261" t="s">
        <v>6998</v>
      </c>
      <c r="AJ182" s="542" t="str">
        <f t="shared" si="80"/>
        <v>[t][MJ]</v>
      </c>
      <c r="AK182" s="230">
        <f t="shared" ref="AK182:AK183" si="81">AK179*1000</f>
        <v>14200000.000000002</v>
      </c>
    </row>
    <row r="183" spans="1:39">
      <c r="B183" s="149"/>
      <c r="C183" s="149"/>
      <c r="D183" s="149"/>
      <c r="E183" s="511" t="s">
        <v>7692</v>
      </c>
      <c r="F183" s="711">
        <f>S193</f>
        <v>3.5499999999999997E-2</v>
      </c>
      <c r="G183" s="711">
        <f>T193</f>
        <v>0.1065</v>
      </c>
      <c r="H183" s="711">
        <f>U193</f>
        <v>7.0999999999999995E-3</v>
      </c>
      <c r="I183" s="711">
        <f>V193</f>
        <v>0</v>
      </c>
      <c r="J183" s="711">
        <f>W193</f>
        <v>0</v>
      </c>
      <c r="K183" s="729">
        <f t="shared" ref="K183:K189" si="82">SUM(F183:J183)</f>
        <v>0.14909999999999998</v>
      </c>
      <c r="L183" s="149"/>
      <c r="M183" s="149"/>
      <c r="N183" s="149"/>
      <c r="O183" s="149"/>
      <c r="P183" s="149"/>
      <c r="Q183" s="218"/>
      <c r="R183" s="76" t="s">
        <v>145</v>
      </c>
      <c r="S183" s="690">
        <f>SUMIFS(S$157:S$176,$Q$157:$Q$176,$Q$179,$R$157:$R$176,$R183)</f>
        <v>0.54957132461817793</v>
      </c>
      <c r="T183" s="690">
        <f t="shared" ref="S183:W186" si="83">SUMIFS(T$157:T$176,$Q$157:$Q$176,$Q$179,$R$157:$R$176,$R183)</f>
        <v>1.2481643445199546</v>
      </c>
      <c r="U183" s="690">
        <f t="shared" si="83"/>
        <v>0.78539692721504928</v>
      </c>
      <c r="V183" s="690">
        <f t="shared" si="83"/>
        <v>0</v>
      </c>
      <c r="W183" s="690">
        <f t="shared" si="83"/>
        <v>0</v>
      </c>
      <c r="X183" s="690">
        <f t="shared" ref="X183:X186" si="84">SUMIFS(X$157:X$176,$Q$157:$Q$176,$Q$179,$R$157:$R$176,$R183)</f>
        <v>2.5831325963531819</v>
      </c>
      <c r="Y183" s="231"/>
      <c r="Z183" s="149"/>
      <c r="AA183" s="149"/>
      <c r="AB183" s="149"/>
      <c r="AC183" s="149"/>
      <c r="AD183" s="149"/>
      <c r="AE183" s="245"/>
      <c r="AF183" s="245"/>
      <c r="AG183" s="261" t="s">
        <v>6995</v>
      </c>
      <c r="AH183" s="260" t="s">
        <v>187</v>
      </c>
      <c r="AI183" s="261" t="s">
        <v>6996</v>
      </c>
      <c r="AJ183" s="542" t="str">
        <f t="shared" si="80"/>
        <v>[t][Nm3]</v>
      </c>
      <c r="AK183" s="230">
        <f t="shared" si="81"/>
        <v>1318337.2471470358</v>
      </c>
    </row>
    <row r="184" spans="1:39">
      <c r="B184" s="149"/>
      <c r="C184" s="149"/>
      <c r="D184" s="149"/>
      <c r="E184" s="511" t="s">
        <v>6967</v>
      </c>
      <c r="F184" s="711">
        <f>S198</f>
        <v>0</v>
      </c>
      <c r="G184" s="711">
        <f>T198</f>
        <v>0</v>
      </c>
      <c r="H184" s="711">
        <f>U198</f>
        <v>0</v>
      </c>
      <c r="I184" s="711">
        <f>V198</f>
        <v>0</v>
      </c>
      <c r="J184" s="711">
        <f>W198</f>
        <v>0</v>
      </c>
      <c r="K184" s="729">
        <f t="shared" si="82"/>
        <v>0</v>
      </c>
      <c r="L184" s="149"/>
      <c r="M184" s="149"/>
      <c r="N184" s="149"/>
      <c r="O184" s="149"/>
      <c r="P184" s="149"/>
      <c r="Q184" s="61"/>
      <c r="R184" s="68" t="str">
        <f>$Q$139</f>
        <v/>
      </c>
      <c r="S184" s="725">
        <f t="shared" si="83"/>
        <v>0</v>
      </c>
      <c r="T184" s="725">
        <f t="shared" si="83"/>
        <v>0</v>
      </c>
      <c r="U184" s="725">
        <f t="shared" si="83"/>
        <v>0</v>
      </c>
      <c r="V184" s="725">
        <f t="shared" si="83"/>
        <v>0</v>
      </c>
      <c r="W184" s="725">
        <f t="shared" si="83"/>
        <v>0</v>
      </c>
      <c r="X184" s="725">
        <f t="shared" si="84"/>
        <v>0</v>
      </c>
      <c r="Y184" s="231"/>
      <c r="Z184" s="149"/>
      <c r="AA184" s="149"/>
      <c r="AB184" s="149"/>
      <c r="AC184" s="149"/>
      <c r="AD184" s="149"/>
      <c r="AE184" s="231"/>
      <c r="AF184" s="231"/>
      <c r="AG184" s="261" t="s">
        <v>6996</v>
      </c>
      <c r="AH184" s="260" t="s">
        <v>187</v>
      </c>
      <c r="AI184" s="259" t="s">
        <v>2130</v>
      </c>
      <c r="AJ184" s="542" t="str">
        <f t="shared" si="80"/>
        <v>[Nm3][kg]</v>
      </c>
      <c r="AK184" s="230">
        <f>$F$194*製品単位換算2!$E$876*共通データ!$E$29/共通データ!$F$29</f>
        <v>7.5853125000000006</v>
      </c>
    </row>
    <row r="185" spans="1:39">
      <c r="B185" s="149"/>
      <c r="C185" s="149"/>
      <c r="D185" s="149"/>
      <c r="E185" s="511" t="s">
        <v>7693</v>
      </c>
      <c r="F185" s="711">
        <f>S203</f>
        <v>0</v>
      </c>
      <c r="G185" s="711">
        <f>T203</f>
        <v>0</v>
      </c>
      <c r="H185" s="711">
        <f>U203</f>
        <v>0</v>
      </c>
      <c r="I185" s="711">
        <f>V203</f>
        <v>0</v>
      </c>
      <c r="J185" s="711">
        <f>W203</f>
        <v>0</v>
      </c>
      <c r="K185" s="729">
        <f t="shared" si="82"/>
        <v>0</v>
      </c>
      <c r="L185" s="149"/>
      <c r="M185" s="149"/>
      <c r="N185" s="149"/>
      <c r="O185" s="149"/>
      <c r="P185" s="149"/>
      <c r="Q185" s="191"/>
      <c r="R185" s="68" t="str">
        <f>$Q$143</f>
        <v/>
      </c>
      <c r="S185" s="725">
        <f t="shared" si="83"/>
        <v>0</v>
      </c>
      <c r="T185" s="725">
        <f t="shared" si="83"/>
        <v>0</v>
      </c>
      <c r="U185" s="725">
        <f t="shared" si="83"/>
        <v>0</v>
      </c>
      <c r="V185" s="725">
        <f t="shared" si="83"/>
        <v>0</v>
      </c>
      <c r="W185" s="725">
        <f t="shared" si="83"/>
        <v>0</v>
      </c>
      <c r="X185" s="725">
        <f t="shared" si="84"/>
        <v>0</v>
      </c>
      <c r="Y185" s="231"/>
      <c r="Z185" s="149"/>
      <c r="AA185" s="149"/>
      <c r="AB185" s="149"/>
      <c r="AC185" s="149"/>
      <c r="AD185" s="149"/>
      <c r="AE185" s="231"/>
      <c r="AF185" s="231"/>
      <c r="AG185" s="261" t="s">
        <v>6996</v>
      </c>
      <c r="AH185" s="260" t="s">
        <v>187</v>
      </c>
      <c r="AI185" s="261" t="s">
        <v>6998</v>
      </c>
      <c r="AJ185" s="542" t="str">
        <f t="shared" si="80"/>
        <v>[Nm3][MJ]</v>
      </c>
      <c r="AK185" s="230">
        <f>$F$194*製品単位換算2!$E$877*共通データ!$E$29/共通データ!$F$29</f>
        <v>1077.1143750000001</v>
      </c>
      <c r="AL185" s="153"/>
    </row>
    <row r="186" spans="1:39" ht="14.25" customHeight="1">
      <c r="B186" s="149"/>
      <c r="C186" s="149"/>
      <c r="D186" s="149"/>
      <c r="E186" s="511" t="s">
        <v>7694</v>
      </c>
      <c r="F186" s="711">
        <f>S208</f>
        <v>0</v>
      </c>
      <c r="G186" s="711">
        <f>T208</f>
        <v>0</v>
      </c>
      <c r="H186" s="711">
        <f>U208</f>
        <v>0</v>
      </c>
      <c r="I186" s="711">
        <f>V208</f>
        <v>0</v>
      </c>
      <c r="J186" s="711">
        <f>W208</f>
        <v>0</v>
      </c>
      <c r="K186" s="729">
        <f t="shared" si="82"/>
        <v>0</v>
      </c>
      <c r="L186" s="149"/>
      <c r="M186" s="149"/>
      <c r="N186" s="149"/>
      <c r="O186" s="149"/>
      <c r="P186" s="257"/>
      <c r="Q186" s="192"/>
      <c r="R186" s="68" t="str">
        <f>$Q$147</f>
        <v/>
      </c>
      <c r="S186" s="725">
        <f t="shared" si="83"/>
        <v>0</v>
      </c>
      <c r="T186" s="725">
        <f t="shared" si="83"/>
        <v>0</v>
      </c>
      <c r="U186" s="725">
        <f t="shared" si="83"/>
        <v>0</v>
      </c>
      <c r="V186" s="725">
        <f t="shared" si="83"/>
        <v>0</v>
      </c>
      <c r="W186" s="725">
        <f t="shared" si="83"/>
        <v>0</v>
      </c>
      <c r="X186" s="725">
        <f t="shared" si="84"/>
        <v>0</v>
      </c>
      <c r="Y186" s="231"/>
      <c r="Z186" s="149"/>
      <c r="AA186" s="149"/>
      <c r="AB186" s="149"/>
      <c r="AC186" s="149"/>
      <c r="AD186" s="149"/>
      <c r="AE186" s="231"/>
      <c r="AF186" s="231"/>
      <c r="AG186" s="261" t="s">
        <v>6996</v>
      </c>
      <c r="AH186" s="260" t="s">
        <v>187</v>
      </c>
      <c r="AI186" s="261" t="s">
        <v>6996</v>
      </c>
      <c r="AJ186" s="542" t="str">
        <f t="shared" si="80"/>
        <v>[Nm3][Nm3]</v>
      </c>
      <c r="AK186" s="230">
        <f>$F$194</f>
        <v>100</v>
      </c>
      <c r="AL186" s="153"/>
    </row>
    <row r="187" spans="1:39" ht="14.25" customHeight="1">
      <c r="B187" s="149"/>
      <c r="C187" s="149"/>
      <c r="D187" s="149"/>
      <c r="E187" s="511" t="s">
        <v>7695</v>
      </c>
      <c r="F187" s="711" t="str">
        <f>IF($Q$179="代替",SUM(S184:S186),"")</f>
        <v/>
      </c>
      <c r="G187" s="711" t="str">
        <f t="shared" ref="G187:J187" si="85">IF($Q$179="代替",SUM(T184:T186),"")</f>
        <v/>
      </c>
      <c r="H187" s="711" t="str">
        <f t="shared" si="85"/>
        <v/>
      </c>
      <c r="I187" s="711" t="str">
        <f t="shared" si="85"/>
        <v/>
      </c>
      <c r="J187" s="711" t="str">
        <f t="shared" si="85"/>
        <v/>
      </c>
      <c r="K187" s="729">
        <f t="shared" si="82"/>
        <v>0</v>
      </c>
      <c r="L187" s="149"/>
      <c r="M187" s="149"/>
      <c r="N187" s="149"/>
      <c r="O187" s="149"/>
      <c r="P187" s="149"/>
      <c r="Q187" s="247" t="s">
        <v>6991</v>
      </c>
      <c r="R187" s="150"/>
      <c r="S187" s="674"/>
      <c r="T187" s="674"/>
      <c r="U187" s="674"/>
      <c r="V187" s="674"/>
      <c r="W187" s="674"/>
      <c r="X187" s="674"/>
      <c r="Y187" s="231"/>
      <c r="Z187" s="244"/>
      <c r="AA187" s="150"/>
      <c r="AB187" s="245"/>
      <c r="AC187" s="245"/>
      <c r="AD187" s="245"/>
      <c r="AE187" s="231"/>
      <c r="AF187" s="231"/>
      <c r="AG187" s="261" t="s">
        <v>6997</v>
      </c>
      <c r="AH187" s="260" t="s">
        <v>187</v>
      </c>
      <c r="AI187" s="259" t="s">
        <v>2130</v>
      </c>
      <c r="AJ187" s="542" t="str">
        <f t="shared" si="80"/>
        <v>[1000Nm3][kg]</v>
      </c>
      <c r="AK187" s="230">
        <f>1000*AK184</f>
        <v>7585.3125000000009</v>
      </c>
      <c r="AL187" s="153"/>
    </row>
    <row r="188" spans="1:39" ht="14.25" customHeight="1">
      <c r="B188" s="149"/>
      <c r="C188" s="149"/>
      <c r="D188" s="149"/>
      <c r="E188" s="511" t="s">
        <v>7537</v>
      </c>
      <c r="F188" s="711">
        <f>S213</f>
        <v>0.51407132461817795</v>
      </c>
      <c r="G188" s="711">
        <f>T213</f>
        <v>1.1416643445199546</v>
      </c>
      <c r="H188" s="711">
        <f>U213</f>
        <v>0.77829692721504928</v>
      </c>
      <c r="I188" s="711">
        <f>V213</f>
        <v>0</v>
      </c>
      <c r="J188" s="711">
        <f>W213</f>
        <v>0</v>
      </c>
      <c r="K188" s="729">
        <f t="shared" si="82"/>
        <v>2.4340325963531817</v>
      </c>
      <c r="L188" s="149"/>
      <c r="M188" s="149"/>
      <c r="N188" s="149"/>
      <c r="O188" s="149"/>
      <c r="P188" s="149"/>
      <c r="Q188" s="218"/>
      <c r="R188" s="76" t="s">
        <v>145</v>
      </c>
      <c r="S188" s="725">
        <f>IF($Q$179="代替", S$33, IFERROR(VLOOKUP($Q$179&amp;$R188,$AI$152:$AJ$167,2,FALSE)*S$33,""))</f>
        <v>0</v>
      </c>
      <c r="T188" s="725">
        <f>IF($Q$179="代替", T$33, IFERROR(VLOOKUP($Q$179&amp;$R188,$AI$152:$AJ$167,2,FALSE)*T$33,""))</f>
        <v>0</v>
      </c>
      <c r="U188" s="725">
        <f>IF($Q$179="代替", U$33, IFERROR(VLOOKUP($Q$179&amp;$R188,$AI$152:$AJ$167,2,FALSE)*U$33,""))</f>
        <v>0</v>
      </c>
      <c r="V188" s="725">
        <f>IF($Q$179="代替", V$33, IFERROR(VLOOKUP($Q$179&amp;$R188,$AI$152:$AJ$167,2,FALSE)*V$33,""))</f>
        <v>0</v>
      </c>
      <c r="W188" s="725">
        <f>IF($Q$179="代替", W$33, IFERROR(VLOOKUP($Q$179&amp;$R188,$AI$152:$AJ$167,2,FALSE)*W$33,""))</f>
        <v>0</v>
      </c>
      <c r="X188" s="725">
        <f>SUM(S188:W188)</f>
        <v>0</v>
      </c>
      <c r="Y188" s="231"/>
      <c r="Z188" s="231"/>
      <c r="AA188" s="231"/>
      <c r="AB188" s="231"/>
      <c r="AC188" s="231"/>
      <c r="AD188" s="231"/>
      <c r="AE188" s="153"/>
      <c r="AF188" s="153"/>
      <c r="AG188" s="261" t="s">
        <v>6997</v>
      </c>
      <c r="AH188" s="260" t="s">
        <v>187</v>
      </c>
      <c r="AI188" s="261" t="s">
        <v>6998</v>
      </c>
      <c r="AJ188" s="542" t="str">
        <f t="shared" si="80"/>
        <v>[1000Nm3][MJ]</v>
      </c>
      <c r="AK188" s="230">
        <f t="shared" ref="AK188:AK189" si="86">1000*AK185</f>
        <v>1077114.375</v>
      </c>
      <c r="AL188" s="153"/>
    </row>
    <row r="189" spans="1:39" ht="14.25" customHeight="1">
      <c r="B189" s="149"/>
      <c r="C189" s="149"/>
      <c r="D189" s="149"/>
      <c r="E189" s="511" t="s">
        <v>6973</v>
      </c>
      <c r="F189" s="711">
        <f>S218</f>
        <v>0</v>
      </c>
      <c r="G189" s="711">
        <f>T218</f>
        <v>0</v>
      </c>
      <c r="H189" s="711">
        <f>U218</f>
        <v>0</v>
      </c>
      <c r="I189" s="711">
        <f>V218</f>
        <v>0</v>
      </c>
      <c r="J189" s="711">
        <f>W218</f>
        <v>0</v>
      </c>
      <c r="K189" s="729">
        <f t="shared" si="82"/>
        <v>0</v>
      </c>
      <c r="L189" s="149"/>
      <c r="M189" s="149"/>
      <c r="N189" s="149"/>
      <c r="O189" s="149"/>
      <c r="P189" s="149"/>
      <c r="Q189" s="61"/>
      <c r="R189" s="68" t="str">
        <f>$Q$139</f>
        <v/>
      </c>
      <c r="S189" s="725">
        <f t="shared" ref="S189:W191" si="87">IF($Q$179="代替", "-", IFERROR(VLOOKUP($Q$179&amp;$R189,$AI$152:$AJ$167,2,FALSE)*S$33,""))</f>
        <v>0</v>
      </c>
      <c r="T189" s="725">
        <f t="shared" si="87"/>
        <v>0</v>
      </c>
      <c r="U189" s="725">
        <f t="shared" si="87"/>
        <v>0</v>
      </c>
      <c r="V189" s="725">
        <f t="shared" si="87"/>
        <v>0</v>
      </c>
      <c r="W189" s="725">
        <f t="shared" si="87"/>
        <v>0</v>
      </c>
      <c r="X189" s="725">
        <f t="shared" ref="X189:X211" si="88">SUM(S189:W189)</f>
        <v>0</v>
      </c>
      <c r="Y189" s="231"/>
      <c r="Z189" s="231"/>
      <c r="AA189" s="231"/>
      <c r="AB189" s="231"/>
      <c r="AC189" s="231"/>
      <c r="AD189" s="231"/>
      <c r="AE189" s="153"/>
      <c r="AF189" s="153"/>
      <c r="AG189" s="261" t="s">
        <v>6997</v>
      </c>
      <c r="AH189" s="260" t="s">
        <v>187</v>
      </c>
      <c r="AI189" s="261" t="s">
        <v>6996</v>
      </c>
      <c r="AJ189" s="542" t="str">
        <f t="shared" si="80"/>
        <v>[1000Nm3][Nm3]</v>
      </c>
      <c r="AK189" s="230">
        <f t="shared" si="86"/>
        <v>100000</v>
      </c>
      <c r="AM189" s="59"/>
    </row>
    <row r="190" spans="1:39" ht="14.25" customHeight="1">
      <c r="B190" s="149"/>
      <c r="C190" s="149"/>
      <c r="D190" s="149"/>
      <c r="E190" s="511" t="s">
        <v>7696</v>
      </c>
      <c r="F190" s="711">
        <f>SUM(F182:F189)</f>
        <v>0.54957132461817793</v>
      </c>
      <c r="G190" s="711">
        <f t="shared" ref="G190:J190" si="89">SUM(G182:G189)</f>
        <v>1.2481643445199546</v>
      </c>
      <c r="H190" s="711">
        <f t="shared" si="89"/>
        <v>0.78539692721504928</v>
      </c>
      <c r="I190" s="711">
        <f t="shared" si="89"/>
        <v>0</v>
      </c>
      <c r="J190" s="711">
        <f t="shared" si="89"/>
        <v>0</v>
      </c>
      <c r="K190" s="729">
        <f t="shared" ref="K190" si="90">SUM(F190:J190)</f>
        <v>2.5831325963531819</v>
      </c>
      <c r="L190" s="149"/>
      <c r="M190" s="149"/>
      <c r="N190" s="149"/>
      <c r="O190" s="149"/>
      <c r="P190" s="149"/>
      <c r="Q190" s="191"/>
      <c r="R190" s="68" t="str">
        <f>$Q$143</f>
        <v/>
      </c>
      <c r="S190" s="725">
        <f t="shared" si="87"/>
        <v>0</v>
      </c>
      <c r="T190" s="725">
        <f t="shared" si="87"/>
        <v>0</v>
      </c>
      <c r="U190" s="725">
        <f t="shared" si="87"/>
        <v>0</v>
      </c>
      <c r="V190" s="725">
        <f t="shared" si="87"/>
        <v>0</v>
      </c>
      <c r="W190" s="725">
        <f t="shared" si="87"/>
        <v>0</v>
      </c>
      <c r="X190" s="725">
        <f t="shared" si="88"/>
        <v>0</v>
      </c>
      <c r="Y190" s="231"/>
      <c r="Z190" s="231"/>
      <c r="AA190" s="231"/>
      <c r="AB190" s="231"/>
      <c r="AC190" s="231"/>
      <c r="AD190" s="231"/>
      <c r="AE190" s="153"/>
      <c r="AF190" s="153"/>
      <c r="AG190" s="153"/>
      <c r="AH190" s="153"/>
      <c r="AI190" s="153"/>
      <c r="AJ190" s="535"/>
      <c r="AK190" s="153"/>
      <c r="AM190" s="59"/>
    </row>
    <row r="191" spans="1:39">
      <c r="B191" s="149"/>
      <c r="C191" s="149"/>
      <c r="D191" s="149"/>
      <c r="E191" s="149"/>
      <c r="F191" s="149"/>
      <c r="G191" s="149"/>
      <c r="H191" s="149"/>
      <c r="I191" s="149"/>
      <c r="J191" s="149"/>
      <c r="K191" s="149"/>
      <c r="L191" s="149"/>
      <c r="M191" s="149"/>
      <c r="N191" s="149"/>
      <c r="O191" s="149"/>
      <c r="P191" s="257"/>
      <c r="Q191" s="192"/>
      <c r="R191" s="68" t="str">
        <f>$Q$147</f>
        <v/>
      </c>
      <c r="S191" s="725">
        <f t="shared" si="87"/>
        <v>0</v>
      </c>
      <c r="T191" s="725">
        <f t="shared" si="87"/>
        <v>0</v>
      </c>
      <c r="U191" s="725">
        <f t="shared" si="87"/>
        <v>0</v>
      </c>
      <c r="V191" s="725">
        <f t="shared" si="87"/>
        <v>0</v>
      </c>
      <c r="W191" s="725">
        <f t="shared" si="87"/>
        <v>0</v>
      </c>
      <c r="X191" s="725">
        <f t="shared" si="88"/>
        <v>0</v>
      </c>
      <c r="Y191" s="231"/>
      <c r="Z191" s="231"/>
      <c r="AA191" s="231"/>
      <c r="AB191" s="231"/>
      <c r="AC191" s="231"/>
      <c r="AD191" s="231"/>
      <c r="AE191" s="153"/>
      <c r="AF191" s="153"/>
      <c r="AG191" s="153"/>
      <c r="AH191" s="153"/>
      <c r="AI191" s="153"/>
      <c r="AJ191" s="535"/>
      <c r="AK191" s="153"/>
      <c r="AM191" s="59"/>
    </row>
    <row r="192" spans="1:39">
      <c r="B192" s="149"/>
      <c r="C192" s="149"/>
      <c r="D192" s="149"/>
      <c r="E192" s="966" t="s">
        <v>7676</v>
      </c>
      <c r="F192" s="966"/>
      <c r="G192" s="966"/>
      <c r="H192" s="966"/>
      <c r="I192" s="966"/>
      <c r="J192" s="966"/>
      <c r="K192" s="966"/>
      <c r="L192" s="966"/>
      <c r="M192" s="149"/>
      <c r="N192" s="149"/>
      <c r="O192" s="149"/>
      <c r="P192" s="149"/>
      <c r="Q192" s="149" t="s">
        <v>6981</v>
      </c>
      <c r="R192" s="220"/>
      <c r="S192" s="675"/>
      <c r="T192" s="675"/>
      <c r="U192" s="675"/>
      <c r="V192" s="675"/>
      <c r="W192" s="675"/>
      <c r="X192" s="676"/>
      <c r="Y192" s="153"/>
      <c r="Z192" s="153"/>
      <c r="AA192" s="153"/>
      <c r="AB192" s="153"/>
      <c r="AC192" s="153"/>
      <c r="AD192" s="153"/>
      <c r="AE192" s="153"/>
      <c r="AF192" s="153"/>
      <c r="AG192" s="153"/>
      <c r="AH192" s="153"/>
      <c r="AI192" s="153"/>
      <c r="AJ192" s="535"/>
      <c r="AK192" s="153"/>
      <c r="AM192" s="59"/>
    </row>
    <row r="193" spans="2:39" ht="13.8" thickBot="1">
      <c r="B193" s="233"/>
      <c r="C193" s="233"/>
      <c r="D193" s="149"/>
      <c r="E193" s="143"/>
      <c r="F193" s="496"/>
      <c r="G193" s="496"/>
      <c r="H193" s="496"/>
      <c r="I193" s="143"/>
      <c r="J193" s="143"/>
      <c r="K193" s="211"/>
      <c r="L193" s="149"/>
      <c r="M193" s="149"/>
      <c r="N193" s="220"/>
      <c r="O193" s="220"/>
      <c r="P193" s="220"/>
      <c r="Q193" s="218"/>
      <c r="R193" s="76" t="s">
        <v>145</v>
      </c>
      <c r="S193" s="725">
        <f>IF($Q$179="代替", S$53+S$60, IFERROR(VLOOKUP($Q$179&amp;$R193,$AI$152:$AJ$167,2,FALSE)*(S$53+S$60),""))</f>
        <v>3.5499999999999997E-2</v>
      </c>
      <c r="T193" s="725">
        <f>IF($Q$179="代替", T$53+T$60, IFERROR(VLOOKUP($Q$179&amp;$R193,$AI$152:$AJ$167,2,FALSE)*(T$53+T$60),""))</f>
        <v>0.1065</v>
      </c>
      <c r="U193" s="725">
        <f>IF($Q$179="代替", U$53+U$60, IFERROR(VLOOKUP($Q$179&amp;$R193,$AI$152:$AJ$167,2,FALSE)*(U$53+U$60),""))</f>
        <v>7.0999999999999995E-3</v>
      </c>
      <c r="V193" s="725">
        <f>IF($Q$179="代替", V$53+V$60, IFERROR(VLOOKUP($Q$179&amp;$R193,$AI$152:$AJ$167,2,FALSE)*(V$53+V$60),""))</f>
        <v>0</v>
      </c>
      <c r="W193" s="725">
        <f>IF($Q$179="代替", W$53+W$60, IFERROR(VLOOKUP($Q$179&amp;$R193,$AI$152:$AJ$167,2,FALSE)*(W$53+W$60),""))</f>
        <v>0</v>
      </c>
      <c r="X193" s="725">
        <f t="shared" si="88"/>
        <v>0.14909999999999998</v>
      </c>
      <c r="Y193" s="153"/>
      <c r="Z193" s="153"/>
      <c r="AA193" s="153"/>
      <c r="AB193" s="153"/>
      <c r="AC193" s="153"/>
      <c r="AD193" s="153"/>
      <c r="AE193" s="153"/>
      <c r="AF193" s="153"/>
      <c r="AG193" s="153"/>
      <c r="AH193" s="153"/>
      <c r="AI193" s="153"/>
      <c r="AJ193" s="535"/>
      <c r="AK193" s="153"/>
      <c r="AM193" s="59"/>
    </row>
    <row r="194" spans="2:39" ht="13.8" thickBot="1">
      <c r="B194" s="233"/>
      <c r="C194" s="233"/>
      <c r="D194" s="149"/>
      <c r="E194" s="503" t="s">
        <v>7553</v>
      </c>
      <c r="F194" s="730">
        <f>IFERROR(D6,"")</f>
        <v>100</v>
      </c>
      <c r="G194" s="1077" t="str">
        <f>'製造(P)'!C6</f>
        <v>[Nm3]</v>
      </c>
      <c r="H194" s="1078"/>
      <c r="I194" s="92" t="s">
        <v>7679</v>
      </c>
      <c r="J194" s="1079">
        <f>VLOOKUP(G194&amp;L194,AJ178:AK189,2,FALSE)</f>
        <v>100</v>
      </c>
      <c r="K194" s="1079"/>
      <c r="L194" s="93" t="str">
        <f>'製造(P)'!L194</f>
        <v>[Nm3]</v>
      </c>
      <c r="M194" s="149"/>
      <c r="N194" s="220"/>
      <c r="O194" s="220"/>
      <c r="P194" s="220"/>
      <c r="Q194" s="61"/>
      <c r="R194" s="68" t="str">
        <f>$Q$139</f>
        <v/>
      </c>
      <c r="S194" s="725">
        <f t="shared" ref="S194:W196" si="91">IF($Q$179="代替", "-", IFERROR(VLOOKUP($Q$179&amp;$R194,$AI$152:$AJ$167,2,FALSE)*(S$53+S$60),""))</f>
        <v>0</v>
      </c>
      <c r="T194" s="725">
        <f t="shared" si="91"/>
        <v>0</v>
      </c>
      <c r="U194" s="725">
        <f t="shared" si="91"/>
        <v>0</v>
      </c>
      <c r="V194" s="725">
        <f t="shared" si="91"/>
        <v>0</v>
      </c>
      <c r="W194" s="725">
        <f t="shared" si="91"/>
        <v>0</v>
      </c>
      <c r="X194" s="725">
        <f t="shared" si="88"/>
        <v>0</v>
      </c>
      <c r="Y194" s="153"/>
      <c r="Z194" s="153"/>
      <c r="AA194" s="153"/>
      <c r="AB194" s="153"/>
      <c r="AC194" s="153"/>
      <c r="AD194" s="153"/>
      <c r="AE194" s="153"/>
      <c r="AF194" s="153"/>
      <c r="AG194" s="153"/>
      <c r="AH194" s="153"/>
      <c r="AI194" s="153"/>
      <c r="AJ194" s="535"/>
      <c r="AK194" s="153"/>
      <c r="AM194" s="59"/>
    </row>
    <row r="195" spans="2:39">
      <c r="B195" s="149"/>
      <c r="C195" s="149"/>
      <c r="D195" s="149"/>
      <c r="E195" s="143"/>
      <c r="F195" s="496"/>
      <c r="G195" s="496"/>
      <c r="H195" s="496"/>
      <c r="I195" s="143"/>
      <c r="K195" s="211"/>
      <c r="L195" s="171" t="str">
        <f>"[単位：kgCO2/"&amp;MID(L194,2,(LENB(L194)-2))&amp;"H2]"</f>
        <v>[単位：kgCO2/Nm3H2]</v>
      </c>
      <c r="M195" s="149"/>
      <c r="N195" s="220"/>
      <c r="O195" s="220"/>
      <c r="P195" s="220"/>
      <c r="Q195" s="191"/>
      <c r="R195" s="68" t="str">
        <f>$Q$143</f>
        <v/>
      </c>
      <c r="S195" s="725">
        <f t="shared" si="91"/>
        <v>0</v>
      </c>
      <c r="T195" s="725">
        <f t="shared" si="91"/>
        <v>0</v>
      </c>
      <c r="U195" s="725">
        <f t="shared" si="91"/>
        <v>0</v>
      </c>
      <c r="V195" s="725">
        <f t="shared" si="91"/>
        <v>0</v>
      </c>
      <c r="W195" s="725">
        <f t="shared" si="91"/>
        <v>0</v>
      </c>
      <c r="X195" s="725">
        <f t="shared" si="88"/>
        <v>0</v>
      </c>
      <c r="Y195" s="153"/>
      <c r="Z195" s="153"/>
      <c r="AA195" s="153"/>
      <c r="AB195" s="153"/>
      <c r="AC195" s="153"/>
      <c r="AD195" s="153"/>
      <c r="AE195" s="153"/>
      <c r="AF195" s="153"/>
      <c r="AG195" s="153"/>
      <c r="AH195" s="153"/>
      <c r="AI195" s="153"/>
      <c r="AJ195" s="535"/>
      <c r="AK195" s="153"/>
      <c r="AM195" s="59"/>
    </row>
    <row r="196" spans="2:39">
      <c r="B196" s="149"/>
      <c r="C196" s="149"/>
      <c r="D196" s="149"/>
      <c r="E196" s="466" t="s">
        <v>146</v>
      </c>
      <c r="F196" s="226" t="s">
        <v>7434</v>
      </c>
      <c r="G196" s="229" t="s">
        <v>7060</v>
      </c>
      <c r="H196" s="229" t="s">
        <v>7061</v>
      </c>
      <c r="I196" s="229" t="s">
        <v>7062</v>
      </c>
      <c r="J196" s="229" t="s">
        <v>7063</v>
      </c>
      <c r="K196" s="232" t="s">
        <v>7436</v>
      </c>
      <c r="L196" s="493" t="s">
        <v>7664</v>
      </c>
      <c r="M196" s="149"/>
      <c r="N196" s="149"/>
      <c r="O196" s="149"/>
      <c r="P196" s="257"/>
      <c r="Q196" s="192"/>
      <c r="R196" s="68" t="str">
        <f>$Q$147</f>
        <v/>
      </c>
      <c r="S196" s="725">
        <f t="shared" si="91"/>
        <v>0</v>
      </c>
      <c r="T196" s="725">
        <f t="shared" si="91"/>
        <v>0</v>
      </c>
      <c r="U196" s="725">
        <f t="shared" si="91"/>
        <v>0</v>
      </c>
      <c r="V196" s="725">
        <f t="shared" si="91"/>
        <v>0</v>
      </c>
      <c r="W196" s="725">
        <f t="shared" si="91"/>
        <v>0</v>
      </c>
      <c r="X196" s="725">
        <f t="shared" si="88"/>
        <v>0</v>
      </c>
      <c r="Y196" s="153"/>
      <c r="Z196" s="153"/>
      <c r="AA196" s="153"/>
      <c r="AB196" s="153"/>
      <c r="AC196" s="153"/>
      <c r="AD196" s="153"/>
      <c r="AE196" s="153"/>
      <c r="AF196" s="153"/>
      <c r="AG196" s="153"/>
      <c r="AH196" s="153"/>
      <c r="AI196" s="153"/>
      <c r="AJ196" s="535"/>
      <c r="AK196" s="153"/>
      <c r="AM196" s="59"/>
    </row>
    <row r="197" spans="2:39">
      <c r="B197" s="149"/>
      <c r="C197" s="149"/>
      <c r="D197" s="149"/>
      <c r="E197" s="511" t="s">
        <v>6965</v>
      </c>
      <c r="F197" s="731">
        <f>IFERROR(F182/$J$194, "")</f>
        <v>0</v>
      </c>
      <c r="G197" s="731">
        <f t="shared" ref="G197:J197" si="92">IFERROR(G182/$J$194, "")</f>
        <v>0</v>
      </c>
      <c r="H197" s="731">
        <f t="shared" si="92"/>
        <v>0</v>
      </c>
      <c r="I197" s="731">
        <f t="shared" si="92"/>
        <v>0</v>
      </c>
      <c r="J197" s="731">
        <f t="shared" si="92"/>
        <v>0</v>
      </c>
      <c r="K197" s="732">
        <f>SUM(F197:J197)</f>
        <v>0</v>
      </c>
      <c r="L197" s="504">
        <f t="shared" ref="L197:L205" si="93">IF($K$205=0, 0, K197/$K$205)</f>
        <v>0</v>
      </c>
      <c r="M197" s="149"/>
      <c r="N197" s="149"/>
      <c r="O197" s="149"/>
      <c r="P197" s="149"/>
      <c r="Q197" s="149" t="s">
        <v>6983</v>
      </c>
      <c r="R197" s="149"/>
      <c r="S197" s="677"/>
      <c r="T197" s="677"/>
      <c r="U197" s="677"/>
      <c r="V197" s="677"/>
      <c r="W197" s="677"/>
      <c r="X197" s="676"/>
      <c r="Y197" s="153"/>
      <c r="Z197" s="153"/>
      <c r="AA197" s="153"/>
      <c r="AB197" s="153"/>
      <c r="AC197" s="153"/>
      <c r="AD197" s="153"/>
      <c r="AE197" s="153"/>
      <c r="AF197" s="153"/>
      <c r="AG197" s="153"/>
      <c r="AH197" s="153"/>
      <c r="AI197" s="153"/>
      <c r="AJ197" s="535"/>
      <c r="AK197" s="153"/>
      <c r="AL197" s="153"/>
    </row>
    <row r="198" spans="2:39">
      <c r="B198" s="149"/>
      <c r="C198" s="149"/>
      <c r="D198" s="149"/>
      <c r="E198" s="511" t="s">
        <v>7697</v>
      </c>
      <c r="F198" s="731">
        <f t="shared" ref="F198:J198" si="94">IFERROR(F183/$J$194, "")</f>
        <v>3.5499999999999996E-4</v>
      </c>
      <c r="G198" s="731">
        <f t="shared" si="94"/>
        <v>1.065E-3</v>
      </c>
      <c r="H198" s="731">
        <f t="shared" si="94"/>
        <v>7.0999999999999991E-5</v>
      </c>
      <c r="I198" s="731">
        <f t="shared" si="94"/>
        <v>0</v>
      </c>
      <c r="J198" s="731">
        <f t="shared" si="94"/>
        <v>0</v>
      </c>
      <c r="K198" s="732">
        <f t="shared" ref="K198:K205" si="95">SUM(F198:J198)</f>
        <v>1.4909999999999997E-3</v>
      </c>
      <c r="L198" s="504">
        <f t="shared" si="93"/>
        <v>5.7720614191658824E-2</v>
      </c>
      <c r="M198" s="149"/>
      <c r="N198" s="220"/>
      <c r="O198" s="220"/>
      <c r="P198" s="222"/>
      <c r="Q198" s="218"/>
      <c r="R198" s="76" t="s">
        <v>145</v>
      </c>
      <c r="S198" s="725">
        <f>IF($Q$179="代替", S$71, IFERROR(VLOOKUP($Q$179&amp;$R198,$AI$152:$AJ$167,2,FALSE)*S$71,""))</f>
        <v>0</v>
      </c>
      <c r="T198" s="725">
        <f>IF($Q$179="代替", T$71, IFERROR(VLOOKUP($Q$179&amp;$R198,$AI$152:$AJ$167,2,FALSE)*T$71,""))</f>
        <v>0</v>
      </c>
      <c r="U198" s="725">
        <f>IF($Q$179="代替", U$71, IFERROR(VLOOKUP($Q$179&amp;$R198,$AI$152:$AJ$167,2,FALSE)*U$71,""))</f>
        <v>0</v>
      </c>
      <c r="V198" s="725">
        <f>IF($Q$179="代替", V$71, IFERROR(VLOOKUP($Q$179&amp;$R198,$AI$152:$AJ$167,2,FALSE)*V$71,""))</f>
        <v>0</v>
      </c>
      <c r="W198" s="725">
        <f>IF($Q$179="代替", W$71, IFERROR(VLOOKUP($Q$179&amp;$R198,$AI$152:$AJ$167,2,FALSE)*W$71,""))</f>
        <v>0</v>
      </c>
      <c r="X198" s="725">
        <f t="shared" si="88"/>
        <v>0</v>
      </c>
      <c r="Y198" s="153"/>
      <c r="Z198" s="153"/>
      <c r="AA198" s="153"/>
      <c r="AB198" s="153"/>
      <c r="AC198" s="153"/>
      <c r="AD198" s="153"/>
      <c r="AE198" s="153"/>
      <c r="AF198" s="153"/>
      <c r="AG198" s="153"/>
      <c r="AH198" s="153"/>
      <c r="AI198" s="153"/>
      <c r="AJ198" s="535"/>
      <c r="AK198" s="153"/>
      <c r="AL198" s="153"/>
    </row>
    <row r="199" spans="2:39">
      <c r="B199" s="149"/>
      <c r="C199" s="149"/>
      <c r="D199" s="149"/>
      <c r="E199" s="511" t="s">
        <v>6967</v>
      </c>
      <c r="F199" s="731">
        <f t="shared" ref="F199:J199" si="96">IFERROR(F184/$J$194, "")</f>
        <v>0</v>
      </c>
      <c r="G199" s="731">
        <f t="shared" si="96"/>
        <v>0</v>
      </c>
      <c r="H199" s="731">
        <f t="shared" si="96"/>
        <v>0</v>
      </c>
      <c r="I199" s="731">
        <f t="shared" si="96"/>
        <v>0</v>
      </c>
      <c r="J199" s="731">
        <f t="shared" si="96"/>
        <v>0</v>
      </c>
      <c r="K199" s="732">
        <f t="shared" si="95"/>
        <v>0</v>
      </c>
      <c r="L199" s="504">
        <f t="shared" si="93"/>
        <v>0</v>
      </c>
      <c r="M199" s="149"/>
      <c r="N199" s="220"/>
      <c r="O199" s="220"/>
      <c r="P199" s="222"/>
      <c r="Q199" s="61"/>
      <c r="R199" s="68" t="str">
        <f>$Q$139</f>
        <v/>
      </c>
      <c r="S199" s="725">
        <f t="shared" ref="S199:W201" si="97">IF($Q$179="代替", "-", IFERROR(VLOOKUP($Q$179&amp;$R199,$AI$152:$AJ$167,2,FALSE)*S$71,""))</f>
        <v>0</v>
      </c>
      <c r="T199" s="725">
        <f t="shared" si="97"/>
        <v>0</v>
      </c>
      <c r="U199" s="725">
        <f t="shared" si="97"/>
        <v>0</v>
      </c>
      <c r="V199" s="725">
        <f t="shared" si="97"/>
        <v>0</v>
      </c>
      <c r="W199" s="725">
        <f t="shared" si="97"/>
        <v>0</v>
      </c>
      <c r="X199" s="725">
        <f t="shared" si="88"/>
        <v>0</v>
      </c>
      <c r="Y199" s="153"/>
      <c r="Z199" s="153"/>
      <c r="AA199" s="153"/>
      <c r="AB199" s="153"/>
      <c r="AC199" s="153"/>
      <c r="AD199" s="153"/>
      <c r="AE199" s="231"/>
      <c r="AF199" s="231"/>
      <c r="AG199" s="153"/>
      <c r="AH199" s="153"/>
      <c r="AI199" s="153"/>
      <c r="AJ199" s="535"/>
      <c r="AK199" s="153"/>
      <c r="AL199" s="153"/>
    </row>
    <row r="200" spans="2:39">
      <c r="B200" s="149"/>
      <c r="C200" s="149"/>
      <c r="D200" s="149"/>
      <c r="E200" s="511" t="s">
        <v>7693</v>
      </c>
      <c r="F200" s="731">
        <f t="shared" ref="F200:J200" si="98">IFERROR(F185/$J$194, "")</f>
        <v>0</v>
      </c>
      <c r="G200" s="731">
        <f t="shared" si="98"/>
        <v>0</v>
      </c>
      <c r="H200" s="731">
        <f t="shared" si="98"/>
        <v>0</v>
      </c>
      <c r="I200" s="731">
        <f t="shared" si="98"/>
        <v>0</v>
      </c>
      <c r="J200" s="731">
        <f t="shared" si="98"/>
        <v>0</v>
      </c>
      <c r="K200" s="732">
        <f t="shared" si="95"/>
        <v>0</v>
      </c>
      <c r="L200" s="504">
        <f t="shared" si="93"/>
        <v>0</v>
      </c>
      <c r="M200" s="149"/>
      <c r="N200" s="149"/>
      <c r="O200" s="149"/>
      <c r="P200" s="222"/>
      <c r="Q200" s="191"/>
      <c r="R200" s="68" t="str">
        <f>$Q$143</f>
        <v/>
      </c>
      <c r="S200" s="725">
        <f t="shared" si="97"/>
        <v>0</v>
      </c>
      <c r="T200" s="725">
        <f t="shared" si="97"/>
        <v>0</v>
      </c>
      <c r="U200" s="725">
        <f t="shared" si="97"/>
        <v>0</v>
      </c>
      <c r="V200" s="725">
        <f t="shared" si="97"/>
        <v>0</v>
      </c>
      <c r="W200" s="725">
        <f t="shared" si="97"/>
        <v>0</v>
      </c>
      <c r="X200" s="725">
        <f t="shared" si="88"/>
        <v>0</v>
      </c>
      <c r="Y200" s="153"/>
      <c r="Z200" s="153"/>
      <c r="AA200" s="153"/>
      <c r="AB200" s="153"/>
      <c r="AC200" s="153"/>
      <c r="AD200" s="153"/>
      <c r="AE200" s="231"/>
      <c r="AF200" s="231"/>
      <c r="AG200" s="153"/>
      <c r="AH200" s="153"/>
      <c r="AI200" s="153"/>
      <c r="AJ200" s="535"/>
      <c r="AK200" s="153"/>
      <c r="AL200" s="153"/>
    </row>
    <row r="201" spans="2:39">
      <c r="B201" s="149"/>
      <c r="C201" s="149"/>
      <c r="D201" s="149"/>
      <c r="E201" s="511" t="s">
        <v>7694</v>
      </c>
      <c r="F201" s="731">
        <f t="shared" ref="F201:J203" si="99">IFERROR(F186/$J$194, "")</f>
        <v>0</v>
      </c>
      <c r="G201" s="731">
        <f t="shared" si="99"/>
        <v>0</v>
      </c>
      <c r="H201" s="731">
        <f t="shared" si="99"/>
        <v>0</v>
      </c>
      <c r="I201" s="731">
        <f t="shared" si="99"/>
        <v>0</v>
      </c>
      <c r="J201" s="731">
        <f t="shared" si="99"/>
        <v>0</v>
      </c>
      <c r="K201" s="732">
        <f t="shared" si="95"/>
        <v>0</v>
      </c>
      <c r="L201" s="504">
        <f t="shared" si="93"/>
        <v>0</v>
      </c>
      <c r="M201" s="149"/>
      <c r="N201" s="149"/>
      <c r="O201" s="149"/>
      <c r="P201" s="222"/>
      <c r="Q201" s="192"/>
      <c r="R201" s="68" t="str">
        <f>$Q$147</f>
        <v/>
      </c>
      <c r="S201" s="725">
        <f t="shared" si="97"/>
        <v>0</v>
      </c>
      <c r="T201" s="725">
        <f t="shared" si="97"/>
        <v>0</v>
      </c>
      <c r="U201" s="725">
        <f t="shared" si="97"/>
        <v>0</v>
      </c>
      <c r="V201" s="725">
        <f t="shared" si="97"/>
        <v>0</v>
      </c>
      <c r="W201" s="725">
        <f t="shared" si="97"/>
        <v>0</v>
      </c>
      <c r="X201" s="725">
        <f t="shared" si="88"/>
        <v>0</v>
      </c>
      <c r="Y201" s="153"/>
      <c r="Z201" s="153"/>
      <c r="AA201" s="153"/>
      <c r="AB201" s="153"/>
      <c r="AC201" s="153"/>
      <c r="AD201" s="153"/>
      <c r="AE201" s="153"/>
      <c r="AF201" s="153"/>
      <c r="AG201" s="153"/>
      <c r="AH201" s="153"/>
      <c r="AI201" s="153"/>
      <c r="AJ201" s="535"/>
      <c r="AK201" s="153"/>
      <c r="AL201" s="153"/>
    </row>
    <row r="202" spans="2:39">
      <c r="B202" s="149"/>
      <c r="C202" s="149"/>
      <c r="D202" s="149"/>
      <c r="E202" s="511" t="s">
        <v>7698</v>
      </c>
      <c r="F202" s="731" t="str">
        <f>IF(ISNUMBER(F187),F187/$J$194,"")</f>
        <v/>
      </c>
      <c r="G202" s="731" t="str">
        <f t="shared" ref="G202:J202" si="100">IF(ISNUMBER(G187),G187/$J$194,"")</f>
        <v/>
      </c>
      <c r="H202" s="731" t="str">
        <f t="shared" si="100"/>
        <v/>
      </c>
      <c r="I202" s="731" t="str">
        <f t="shared" si="100"/>
        <v/>
      </c>
      <c r="J202" s="731" t="str">
        <f t="shared" si="100"/>
        <v/>
      </c>
      <c r="K202" s="732">
        <f t="shared" si="95"/>
        <v>0</v>
      </c>
      <c r="L202" s="504">
        <f t="shared" si="93"/>
        <v>0</v>
      </c>
      <c r="M202" s="149"/>
      <c r="N202" s="149"/>
      <c r="O202" s="149"/>
      <c r="P202" s="222"/>
      <c r="Q202" s="220" t="s">
        <v>6985</v>
      </c>
      <c r="R202" s="220"/>
      <c r="S202" s="675"/>
      <c r="T202" s="675"/>
      <c r="U202" s="675"/>
      <c r="V202" s="675"/>
      <c r="W202" s="675"/>
      <c r="X202" s="675"/>
      <c r="Y202" s="231"/>
      <c r="Z202" s="153"/>
      <c r="AA202" s="153"/>
      <c r="AB202" s="153"/>
      <c r="AC202" s="153"/>
      <c r="AD202" s="153"/>
      <c r="AE202" s="153"/>
      <c r="AF202" s="153"/>
      <c r="AG202" s="153"/>
      <c r="AH202" s="153"/>
      <c r="AI202" s="153"/>
      <c r="AJ202" s="535"/>
      <c r="AK202" s="153"/>
      <c r="AM202" s="59"/>
    </row>
    <row r="203" spans="2:39">
      <c r="B203" s="149"/>
      <c r="C203" s="149"/>
      <c r="D203" s="149"/>
      <c r="E203" s="511" t="s">
        <v>7537</v>
      </c>
      <c r="F203" s="731">
        <f t="shared" si="99"/>
        <v>5.1407132461817797E-3</v>
      </c>
      <c r="G203" s="731">
        <f t="shared" si="99"/>
        <v>1.1416643445199546E-2</v>
      </c>
      <c r="H203" s="731">
        <f t="shared" si="99"/>
        <v>7.7829692721504929E-3</v>
      </c>
      <c r="I203" s="731">
        <f t="shared" si="99"/>
        <v>0</v>
      </c>
      <c r="J203" s="731">
        <f t="shared" si="99"/>
        <v>0</v>
      </c>
      <c r="K203" s="732">
        <f t="shared" si="95"/>
        <v>2.434032596353182E-2</v>
      </c>
      <c r="L203" s="504">
        <f t="shared" si="93"/>
        <v>0.94227938580834114</v>
      </c>
      <c r="M203" s="149"/>
      <c r="N203" s="149"/>
      <c r="O203" s="149"/>
      <c r="P203" s="222"/>
      <c r="Q203" s="218"/>
      <c r="R203" s="76" t="s">
        <v>145</v>
      </c>
      <c r="S203" s="725">
        <f>IF($Q$179="代替", S$98, IFERROR(VLOOKUP($Q$179&amp;$R203,$AI$152:$AJ$167,2,FALSE)*S$98,""))</f>
        <v>0</v>
      </c>
      <c r="T203" s="725">
        <f>IF($Q$179="代替", T$98, IFERROR(VLOOKUP($Q$179&amp;$R203,$AI$152:$AJ$167,2,FALSE)*T$98,""))</f>
        <v>0</v>
      </c>
      <c r="U203" s="725">
        <f>IF($Q$179="代替", U$98, IFERROR(VLOOKUP($Q$179&amp;$R203,$AI$152:$AJ$167,2,FALSE)*U$98,""))</f>
        <v>0</v>
      </c>
      <c r="V203" s="725">
        <f>IF($Q$179="代替", V$98, IFERROR(VLOOKUP($Q$179&amp;$R203,$AI$152:$AJ$167,2,FALSE)*V$98,""))</f>
        <v>0</v>
      </c>
      <c r="W203" s="725">
        <f>IF($Q$179="代替", W$98, IFERROR(VLOOKUP($Q$179&amp;$R203,$AI$152:$AJ$167,2,FALSE)*W$98,""))</f>
        <v>0</v>
      </c>
      <c r="X203" s="725">
        <f t="shared" si="88"/>
        <v>0</v>
      </c>
      <c r="Y203" s="231"/>
      <c r="Z203" s="231"/>
      <c r="AA203" s="231"/>
      <c r="AB203" s="231"/>
      <c r="AC203" s="231"/>
      <c r="AD203" s="231"/>
      <c r="AE203" s="153"/>
      <c r="AF203" s="153"/>
      <c r="AG203" s="153"/>
      <c r="AH203" s="153"/>
      <c r="AI203" s="153"/>
      <c r="AJ203" s="535"/>
      <c r="AK203" s="153"/>
      <c r="AM203" s="59"/>
    </row>
    <row r="204" spans="2:39">
      <c r="B204" s="149"/>
      <c r="C204" s="149"/>
      <c r="D204" s="149"/>
      <c r="E204" s="511" t="s">
        <v>6973</v>
      </c>
      <c r="F204" s="731">
        <f t="shared" ref="F204:J204" si="101">IFERROR(F189/$J$194, "")</f>
        <v>0</v>
      </c>
      <c r="G204" s="731">
        <f t="shared" si="101"/>
        <v>0</v>
      </c>
      <c r="H204" s="731">
        <f t="shared" si="101"/>
        <v>0</v>
      </c>
      <c r="I204" s="731">
        <f t="shared" si="101"/>
        <v>0</v>
      </c>
      <c r="J204" s="731">
        <f t="shared" si="101"/>
        <v>0</v>
      </c>
      <c r="K204" s="732">
        <f t="shared" si="95"/>
        <v>0</v>
      </c>
      <c r="L204" s="504">
        <f t="shared" si="93"/>
        <v>0</v>
      </c>
      <c r="M204" s="149"/>
      <c r="N204" s="149"/>
      <c r="O204" s="149"/>
      <c r="P204" s="222"/>
      <c r="Q204" s="61"/>
      <c r="R204" s="68" t="str">
        <f>$Q$139</f>
        <v/>
      </c>
      <c r="S204" s="725">
        <f t="shared" ref="S204:W206" si="102">IF($Q$179="代替", "-", IFERROR(VLOOKUP($Q$179&amp;$R204,$AI$152:$AJ$167,2,FALSE)*S$98,""))</f>
        <v>0</v>
      </c>
      <c r="T204" s="725">
        <f t="shared" si="102"/>
        <v>0</v>
      </c>
      <c r="U204" s="725">
        <f t="shared" si="102"/>
        <v>0</v>
      </c>
      <c r="V204" s="725">
        <f t="shared" si="102"/>
        <v>0</v>
      </c>
      <c r="W204" s="725">
        <f t="shared" si="102"/>
        <v>0</v>
      </c>
      <c r="X204" s="725">
        <f t="shared" si="88"/>
        <v>0</v>
      </c>
      <c r="Y204" s="231"/>
      <c r="Z204" s="231"/>
      <c r="AA204" s="231"/>
      <c r="AB204" s="231"/>
      <c r="AC204" s="231"/>
      <c r="AD204" s="231"/>
      <c r="AE204" s="153"/>
      <c r="AF204" s="153"/>
      <c r="AG204" s="153"/>
      <c r="AH204" s="153"/>
      <c r="AI204" s="153"/>
      <c r="AJ204" s="535"/>
      <c r="AK204" s="153"/>
      <c r="AM204" s="59"/>
    </row>
    <row r="205" spans="2:39">
      <c r="B205" s="149"/>
      <c r="C205" s="149"/>
      <c r="D205" s="149"/>
      <c r="E205" s="511" t="s">
        <v>7696</v>
      </c>
      <c r="F205" s="731">
        <f t="shared" ref="F205:J205" si="103">IFERROR(F190/$J$194, "")</f>
        <v>5.4957132461817791E-3</v>
      </c>
      <c r="G205" s="731">
        <f t="shared" si="103"/>
        <v>1.2481643445199546E-2</v>
      </c>
      <c r="H205" s="731">
        <f t="shared" si="103"/>
        <v>7.853969272150492E-3</v>
      </c>
      <c r="I205" s="731">
        <f t="shared" si="103"/>
        <v>0</v>
      </c>
      <c r="J205" s="731">
        <f t="shared" si="103"/>
        <v>0</v>
      </c>
      <c r="K205" s="732">
        <f t="shared" si="95"/>
        <v>2.5831325963531819E-2</v>
      </c>
      <c r="L205" s="504">
        <f t="shared" si="93"/>
        <v>1</v>
      </c>
      <c r="M205" s="149"/>
      <c r="N205" s="149"/>
      <c r="O205" s="149"/>
      <c r="P205" s="220"/>
      <c r="Q205" s="191"/>
      <c r="R205" s="68" t="str">
        <f>$Q$143</f>
        <v/>
      </c>
      <c r="S205" s="725">
        <f t="shared" si="102"/>
        <v>0</v>
      </c>
      <c r="T205" s="725">
        <f t="shared" si="102"/>
        <v>0</v>
      </c>
      <c r="U205" s="725">
        <f t="shared" si="102"/>
        <v>0</v>
      </c>
      <c r="V205" s="725">
        <f t="shared" si="102"/>
        <v>0</v>
      </c>
      <c r="W205" s="725">
        <f t="shared" si="102"/>
        <v>0</v>
      </c>
      <c r="X205" s="725">
        <f t="shared" si="88"/>
        <v>0</v>
      </c>
      <c r="Y205" s="153"/>
      <c r="Z205" s="153"/>
      <c r="AA205" s="153"/>
      <c r="AB205" s="153"/>
      <c r="AC205" s="153"/>
      <c r="AD205" s="153"/>
      <c r="AE205" s="153"/>
      <c r="AF205" s="153"/>
      <c r="AG205" s="153"/>
      <c r="AH205" s="153"/>
      <c r="AI205" s="153"/>
      <c r="AJ205" s="535"/>
      <c r="AK205" s="153"/>
      <c r="AM205" s="59"/>
    </row>
    <row r="206" spans="2:39">
      <c r="B206" s="149"/>
      <c r="C206" s="149"/>
      <c r="D206" s="149"/>
      <c r="E206" s="511" t="s">
        <v>7664</v>
      </c>
      <c r="F206" s="505">
        <f t="shared" ref="F206:K206" si="104">IF($K$205=0,0,F205/$K$205)</f>
        <v>0.21275381890734235</v>
      </c>
      <c r="G206" s="505">
        <f t="shared" si="104"/>
        <v>0.48319793814769307</v>
      </c>
      <c r="H206" s="505">
        <f t="shared" si="104"/>
        <v>0.30404824294496452</v>
      </c>
      <c r="I206" s="505">
        <f t="shared" si="104"/>
        <v>0</v>
      </c>
      <c r="J206" s="505">
        <f t="shared" si="104"/>
        <v>0</v>
      </c>
      <c r="K206" s="505">
        <f t="shared" si="104"/>
        <v>1</v>
      </c>
      <c r="L206" s="506"/>
      <c r="M206" s="149"/>
      <c r="N206" s="149"/>
      <c r="O206" s="149"/>
      <c r="P206" s="149"/>
      <c r="Q206" s="192"/>
      <c r="R206" s="68" t="str">
        <f>$Q$147</f>
        <v/>
      </c>
      <c r="S206" s="725">
        <f t="shared" si="102"/>
        <v>0</v>
      </c>
      <c r="T206" s="725">
        <f t="shared" si="102"/>
        <v>0</v>
      </c>
      <c r="U206" s="725">
        <f t="shared" si="102"/>
        <v>0</v>
      </c>
      <c r="V206" s="725">
        <f t="shared" si="102"/>
        <v>0</v>
      </c>
      <c r="W206" s="725">
        <f t="shared" si="102"/>
        <v>0</v>
      </c>
      <c r="X206" s="725">
        <f t="shared" si="88"/>
        <v>0</v>
      </c>
      <c r="Y206" s="153"/>
      <c r="Z206" s="153"/>
      <c r="AA206" s="153"/>
      <c r="AB206" s="153"/>
      <c r="AC206" s="153"/>
      <c r="AD206" s="153"/>
      <c r="AE206" s="153"/>
      <c r="AF206" s="153"/>
      <c r="AG206" s="153"/>
      <c r="AH206" s="153"/>
      <c r="AI206" s="153"/>
      <c r="AJ206" s="535"/>
      <c r="AK206" s="153"/>
      <c r="AM206" s="59"/>
    </row>
    <row r="207" spans="2:39">
      <c r="B207" s="149"/>
      <c r="C207" s="149"/>
      <c r="D207" s="149"/>
      <c r="E207" s="494"/>
      <c r="F207" s="495"/>
      <c r="G207" s="495"/>
      <c r="H207" s="495"/>
      <c r="I207" s="495"/>
      <c r="J207" s="495"/>
      <c r="K207" s="494"/>
      <c r="L207" s="494"/>
      <c r="M207" s="149"/>
      <c r="N207" s="149"/>
      <c r="O207" s="149"/>
      <c r="P207" s="149"/>
      <c r="Q207" s="222" t="s">
        <v>6987</v>
      </c>
      <c r="R207" s="222"/>
      <c r="S207" s="675"/>
      <c r="T207" s="675"/>
      <c r="U207" s="675"/>
      <c r="V207" s="677"/>
      <c r="W207" s="677"/>
      <c r="X207" s="676"/>
      <c r="Y207" s="153"/>
      <c r="Z207" s="153"/>
      <c r="AA207" s="153"/>
      <c r="AB207" s="153"/>
      <c r="AC207" s="153"/>
      <c r="AD207" s="153"/>
      <c r="AE207" s="153"/>
      <c r="AF207" s="153"/>
      <c r="AG207" s="153"/>
      <c r="AH207" s="153"/>
      <c r="AI207" s="153"/>
      <c r="AJ207" s="535"/>
      <c r="AK207" s="153"/>
      <c r="AM207" s="59"/>
    </row>
    <row r="208" spans="2:39">
      <c r="B208" s="149"/>
      <c r="C208" s="149"/>
      <c r="D208" s="149"/>
      <c r="E208" s="149"/>
      <c r="F208" s="220"/>
      <c r="G208" s="220"/>
      <c r="H208" s="220"/>
      <c r="I208" s="220"/>
      <c r="J208" s="220"/>
      <c r="K208" s="149"/>
      <c r="L208" s="149"/>
      <c r="M208" s="149"/>
      <c r="N208" s="149"/>
      <c r="O208" s="149"/>
      <c r="P208" s="149"/>
      <c r="Q208" s="218"/>
      <c r="R208" s="76" t="s">
        <v>145</v>
      </c>
      <c r="S208" s="725">
        <f>IF($Q$179="代替", S$107, IFERROR(VLOOKUP($Q$179&amp;$R208,$AI$152:$AJ$167,2,FALSE)*S$107,""))</f>
        <v>0</v>
      </c>
      <c r="T208" s="725">
        <f>IF($Q$179="代替", T$107, IFERROR(VLOOKUP($Q$179&amp;$R208,$AI$152:$AJ$167,2,FALSE)*T$107,""))</f>
        <v>0</v>
      </c>
      <c r="U208" s="725">
        <f>IF($Q$179="代替", U$107, IFERROR(VLOOKUP($Q$179&amp;$R208,$AI$152:$AJ$167,2,FALSE)*U$107,""))</f>
        <v>0</v>
      </c>
      <c r="V208" s="725">
        <f>IF($Q$179="代替", V$107, IFERROR(VLOOKUP($Q$179&amp;$R208,$AI$152:$AJ$167,2,FALSE)*V$107,""))</f>
        <v>0</v>
      </c>
      <c r="W208" s="725">
        <f>IF($Q$179="代替", W$107, IFERROR(VLOOKUP($Q$179&amp;$R208,$AI$152:$AJ$167,2,FALSE)*W$107,""))</f>
        <v>0</v>
      </c>
      <c r="X208" s="725">
        <f t="shared" si="88"/>
        <v>0</v>
      </c>
      <c r="Y208" s="153"/>
      <c r="Z208" s="153"/>
      <c r="AA208" s="153"/>
      <c r="AB208" s="153"/>
      <c r="AC208" s="153"/>
      <c r="AD208" s="153"/>
      <c r="AE208" s="153"/>
      <c r="AF208" s="153"/>
      <c r="AG208" s="153"/>
      <c r="AH208" s="153"/>
      <c r="AI208" s="153"/>
      <c r="AJ208" s="535"/>
      <c r="AK208" s="153"/>
      <c r="AM208" s="59"/>
    </row>
    <row r="209" spans="2:35">
      <c r="B209" s="149"/>
      <c r="C209" s="149"/>
      <c r="D209" s="149"/>
      <c r="E209" s="149"/>
      <c r="F209" s="220"/>
      <c r="G209" s="220"/>
      <c r="H209" s="220"/>
      <c r="I209" s="220"/>
      <c r="J209" s="220"/>
      <c r="K209" s="149"/>
      <c r="L209" s="149"/>
      <c r="M209" s="149"/>
      <c r="N209" s="149"/>
      <c r="O209" s="149"/>
      <c r="P209" s="149"/>
      <c r="Q209" s="61"/>
      <c r="R209" s="68" t="str">
        <f>$Q$139</f>
        <v/>
      </c>
      <c r="S209" s="725">
        <f t="shared" ref="S209:W211" si="105">IF($Q$179="代替", "-", IFERROR(VLOOKUP($Q$179&amp;$R209,$AI$152:$AJ$167,2,FALSE)*S$107,""))</f>
        <v>0</v>
      </c>
      <c r="T209" s="725">
        <f t="shared" si="105"/>
        <v>0</v>
      </c>
      <c r="U209" s="725">
        <f t="shared" si="105"/>
        <v>0</v>
      </c>
      <c r="V209" s="725">
        <f t="shared" si="105"/>
        <v>0</v>
      </c>
      <c r="W209" s="725">
        <f t="shared" si="105"/>
        <v>0</v>
      </c>
      <c r="X209" s="725">
        <f t="shared" si="88"/>
        <v>0</v>
      </c>
      <c r="Y209" s="153"/>
      <c r="Z209" s="153"/>
      <c r="AA209" s="153"/>
      <c r="AB209" s="153"/>
      <c r="AC209" s="153"/>
      <c r="AD209" s="153"/>
      <c r="AE209" s="231"/>
      <c r="AF209" s="231"/>
      <c r="AG209" s="153"/>
      <c r="AH209" s="153"/>
    </row>
    <row r="210" spans="2:35">
      <c r="B210" s="149"/>
      <c r="C210" s="149"/>
      <c r="D210" s="149"/>
      <c r="E210" s="149"/>
      <c r="F210" s="220"/>
      <c r="G210" s="220"/>
      <c r="H210" s="220"/>
      <c r="I210" s="220"/>
      <c r="J210" s="220"/>
      <c r="K210" s="149"/>
      <c r="L210" s="149"/>
      <c r="M210" s="149"/>
      <c r="N210" s="149"/>
      <c r="O210" s="149"/>
      <c r="P210" s="149"/>
      <c r="Q210" s="191"/>
      <c r="R210" s="68" t="str">
        <f>$Q$143</f>
        <v/>
      </c>
      <c r="S210" s="725">
        <f t="shared" si="105"/>
        <v>0</v>
      </c>
      <c r="T210" s="725">
        <f t="shared" si="105"/>
        <v>0</v>
      </c>
      <c r="U210" s="725">
        <f t="shared" si="105"/>
        <v>0</v>
      </c>
      <c r="V210" s="725">
        <f t="shared" si="105"/>
        <v>0</v>
      </c>
      <c r="W210" s="725">
        <f t="shared" si="105"/>
        <v>0</v>
      </c>
      <c r="X210" s="725">
        <f t="shared" si="88"/>
        <v>0</v>
      </c>
      <c r="Y210" s="153"/>
      <c r="Z210" s="153"/>
      <c r="AA210" s="153"/>
      <c r="AB210" s="153"/>
      <c r="AC210" s="153"/>
      <c r="AD210" s="153"/>
      <c r="AE210" s="231"/>
      <c r="AF210" s="231"/>
      <c r="AG210" s="153"/>
      <c r="AH210" s="153"/>
    </row>
    <row r="211" spans="2:35">
      <c r="B211" s="149"/>
      <c r="C211" s="149"/>
      <c r="D211" s="149"/>
      <c r="E211" s="149"/>
      <c r="F211" s="220"/>
      <c r="G211" s="220"/>
      <c r="H211" s="220"/>
      <c r="I211" s="220"/>
      <c r="J211" s="220"/>
      <c r="K211" s="149"/>
      <c r="L211" s="149"/>
      <c r="M211" s="149"/>
      <c r="N211" s="149"/>
      <c r="O211" s="149"/>
      <c r="P211" s="149"/>
      <c r="Q211" s="192"/>
      <c r="R211" s="68" t="str">
        <f>$Q$147</f>
        <v/>
      </c>
      <c r="S211" s="725">
        <f t="shared" si="105"/>
        <v>0</v>
      </c>
      <c r="T211" s="725">
        <f t="shared" si="105"/>
        <v>0</v>
      </c>
      <c r="U211" s="725">
        <f t="shared" si="105"/>
        <v>0</v>
      </c>
      <c r="V211" s="725">
        <f t="shared" si="105"/>
        <v>0</v>
      </c>
      <c r="W211" s="725">
        <f t="shared" si="105"/>
        <v>0</v>
      </c>
      <c r="X211" s="725">
        <f t="shared" si="88"/>
        <v>0</v>
      </c>
      <c r="Y211" s="153"/>
      <c r="Z211" s="153"/>
      <c r="AA211" s="153"/>
      <c r="AB211" s="153"/>
      <c r="AC211" s="153"/>
      <c r="AD211" s="153"/>
      <c r="AE211" s="231"/>
      <c r="AF211" s="231"/>
      <c r="AG211" s="153"/>
      <c r="AH211" s="153"/>
    </row>
    <row r="212" spans="2:35">
      <c r="B212" s="149"/>
      <c r="C212" s="149"/>
      <c r="D212" s="149"/>
      <c r="E212" s="149"/>
      <c r="F212" s="220"/>
      <c r="G212" s="220"/>
      <c r="H212" s="220"/>
      <c r="I212" s="220"/>
      <c r="J212" s="220"/>
      <c r="K212" s="149"/>
      <c r="L212" s="149"/>
      <c r="M212" s="149"/>
      <c r="N212" s="149"/>
      <c r="O212" s="149"/>
      <c r="P212" s="149"/>
      <c r="Q212" s="258" t="s">
        <v>6974</v>
      </c>
      <c r="R212" s="222"/>
      <c r="S212" s="675"/>
      <c r="T212" s="675"/>
      <c r="U212" s="675"/>
      <c r="V212" s="677"/>
      <c r="W212" s="677"/>
      <c r="X212" s="676"/>
      <c r="Y212" s="153"/>
      <c r="Z212" s="153"/>
      <c r="AA212" s="153"/>
      <c r="AB212" s="153"/>
      <c r="AC212" s="153"/>
      <c r="AD212" s="153"/>
      <c r="AE212" s="231"/>
      <c r="AF212" s="231"/>
      <c r="AG212" s="153"/>
      <c r="AH212" s="153"/>
    </row>
    <row r="213" spans="2:35">
      <c r="B213" s="149"/>
      <c r="C213" s="149"/>
      <c r="D213" s="149"/>
      <c r="E213" s="149"/>
      <c r="F213" s="220"/>
      <c r="G213" s="220"/>
      <c r="H213" s="220"/>
      <c r="I213" s="220"/>
      <c r="J213" s="220"/>
      <c r="K213" s="149"/>
      <c r="L213" s="149"/>
      <c r="M213" s="149"/>
      <c r="N213" s="149"/>
      <c r="O213" s="149"/>
      <c r="P213" s="149"/>
      <c r="Q213" s="218"/>
      <c r="R213" s="76" t="s">
        <v>145</v>
      </c>
      <c r="S213" s="725">
        <f>IF($Q$179="代替", (S$123+S$130), IFERROR(VLOOKUP($Q$179&amp;$R213,$AI$152:$AJ$167,2,FALSE)*(S$123+S$130),""))</f>
        <v>0.51407132461817795</v>
      </c>
      <c r="T213" s="725">
        <f>IF($Q$179="代替", (T$123+T$130), IFERROR(VLOOKUP($Q$179&amp;$R213,$AI$152:$AJ$167,2,FALSE)*(T$123+T$130),""))</f>
        <v>1.1416643445199546</v>
      </c>
      <c r="U213" s="725">
        <f>IF($Q$179="代替", (U$123+U$130), IFERROR(VLOOKUP($Q$179&amp;$R213,$AI$152:$AJ$167,2,FALSE)*(U$123+U$130),""))</f>
        <v>0.77829692721504928</v>
      </c>
      <c r="V213" s="725">
        <f>IF($Q$179="代替", (V$123+V$130), IFERROR(VLOOKUP($Q$179&amp;$R213,$AI$152:$AJ$167,2,FALSE)*(V$123+V$130),""))</f>
        <v>0</v>
      </c>
      <c r="W213" s="725">
        <f>IF($Q$179="代替", (W$123+W$130), IFERROR(VLOOKUP($Q$179&amp;$R213,$AI$152:$AJ$167,2,FALSE)*(W$123+W$130),""))</f>
        <v>0</v>
      </c>
      <c r="X213" s="725">
        <f t="shared" ref="X213:X216" si="106">SUM(S213:W213)</f>
        <v>2.4340325963531817</v>
      </c>
      <c r="Y213" s="231"/>
      <c r="Z213" s="231"/>
      <c r="AA213" s="231"/>
      <c r="AB213" s="231"/>
      <c r="AC213" s="231"/>
      <c r="AD213" s="231"/>
      <c r="AE213" s="231"/>
      <c r="AF213" s="231"/>
      <c r="AG213" s="153"/>
      <c r="AH213" s="153"/>
      <c r="AI213" s="153"/>
    </row>
    <row r="214" spans="2:35">
      <c r="B214" s="149"/>
      <c r="C214" s="149"/>
      <c r="D214" s="149"/>
      <c r="E214" s="149"/>
      <c r="F214" s="220"/>
      <c r="G214" s="220"/>
      <c r="H214" s="220"/>
      <c r="I214" s="220"/>
      <c r="J214" s="220"/>
      <c r="K214" s="149"/>
      <c r="L214" s="149"/>
      <c r="M214" s="149"/>
      <c r="N214" s="149"/>
      <c r="O214" s="149"/>
      <c r="P214" s="149"/>
      <c r="Q214" s="61"/>
      <c r="R214" s="68" t="str">
        <f>$Q$139</f>
        <v/>
      </c>
      <c r="S214" s="725">
        <f t="shared" ref="S214:W216" si="107">IF($Q$179="代替", "-", IFERROR(VLOOKUP($Q$179&amp;$R214,$AI$152:$AJ$167,2,FALSE)* (S$123+S$130),""))</f>
        <v>0</v>
      </c>
      <c r="T214" s="725">
        <f t="shared" si="107"/>
        <v>0</v>
      </c>
      <c r="U214" s="725">
        <f t="shared" si="107"/>
        <v>0</v>
      </c>
      <c r="V214" s="725">
        <f t="shared" si="107"/>
        <v>0</v>
      </c>
      <c r="W214" s="725">
        <f t="shared" si="107"/>
        <v>0</v>
      </c>
      <c r="X214" s="725">
        <f t="shared" si="106"/>
        <v>0</v>
      </c>
      <c r="Y214" s="231"/>
      <c r="Z214" s="231"/>
      <c r="AA214" s="231"/>
      <c r="AB214" s="231"/>
      <c r="AC214" s="231"/>
      <c r="AD214" s="231"/>
      <c r="AE214" s="231"/>
      <c r="AF214" s="231"/>
    </row>
    <row r="215" spans="2:35">
      <c r="B215" s="149"/>
      <c r="C215" s="149"/>
      <c r="D215" s="149"/>
      <c r="E215" s="149"/>
      <c r="F215" s="220"/>
      <c r="G215" s="220"/>
      <c r="H215" s="220"/>
      <c r="I215" s="220"/>
      <c r="J215" s="220"/>
      <c r="K215" s="149"/>
      <c r="L215" s="149"/>
      <c r="M215" s="149"/>
      <c r="N215" s="149"/>
      <c r="O215" s="149"/>
      <c r="P215" s="149"/>
      <c r="Q215" s="191"/>
      <c r="R215" s="68" t="str">
        <f>$Q$143</f>
        <v/>
      </c>
      <c r="S215" s="725">
        <f t="shared" si="107"/>
        <v>0</v>
      </c>
      <c r="T215" s="725">
        <f t="shared" si="107"/>
        <v>0</v>
      </c>
      <c r="U215" s="725">
        <f t="shared" si="107"/>
        <v>0</v>
      </c>
      <c r="V215" s="725">
        <f t="shared" si="107"/>
        <v>0</v>
      </c>
      <c r="W215" s="725">
        <f t="shared" si="107"/>
        <v>0</v>
      </c>
      <c r="X215" s="725">
        <f t="shared" si="106"/>
        <v>0</v>
      </c>
      <c r="Y215" s="231"/>
      <c r="Z215" s="231"/>
      <c r="AA215" s="231"/>
      <c r="AB215" s="231"/>
      <c r="AC215" s="231"/>
      <c r="AD215" s="231"/>
      <c r="AE215" s="231"/>
      <c r="AF215" s="231"/>
    </row>
    <row r="216" spans="2:35">
      <c r="B216" s="149"/>
      <c r="C216" s="149"/>
      <c r="D216" s="149"/>
      <c r="E216" s="149"/>
      <c r="F216" s="220"/>
      <c r="G216" s="220"/>
      <c r="H216" s="220"/>
      <c r="I216" s="220"/>
      <c r="J216" s="220"/>
      <c r="K216" s="149"/>
      <c r="L216" s="149"/>
      <c r="M216" s="149"/>
      <c r="N216" s="149"/>
      <c r="O216" s="149"/>
      <c r="P216" s="149"/>
      <c r="Q216" s="192"/>
      <c r="R216" s="68" t="str">
        <f>$Q$147</f>
        <v/>
      </c>
      <c r="S216" s="725">
        <f t="shared" si="107"/>
        <v>0</v>
      </c>
      <c r="T216" s="725">
        <f t="shared" si="107"/>
        <v>0</v>
      </c>
      <c r="U216" s="725">
        <f t="shared" si="107"/>
        <v>0</v>
      </c>
      <c r="V216" s="725">
        <f t="shared" si="107"/>
        <v>0</v>
      </c>
      <c r="W216" s="725">
        <f t="shared" si="107"/>
        <v>0</v>
      </c>
      <c r="X216" s="725">
        <f t="shared" si="106"/>
        <v>0</v>
      </c>
      <c r="Y216" s="231"/>
      <c r="Z216" s="231"/>
      <c r="AA216" s="231"/>
      <c r="AB216" s="231"/>
      <c r="AC216" s="231"/>
      <c r="AD216" s="231"/>
      <c r="AE216" s="231"/>
      <c r="AF216" s="231"/>
    </row>
    <row r="217" spans="2:35">
      <c r="B217" s="149"/>
      <c r="C217" s="149"/>
      <c r="D217" s="149"/>
      <c r="E217" s="149"/>
      <c r="F217" s="220"/>
      <c r="G217" s="220"/>
      <c r="H217" s="220"/>
      <c r="I217" s="220"/>
      <c r="J217" s="220"/>
      <c r="K217" s="149"/>
      <c r="L217" s="149"/>
      <c r="M217" s="149"/>
      <c r="N217" s="149"/>
      <c r="O217" s="149"/>
      <c r="P217" s="149"/>
      <c r="Q217" s="277" t="s">
        <v>7047</v>
      </c>
      <c r="R217" s="222"/>
      <c r="S217" s="675"/>
      <c r="T217" s="675"/>
      <c r="U217" s="675"/>
      <c r="V217" s="677"/>
      <c r="W217" s="677"/>
      <c r="X217" s="676"/>
      <c r="Y217" s="231"/>
      <c r="Z217" s="231"/>
      <c r="AA217" s="231"/>
      <c r="AB217" s="231"/>
      <c r="AC217" s="231"/>
      <c r="AD217" s="231"/>
      <c r="AE217" s="231"/>
      <c r="AF217" s="231"/>
    </row>
    <row r="218" spans="2:35">
      <c r="B218" s="149"/>
      <c r="C218" s="149"/>
      <c r="D218" s="149"/>
      <c r="E218" s="149"/>
      <c r="F218" s="220"/>
      <c r="G218" s="220"/>
      <c r="H218" s="220"/>
      <c r="I218" s="220"/>
      <c r="J218" s="220"/>
      <c r="K218" s="149"/>
      <c r="L218" s="149"/>
      <c r="M218" s="149"/>
      <c r="N218" s="149"/>
      <c r="O218" s="149"/>
      <c r="P218" s="149"/>
      <c r="Q218" s="218"/>
      <c r="R218" s="76" t="s">
        <v>145</v>
      </c>
      <c r="S218" s="725">
        <f>IF($Q$179="代替", S$88, IFERROR(VLOOKUP($Q$179&amp;$R218,$AI$152:$AJ$167,2,FALSE)*S$88,""))</f>
        <v>0</v>
      </c>
      <c r="T218" s="725">
        <f>IF($Q$179="代替", T$88, IFERROR(VLOOKUP($Q$179&amp;$R218,$AI$152:$AJ$167,2,FALSE)*T$88,""))</f>
        <v>0</v>
      </c>
      <c r="U218" s="725">
        <f>IF($Q$179="代替", U$88, IFERROR(VLOOKUP($Q$179&amp;$R218,$AI$152:$AJ$167,2,FALSE)*U$88,""))</f>
        <v>0</v>
      </c>
      <c r="V218" s="725">
        <f>IF($Q$179="代替", V$88, IFERROR(VLOOKUP($Q$179&amp;$R218,$AI$152:$AJ$167,2,FALSE)*V$88,""))</f>
        <v>0</v>
      </c>
      <c r="W218" s="725">
        <f>IF($Q$179="代替", W$88, IFERROR(VLOOKUP($Q$179&amp;$R218,$AI$152:$AJ$167,2,FALSE)*W$88,""))</f>
        <v>0</v>
      </c>
      <c r="X218" s="725">
        <f t="shared" ref="X218:X221" si="108">SUM(S218:W218)</f>
        <v>0</v>
      </c>
      <c r="Y218" s="231"/>
      <c r="Z218" s="231"/>
      <c r="AA218" s="231"/>
      <c r="AB218" s="231"/>
      <c r="AC218" s="231"/>
      <c r="AD218" s="231"/>
      <c r="AE218" s="231"/>
      <c r="AF218" s="231"/>
    </row>
    <row r="219" spans="2:35">
      <c r="B219" s="149"/>
      <c r="C219" s="149"/>
      <c r="D219" s="149"/>
      <c r="E219" s="149"/>
      <c r="F219" s="149"/>
      <c r="G219" s="220"/>
      <c r="H219" s="220"/>
      <c r="I219" s="220"/>
      <c r="J219" s="220"/>
      <c r="K219" s="149"/>
      <c r="L219" s="149"/>
      <c r="M219" s="149"/>
      <c r="N219" s="149"/>
      <c r="O219" s="149"/>
      <c r="P219" s="149"/>
      <c r="Q219" s="61"/>
      <c r="R219" s="68" t="str">
        <f>$Q$139</f>
        <v/>
      </c>
      <c r="S219" s="725">
        <f t="shared" ref="S219:W221" si="109">IF($Q$179="代替", "-", IFERROR(VLOOKUP($Q$179&amp;$R219,$AI$152:$AJ$167,2,FALSE)*S$88,""))</f>
        <v>0</v>
      </c>
      <c r="T219" s="725">
        <f t="shared" si="109"/>
        <v>0</v>
      </c>
      <c r="U219" s="725">
        <f t="shared" si="109"/>
        <v>0</v>
      </c>
      <c r="V219" s="725">
        <f t="shared" si="109"/>
        <v>0</v>
      </c>
      <c r="W219" s="725">
        <f t="shared" si="109"/>
        <v>0</v>
      </c>
      <c r="X219" s="725">
        <f t="shared" si="108"/>
        <v>0</v>
      </c>
      <c r="Y219" s="231"/>
      <c r="Z219" s="231"/>
      <c r="AA219" s="231"/>
      <c r="AB219" s="231"/>
      <c r="AC219" s="231"/>
      <c r="AD219" s="231"/>
      <c r="AE219" s="231"/>
      <c r="AF219" s="231"/>
    </row>
    <row r="220" spans="2:35">
      <c r="B220" s="149"/>
      <c r="C220" s="149"/>
      <c r="D220" s="149"/>
      <c r="E220" s="149"/>
      <c r="F220" s="330"/>
      <c r="G220" s="220"/>
      <c r="H220" s="220"/>
      <c r="I220" s="220"/>
      <c r="J220" s="220"/>
      <c r="K220" s="149"/>
      <c r="L220" s="149"/>
      <c r="M220" s="149"/>
      <c r="N220" s="149"/>
      <c r="O220" s="149"/>
      <c r="P220" s="149"/>
      <c r="Q220" s="191"/>
      <c r="R220" s="68" t="str">
        <f>$Q$143</f>
        <v/>
      </c>
      <c r="S220" s="725">
        <f t="shared" si="109"/>
        <v>0</v>
      </c>
      <c r="T220" s="725">
        <f t="shared" si="109"/>
        <v>0</v>
      </c>
      <c r="U220" s="725">
        <f t="shared" si="109"/>
        <v>0</v>
      </c>
      <c r="V220" s="725">
        <f t="shared" si="109"/>
        <v>0</v>
      </c>
      <c r="W220" s="725">
        <f t="shared" si="109"/>
        <v>0</v>
      </c>
      <c r="X220" s="725">
        <f t="shared" si="108"/>
        <v>0</v>
      </c>
      <c r="Y220" s="231"/>
      <c r="Z220" s="231"/>
      <c r="AA220" s="231"/>
      <c r="AB220" s="231"/>
      <c r="AC220" s="231"/>
      <c r="AD220" s="231"/>
      <c r="AE220" s="231"/>
      <c r="AF220" s="231"/>
    </row>
    <row r="221" spans="2:35">
      <c r="B221" s="149"/>
      <c r="C221" s="149"/>
      <c r="D221" s="149"/>
      <c r="E221" s="149"/>
      <c r="F221" s="220"/>
      <c r="G221" s="220"/>
      <c r="H221" s="220"/>
      <c r="I221" s="220"/>
      <c r="J221" s="220"/>
      <c r="K221" s="149"/>
      <c r="L221" s="149"/>
      <c r="M221" s="149"/>
      <c r="N221" s="149"/>
      <c r="O221" s="149"/>
      <c r="P221" s="149"/>
      <c r="Q221" s="192"/>
      <c r="R221" s="68" t="str">
        <f>$Q$147</f>
        <v/>
      </c>
      <c r="S221" s="725">
        <f t="shared" si="109"/>
        <v>0</v>
      </c>
      <c r="T221" s="725">
        <f t="shared" si="109"/>
        <v>0</v>
      </c>
      <c r="U221" s="725">
        <f t="shared" si="109"/>
        <v>0</v>
      </c>
      <c r="V221" s="725">
        <f t="shared" si="109"/>
        <v>0</v>
      </c>
      <c r="W221" s="725">
        <f t="shared" si="109"/>
        <v>0</v>
      </c>
      <c r="X221" s="725">
        <f t="shared" si="108"/>
        <v>0</v>
      </c>
      <c r="Y221" s="231"/>
      <c r="Z221" s="231"/>
      <c r="AA221" s="231"/>
      <c r="AB221" s="231"/>
      <c r="AC221" s="231"/>
      <c r="AD221" s="231"/>
      <c r="AE221" s="231"/>
      <c r="AF221" s="231"/>
    </row>
  </sheetData>
  <sheetProtection sheet="1" objects="1" scenarios="1"/>
  <mergeCells count="248">
    <mergeCell ref="Q129:R129"/>
    <mergeCell ref="S55:X55"/>
    <mergeCell ref="Y55:AD55"/>
    <mergeCell ref="G194:H194"/>
    <mergeCell ref="H144:I144"/>
    <mergeCell ref="B144:D144"/>
    <mergeCell ref="Q70:R70"/>
    <mergeCell ref="Q95:R95"/>
    <mergeCell ref="Q96:R96"/>
    <mergeCell ref="Q97:R97"/>
    <mergeCell ref="Q104:R104"/>
    <mergeCell ref="Q105:R105"/>
    <mergeCell ref="Q106:R106"/>
    <mergeCell ref="Q102:R103"/>
    <mergeCell ref="Q90:AD90"/>
    <mergeCell ref="Q100:AD100"/>
    <mergeCell ref="B129:D129"/>
    <mergeCell ref="E192:L192"/>
    <mergeCell ref="J194:K194"/>
    <mergeCell ref="L104:M104"/>
    <mergeCell ref="L105:M105"/>
    <mergeCell ref="L106:M106"/>
    <mergeCell ref="B104:D104"/>
    <mergeCell ref="B105:D105"/>
    <mergeCell ref="B106:D106"/>
    <mergeCell ref="B57:D57"/>
    <mergeCell ref="Q57:R57"/>
    <mergeCell ref="B58:D58"/>
    <mergeCell ref="Q58:R58"/>
    <mergeCell ref="B59:D59"/>
    <mergeCell ref="Q59:R59"/>
    <mergeCell ref="AJ64:AK65"/>
    <mergeCell ref="Q64:R65"/>
    <mergeCell ref="S64:X64"/>
    <mergeCell ref="Q62:AD62"/>
    <mergeCell ref="Y64:AD64"/>
    <mergeCell ref="Y92:AD92"/>
    <mergeCell ref="AJ92:AK93"/>
    <mergeCell ref="Q80:R80"/>
    <mergeCell ref="Q81:R81"/>
    <mergeCell ref="Q75:R76"/>
    <mergeCell ref="Q82:R82"/>
    <mergeCell ref="B94:C94"/>
    <mergeCell ref="B96:C96"/>
    <mergeCell ref="AJ102:AK103"/>
    <mergeCell ref="L102:M103"/>
    <mergeCell ref="N102:O103"/>
    <mergeCell ref="AJ75:AK76"/>
    <mergeCell ref="B128:D128"/>
    <mergeCell ref="Q128:R128"/>
    <mergeCell ref="B109:O109"/>
    <mergeCell ref="Q109:AD109"/>
    <mergeCell ref="B111:E112"/>
    <mergeCell ref="F111:K111"/>
    <mergeCell ref="L111:M112"/>
    <mergeCell ref="N111:O112"/>
    <mergeCell ref="S125:X125"/>
    <mergeCell ref="Y125:AD125"/>
    <mergeCell ref="S111:X111"/>
    <mergeCell ref="Y111:AD111"/>
    <mergeCell ref="B125:E126"/>
    <mergeCell ref="F125:K125"/>
    <mergeCell ref="L125:L126"/>
    <mergeCell ref="M125:O126"/>
    <mergeCell ref="Q125:R126"/>
    <mergeCell ref="B118:D118"/>
    <mergeCell ref="Q118:R118"/>
    <mergeCell ref="B119:D119"/>
    <mergeCell ref="Q119:R119"/>
    <mergeCell ref="Q111:R112"/>
    <mergeCell ref="B127:D127"/>
    <mergeCell ref="Q127:R127"/>
    <mergeCell ref="AJ125:AK126"/>
    <mergeCell ref="B113:D113"/>
    <mergeCell ref="L113:M113"/>
    <mergeCell ref="Q113:R113"/>
    <mergeCell ref="B114:D114"/>
    <mergeCell ref="L114:M114"/>
    <mergeCell ref="Q114:R114"/>
    <mergeCell ref="B115:D115"/>
    <mergeCell ref="L115:M115"/>
    <mergeCell ref="Q115:R115"/>
    <mergeCell ref="L116:M116"/>
    <mergeCell ref="Q116:R116"/>
    <mergeCell ref="L117:M117"/>
    <mergeCell ref="Q117:R117"/>
    <mergeCell ref="B120:D120"/>
    <mergeCell ref="Q120:R120"/>
    <mergeCell ref="B116:D116"/>
    <mergeCell ref="B117:D117"/>
    <mergeCell ref="B121:D121"/>
    <mergeCell ref="Q121:R121"/>
    <mergeCell ref="B122:D122"/>
    <mergeCell ref="Q122:R122"/>
    <mergeCell ref="S181:X181"/>
    <mergeCell ref="Q152:X152"/>
    <mergeCell ref="Q132:X132"/>
    <mergeCell ref="Q137:R138"/>
    <mergeCell ref="S137:X137"/>
    <mergeCell ref="S154:X154"/>
    <mergeCell ref="Q156:R156"/>
    <mergeCell ref="Q181:R182"/>
    <mergeCell ref="E179:K179"/>
    <mergeCell ref="Q154:R155"/>
    <mergeCell ref="Q139:Q142"/>
    <mergeCell ref="Q143:Q146"/>
    <mergeCell ref="Q147:Q150"/>
    <mergeCell ref="M137:M138"/>
    <mergeCell ref="N137:N138"/>
    <mergeCell ref="O137:O138"/>
    <mergeCell ref="E177:F177"/>
    <mergeCell ref="F137:K137"/>
    <mergeCell ref="B132:O132"/>
    <mergeCell ref="B137:E137"/>
    <mergeCell ref="L137:L138"/>
    <mergeCell ref="AJ55:AK56"/>
    <mergeCell ref="Q32:R32"/>
    <mergeCell ref="B24:D24"/>
    <mergeCell ref="B25:D25"/>
    <mergeCell ref="B26:D26"/>
    <mergeCell ref="B27:D27"/>
    <mergeCell ref="B28:D28"/>
    <mergeCell ref="B29:D29"/>
    <mergeCell ref="B30:D30"/>
    <mergeCell ref="B40:D40"/>
    <mergeCell ref="B55:E56"/>
    <mergeCell ref="F55:K55"/>
    <mergeCell ref="B49:D49"/>
    <mergeCell ref="L55:L56"/>
    <mergeCell ref="AE55:AE56"/>
    <mergeCell ref="AJ21:AK22"/>
    <mergeCell ref="B35:O35"/>
    <mergeCell ref="B37:E38"/>
    <mergeCell ref="F37:K37"/>
    <mergeCell ref="L37:L38"/>
    <mergeCell ref="M37:O38"/>
    <mergeCell ref="Q37:R38"/>
    <mergeCell ref="S37:X37"/>
    <mergeCell ref="Y37:AD37"/>
    <mergeCell ref="Q21:R22"/>
    <mergeCell ref="Q35:AD35"/>
    <mergeCell ref="B23:D23"/>
    <mergeCell ref="B31:D31"/>
    <mergeCell ref="B32:D32"/>
    <mergeCell ref="Q23:R23"/>
    <mergeCell ref="Q31:R31"/>
    <mergeCell ref="AE21:AE22"/>
    <mergeCell ref="AE37:AE38"/>
    <mergeCell ref="B1:D1"/>
    <mergeCell ref="B19:O19"/>
    <mergeCell ref="B21:E22"/>
    <mergeCell ref="F21:K21"/>
    <mergeCell ref="L21:L22"/>
    <mergeCell ref="M21:O22"/>
    <mergeCell ref="F75:K75"/>
    <mergeCell ref="L75:L76"/>
    <mergeCell ref="M75:O76"/>
    <mergeCell ref="B15:C15"/>
    <mergeCell ref="B16:C16"/>
    <mergeCell ref="B17:C17"/>
    <mergeCell ref="B3:E3"/>
    <mergeCell ref="B5:C5"/>
    <mergeCell ref="B8:C8"/>
    <mergeCell ref="B9:C9"/>
    <mergeCell ref="B10:C10"/>
    <mergeCell ref="B11:C11"/>
    <mergeCell ref="B41:D41"/>
    <mergeCell ref="B42:D42"/>
    <mergeCell ref="B43:D43"/>
    <mergeCell ref="B44:D44"/>
    <mergeCell ref="B45:D45"/>
    <mergeCell ref="B13:K13"/>
    <mergeCell ref="G9:I9"/>
    <mergeCell ref="K9:L9"/>
    <mergeCell ref="G10:I10"/>
    <mergeCell ref="K10:L10"/>
    <mergeCell ref="Q67:R67"/>
    <mergeCell ref="Q68:R68"/>
    <mergeCell ref="Q69:R69"/>
    <mergeCell ref="M55:O56"/>
    <mergeCell ref="B50:C50"/>
    <mergeCell ref="B51:C51"/>
    <mergeCell ref="B52:C52"/>
    <mergeCell ref="B62:O62"/>
    <mergeCell ref="B64:E65"/>
    <mergeCell ref="F64:K64"/>
    <mergeCell ref="L64:L65"/>
    <mergeCell ref="M64:O65"/>
    <mergeCell ref="B66:D66"/>
    <mergeCell ref="B67:D67"/>
    <mergeCell ref="B68:D68"/>
    <mergeCell ref="B69:D69"/>
    <mergeCell ref="G11:I11"/>
    <mergeCell ref="K11:L11"/>
    <mergeCell ref="Q19:AD19"/>
    <mergeCell ref="G3:L3"/>
    <mergeCell ref="K4:L4"/>
    <mergeCell ref="G5:I5"/>
    <mergeCell ref="K5:L5"/>
    <mergeCell ref="G6:I6"/>
    <mergeCell ref="K6:L6"/>
    <mergeCell ref="G7:I7"/>
    <mergeCell ref="K7:L7"/>
    <mergeCell ref="G8:I8"/>
    <mergeCell ref="K8:L8"/>
    <mergeCell ref="AE64:AE65"/>
    <mergeCell ref="AE75:AE76"/>
    <mergeCell ref="AE92:AE93"/>
    <mergeCell ref="AE111:AE112"/>
    <mergeCell ref="Q30:R30"/>
    <mergeCell ref="S21:X21"/>
    <mergeCell ref="Q24:R24"/>
    <mergeCell ref="Q25:R25"/>
    <mergeCell ref="Q26:R26"/>
    <mergeCell ref="Q27:R27"/>
    <mergeCell ref="Q28:R28"/>
    <mergeCell ref="Q29:R29"/>
    <mergeCell ref="Y75:AD75"/>
    <mergeCell ref="S102:X102"/>
    <mergeCell ref="Y21:AD21"/>
    <mergeCell ref="Q88:R88"/>
    <mergeCell ref="Q55:R56"/>
    <mergeCell ref="Q77:R77"/>
    <mergeCell ref="Q79:R79"/>
    <mergeCell ref="Q83:R83"/>
    <mergeCell ref="S75:X75"/>
    <mergeCell ref="Q92:R93"/>
    <mergeCell ref="S92:X92"/>
    <mergeCell ref="B73:O73"/>
    <mergeCell ref="Y102:AD102"/>
    <mergeCell ref="B100:O100"/>
    <mergeCell ref="B102:E103"/>
    <mergeCell ref="F102:K102"/>
    <mergeCell ref="B39:D39"/>
    <mergeCell ref="Q73:AD73"/>
    <mergeCell ref="Q66:R66"/>
    <mergeCell ref="B46:D46"/>
    <mergeCell ref="B47:D47"/>
    <mergeCell ref="B48:D48"/>
    <mergeCell ref="B75:D76"/>
    <mergeCell ref="B70:D70"/>
    <mergeCell ref="B90:O90"/>
    <mergeCell ref="B92:E93"/>
    <mergeCell ref="F92:K92"/>
    <mergeCell ref="L92:L93"/>
    <mergeCell ref="M92:O93"/>
    <mergeCell ref="B77:C77"/>
    <mergeCell ref="B78:C78"/>
  </mergeCells>
  <phoneticPr fontId="33"/>
  <conditionalFormatting sqref="AG20:AH20">
    <cfRule type="expression" dxfId="367" priority="1262" stopIfTrue="1">
      <formula>#REF!="Ⅲ[再生可能エネルギー供給量]"</formula>
    </cfRule>
    <cfRule type="expression" dxfId="366" priority="1263" stopIfTrue="1">
      <formula>#REF!="Ⅱ[エネルギー使用量差]"</formula>
    </cfRule>
  </conditionalFormatting>
  <conditionalFormatting sqref="Q181">
    <cfRule type="expression" dxfId="365" priority="1210" stopIfTrue="1">
      <formula>#REF!="Ⅲ[再生可能エネルギー供給量]"</formula>
    </cfRule>
    <cfRule type="expression" dxfId="364" priority="1211" stopIfTrue="1">
      <formula>#REF!="Ⅱ[エネルギー使用量差]"</formula>
    </cfRule>
  </conditionalFormatting>
  <conditionalFormatting sqref="R99 E23:E32">
    <cfRule type="expression" dxfId="363" priority="871" stopIfTrue="1">
      <formula>#REF!="Ⅲ[再生可能エネルギー供給量]"</formula>
    </cfRule>
    <cfRule type="expression" dxfId="362" priority="872" stopIfTrue="1">
      <formula>#REF!="Ⅱ[エネルギー使用量差]"</formula>
    </cfRule>
  </conditionalFormatting>
  <conditionalFormatting sqref="Q99">
    <cfRule type="expression" dxfId="361" priority="873" stopIfTrue="1">
      <formula>#REF!="Ⅲ[再生可能エネルギー供給量]"</formula>
    </cfRule>
    <cfRule type="expression" dxfId="360" priority="874" stopIfTrue="1">
      <formula>#REF!="Ⅱ[エネルギー使用量差]"</formula>
    </cfRule>
  </conditionalFormatting>
  <conditionalFormatting sqref="AG40:AG48">
    <cfRule type="expression" dxfId="359" priority="861" stopIfTrue="1">
      <formula>#REF!="Ⅲ[再生可能エネルギー供給量]"</formula>
    </cfRule>
    <cfRule type="expression" dxfId="358" priority="862" stopIfTrue="1">
      <formula>#REF!="Ⅱ[エネルギー使用量差]"</formula>
    </cfRule>
  </conditionalFormatting>
  <conditionalFormatting sqref="AG49:AH49">
    <cfRule type="expression" dxfId="357" priority="853" stopIfTrue="1">
      <formula>#REF!="Ⅲ[再生可能エネルギー供給量]"</formula>
    </cfRule>
    <cfRule type="expression" dxfId="356" priority="854" stopIfTrue="1">
      <formula>#REF!="Ⅱ[エネルギー使用量差]"</formula>
    </cfRule>
  </conditionalFormatting>
  <conditionalFormatting sqref="AG31:AH31">
    <cfRule type="expression" dxfId="355" priority="843" stopIfTrue="1">
      <formula>#REF!="Ⅲ[再生可能エネルギー供給量]"</formula>
    </cfRule>
    <cfRule type="expression" dxfId="354" priority="844" stopIfTrue="1">
      <formula>#REF!="Ⅱ[エネルギー使用量差]"</formula>
    </cfRule>
  </conditionalFormatting>
  <conditionalFormatting sqref="Q88 B88:E88">
    <cfRule type="expression" dxfId="353" priority="822" stopIfTrue="1">
      <formula>#REF!="Ⅲ[再生可能エネルギー供給量]"</formula>
    </cfRule>
    <cfRule type="expression" dxfId="352" priority="824" stopIfTrue="1">
      <formula>#REF!="Ⅱ[エネルギー使用量差]"</formula>
    </cfRule>
  </conditionalFormatting>
  <conditionalFormatting sqref="AL79:AQ79 X77:X79">
    <cfRule type="expression" dxfId="351" priority="815">
      <formula>$B$78="改良トンキロ法"</formula>
    </cfRule>
  </conditionalFormatting>
  <conditionalFormatting sqref="AL79:AQ79 Q79 X79:X83">
    <cfRule type="expression" dxfId="350" priority="814">
      <formula>$B$78="燃料法"</formula>
    </cfRule>
  </conditionalFormatting>
  <conditionalFormatting sqref="AG63:AH70 AG74:AH87 AG21:AH30 AG91:AI108 AG132:AI139">
    <cfRule type="expression" dxfId="349" priority="887" stopIfTrue="1">
      <formula>#REF!="Ⅲ[再生可能エネルギー供給量]"</formula>
    </cfRule>
    <cfRule type="expression" dxfId="348" priority="888" stopIfTrue="1">
      <formula>#REF!="Ⅱ[エネルギー使用量差]"</formula>
    </cfRule>
  </conditionalFormatting>
  <conditionalFormatting sqref="S130:X130 X127:X129">
    <cfRule type="dataBar" priority="599">
      <dataBar>
        <cfvo type="percent" val="&quot;S13/S$109&quot;"/>
        <cfvo type="percent" val="&quot;S13/S$109&quot;"/>
        <color rgb="FF638EC6"/>
      </dataBar>
      <extLst>
        <ext xmlns:x14="http://schemas.microsoft.com/office/spreadsheetml/2009/9/main" uri="{B025F937-C7B1-47D3-B67F-A62EFF666E3E}">
          <x14:id>{9C4972A7-C5BD-464F-BFA4-CCC37397F924}</x14:id>
        </ext>
      </extLst>
    </cfRule>
  </conditionalFormatting>
  <conditionalFormatting sqref="B5 B8 B23:B30">
    <cfRule type="expression" dxfId="347" priority="538" stopIfTrue="1">
      <formula>#REF!="Ⅲ[再生可能エネルギー供給量]"</formula>
    </cfRule>
    <cfRule type="expression" dxfId="346" priority="539" stopIfTrue="1">
      <formula>#REF!="Ⅱ[エネルギー使用量差]"</formula>
    </cfRule>
  </conditionalFormatting>
  <conditionalFormatting sqref="S127:S129 S57:S59 S77 S23:S32">
    <cfRule type="dataBar" priority="519">
      <dataBar>
        <cfvo type="num" val="0"/>
        <cfvo type="num" val="$S$156"/>
        <color rgb="FF638EC6"/>
      </dataBar>
      <extLst>
        <ext xmlns:x14="http://schemas.microsoft.com/office/spreadsheetml/2009/9/main" uri="{B025F937-C7B1-47D3-B67F-A62EFF666E3E}">
          <x14:id>{EF865232-DA71-4E69-8B0E-0DD5C24DC0D1}</x14:id>
        </ext>
      </extLst>
    </cfRule>
  </conditionalFormatting>
  <conditionalFormatting sqref="T127:T129 T57:T59 T83 T23:T32">
    <cfRule type="dataBar" priority="518">
      <dataBar>
        <cfvo type="num" val="0"/>
        <cfvo type="num" val="$T$156"/>
        <color rgb="FF638EC6"/>
      </dataBar>
      <extLst>
        <ext xmlns:x14="http://schemas.microsoft.com/office/spreadsheetml/2009/9/main" uri="{B025F937-C7B1-47D3-B67F-A62EFF666E3E}">
          <x14:id>{7CA78DE6-2B58-41DD-861C-FCB076289C70}</x14:id>
        </ext>
      </extLst>
    </cfRule>
  </conditionalFormatting>
  <conditionalFormatting sqref="U127:U129 U57:U59 U83 U23:U32">
    <cfRule type="dataBar" priority="517">
      <dataBar>
        <cfvo type="num" val="0"/>
        <cfvo type="num" val="$U$156"/>
        <color rgb="FF638EC6"/>
      </dataBar>
      <extLst>
        <ext xmlns:x14="http://schemas.microsoft.com/office/spreadsheetml/2009/9/main" uri="{B025F937-C7B1-47D3-B67F-A62EFF666E3E}">
          <x14:id>{5066D1B4-9C4F-433F-9DFE-DCF32076EFE0}</x14:id>
        </ext>
      </extLst>
    </cfRule>
  </conditionalFormatting>
  <conditionalFormatting sqref="V127:V129 V57:V59 V83 V23:V32">
    <cfRule type="dataBar" priority="516">
      <dataBar>
        <cfvo type="num" val="0"/>
        <cfvo type="num" val="$V$156"/>
        <color rgb="FF638EC6"/>
      </dataBar>
      <extLst>
        <ext xmlns:x14="http://schemas.microsoft.com/office/spreadsheetml/2009/9/main" uri="{B025F937-C7B1-47D3-B67F-A62EFF666E3E}">
          <x14:id>{E25EF2F8-D0CB-41AE-B23E-3B387CCFB733}</x14:id>
        </ext>
      </extLst>
    </cfRule>
  </conditionalFormatting>
  <conditionalFormatting sqref="W127:W129 W57:W59 W79 W23:W32">
    <cfRule type="dataBar" priority="515">
      <dataBar>
        <cfvo type="num" val="0"/>
        <cfvo type="num" val="$W$156"/>
        <color rgb="FF638EC6"/>
      </dataBar>
      <extLst>
        <ext xmlns:x14="http://schemas.microsoft.com/office/spreadsheetml/2009/9/main" uri="{B025F937-C7B1-47D3-B67F-A62EFF666E3E}">
          <x14:id>{4D667F47-D5D3-44C9-BBB7-1573C2649BAF}</x14:id>
        </ext>
      </extLst>
    </cfRule>
  </conditionalFormatting>
  <conditionalFormatting sqref="B127:B129">
    <cfRule type="expression" dxfId="345" priority="437" stopIfTrue="1">
      <formula>#REF!="Ⅲ[再生可能エネルギー供給量]"</formula>
    </cfRule>
    <cfRule type="expression" dxfId="344" priority="438" stopIfTrue="1">
      <formula>#REF!="Ⅱ[エネルギー使用量差]"</formula>
    </cfRule>
  </conditionalFormatting>
  <conditionalFormatting sqref="S127:S129">
    <cfRule type="dataBar" priority="436">
      <dataBar>
        <cfvo type="num" val="0"/>
        <cfvo type="num" val="$S$156"/>
        <color rgb="FF638EC6"/>
      </dataBar>
      <extLst>
        <ext xmlns:x14="http://schemas.microsoft.com/office/spreadsheetml/2009/9/main" uri="{B025F937-C7B1-47D3-B67F-A62EFF666E3E}">
          <x14:id>{EF6FBE42-E994-4C23-AFD3-80206955589A}</x14:id>
        </ext>
      </extLst>
    </cfRule>
  </conditionalFormatting>
  <conditionalFormatting sqref="T127:T129">
    <cfRule type="dataBar" priority="435">
      <dataBar>
        <cfvo type="num" val="0"/>
        <cfvo type="num" val="$T$156"/>
        <color rgb="FF638EC6"/>
      </dataBar>
      <extLst>
        <ext xmlns:x14="http://schemas.microsoft.com/office/spreadsheetml/2009/9/main" uri="{B025F937-C7B1-47D3-B67F-A62EFF666E3E}">
          <x14:id>{78DFDC75-5616-4E31-830C-8B7B7B3B1D34}</x14:id>
        </ext>
      </extLst>
    </cfRule>
  </conditionalFormatting>
  <conditionalFormatting sqref="U127:U129">
    <cfRule type="dataBar" priority="434">
      <dataBar>
        <cfvo type="num" val="0"/>
        <cfvo type="num" val="$U$156"/>
        <color rgb="FF638EC6"/>
      </dataBar>
      <extLst>
        <ext xmlns:x14="http://schemas.microsoft.com/office/spreadsheetml/2009/9/main" uri="{B025F937-C7B1-47D3-B67F-A62EFF666E3E}">
          <x14:id>{423B2C9E-D8CC-4E3A-A338-6D3CD1B62C2B}</x14:id>
        </ext>
      </extLst>
    </cfRule>
  </conditionalFormatting>
  <conditionalFormatting sqref="V127:V129">
    <cfRule type="dataBar" priority="433">
      <dataBar>
        <cfvo type="num" val="0"/>
        <cfvo type="num" val="$V$156"/>
        <color rgb="FF638EC6"/>
      </dataBar>
      <extLst>
        <ext xmlns:x14="http://schemas.microsoft.com/office/spreadsheetml/2009/9/main" uri="{B025F937-C7B1-47D3-B67F-A62EFF666E3E}">
          <x14:id>{8BE6AD1C-44F8-4149-AF46-E584D6FA858D}</x14:id>
        </ext>
      </extLst>
    </cfRule>
  </conditionalFormatting>
  <conditionalFormatting sqref="W127:W129">
    <cfRule type="dataBar" priority="432">
      <dataBar>
        <cfvo type="num" val="0"/>
        <cfvo type="num" val="$W$156"/>
        <color rgb="FF638EC6"/>
      </dataBar>
      <extLst>
        <ext xmlns:x14="http://schemas.microsoft.com/office/spreadsheetml/2009/9/main" uri="{B025F937-C7B1-47D3-B67F-A62EFF666E3E}">
          <x14:id>{FDC86978-8A95-4F91-8284-533B25B34E53}</x14:id>
        </ext>
      </extLst>
    </cfRule>
  </conditionalFormatting>
  <conditionalFormatting sqref="AG112">
    <cfRule type="expression" dxfId="343" priority="426" stopIfTrue="1">
      <formula>#REF!="Ⅲ[再生可能エネルギー供給量]"</formula>
    </cfRule>
    <cfRule type="expression" dxfId="342" priority="427" stopIfTrue="1">
      <formula>#REF!="Ⅱ[エネルギー使用量差]"</formula>
    </cfRule>
  </conditionalFormatting>
  <conditionalFormatting sqref="G5">
    <cfRule type="expression" dxfId="341" priority="385" stopIfTrue="1">
      <formula>#REF!="Ⅲ[再生可能エネルギー供給量]"</formula>
    </cfRule>
    <cfRule type="expression" dxfId="340" priority="386" stopIfTrue="1">
      <formula>#REF!="Ⅱ[エネルギー使用量差]"</formula>
    </cfRule>
  </conditionalFormatting>
  <conditionalFormatting sqref="G7">
    <cfRule type="expression" dxfId="339" priority="383" stopIfTrue="1">
      <formula>#REF!="Ⅲ[再生可能エネルギー供給量]"</formula>
    </cfRule>
    <cfRule type="expression" dxfId="338" priority="384" stopIfTrue="1">
      <formula>#REF!="Ⅱ[エネルギー使用量差]"</formula>
    </cfRule>
  </conditionalFormatting>
  <conditionalFormatting sqref="G8">
    <cfRule type="expression" dxfId="337" priority="381" stopIfTrue="1">
      <formula>#REF!="Ⅲ[再生可能エネルギー供給量]"</formula>
    </cfRule>
    <cfRule type="expression" dxfId="336" priority="382" stopIfTrue="1">
      <formula>#REF!="Ⅱ[エネルギー使用量差]"</formula>
    </cfRule>
  </conditionalFormatting>
  <conditionalFormatting sqref="G9">
    <cfRule type="expression" dxfId="335" priority="379" stopIfTrue="1">
      <formula>#REF!="Ⅲ[再生可能エネルギー供給量]"</formula>
    </cfRule>
    <cfRule type="expression" dxfId="334" priority="380" stopIfTrue="1">
      <formula>#REF!="Ⅱ[エネルギー使用量差]"</formula>
    </cfRule>
  </conditionalFormatting>
  <conditionalFormatting sqref="G10">
    <cfRule type="expression" dxfId="333" priority="377" stopIfTrue="1">
      <formula>#REF!="Ⅲ[再生可能エネルギー供給量]"</formula>
    </cfRule>
    <cfRule type="expression" dxfId="332" priority="378" stopIfTrue="1">
      <formula>#REF!="Ⅱ[エネルギー使用量差]"</formula>
    </cfRule>
  </conditionalFormatting>
  <conditionalFormatting sqref="G11">
    <cfRule type="expression" dxfId="331" priority="375" stopIfTrue="1">
      <formula>#REF!="Ⅲ[再生可能エネルギー供給量]"</formula>
    </cfRule>
    <cfRule type="expression" dxfId="330" priority="376" stopIfTrue="1">
      <formula>#REF!="Ⅱ[エネルギー使用量差]"</formula>
    </cfRule>
  </conditionalFormatting>
  <conditionalFormatting sqref="B21:E22">
    <cfRule type="expression" dxfId="329" priority="373" stopIfTrue="1">
      <formula>#REF!="Ⅲ[再生可能エネルギー供給量]"</formula>
    </cfRule>
    <cfRule type="expression" dxfId="328" priority="374" stopIfTrue="1">
      <formula>#REF!="Ⅱ[エネルギー使用量差]"</formula>
    </cfRule>
  </conditionalFormatting>
  <conditionalFormatting sqref="Q21">
    <cfRule type="expression" dxfId="327" priority="371" stopIfTrue="1">
      <formula>#REF!="Ⅲ[再生可能エネルギー供給量]"</formula>
    </cfRule>
    <cfRule type="expression" dxfId="326" priority="372" stopIfTrue="1">
      <formula>#REF!="Ⅱ[エネルギー使用量差]"</formula>
    </cfRule>
  </conditionalFormatting>
  <conditionalFormatting sqref="Q33 B33:E33">
    <cfRule type="expression" dxfId="325" priority="369" stopIfTrue="1">
      <formula>#REF!="Ⅲ[再生可能エネルギー供給量]"</formula>
    </cfRule>
    <cfRule type="expression" dxfId="324" priority="370" stopIfTrue="1">
      <formula>#REF!="Ⅱ[エネルギー使用量差]"</formula>
    </cfRule>
  </conditionalFormatting>
  <conditionalFormatting sqref="R33">
    <cfRule type="expression" dxfId="323" priority="367" stopIfTrue="1">
      <formula>#REF!="Ⅲ[再生可能エネルギー供給量]"</formula>
    </cfRule>
    <cfRule type="expression" dxfId="322" priority="368" stopIfTrue="1">
      <formula>#REF!="Ⅱ[エネルギー使用量差]"</formula>
    </cfRule>
  </conditionalFormatting>
  <conditionalFormatting sqref="S33:X33 X23:X32">
    <cfRule type="dataBar" priority="364">
      <dataBar>
        <cfvo type="percent" val="&quot;S13/S$109&quot;"/>
        <cfvo type="percent" val="&quot;S13/S$109&quot;"/>
        <color rgb="FF638EC6"/>
      </dataBar>
      <extLst>
        <ext xmlns:x14="http://schemas.microsoft.com/office/spreadsheetml/2009/9/main" uri="{B025F937-C7B1-47D3-B67F-A62EFF666E3E}">
          <x14:id>{F1A3715F-3D71-454C-B5A3-541D3CE02C53}</x14:id>
        </ext>
      </extLst>
    </cfRule>
  </conditionalFormatting>
  <conditionalFormatting sqref="B31:B32">
    <cfRule type="expression" dxfId="321" priority="355" stopIfTrue="1">
      <formula>#REF!="Ⅲ[再生可能エネルギー供給量]"</formula>
    </cfRule>
    <cfRule type="expression" dxfId="320" priority="356" stopIfTrue="1">
      <formula>#REF!="Ⅱ[エネルギー使用量差]"</formula>
    </cfRule>
  </conditionalFormatting>
  <conditionalFormatting sqref="B21:AD22 B23:X33">
    <cfRule type="expression" dxfId="319" priority="354">
      <formula>$J$5="No"</formula>
    </cfRule>
  </conditionalFormatting>
  <conditionalFormatting sqref="Q50:Q53 Q37:R48 B37:E38 B53:E54 B39 E39 B50:B52">
    <cfRule type="expression" dxfId="318" priority="352" stopIfTrue="1">
      <formula>#REF!="Ⅲ[再生可能エネルギー供給量]"</formula>
    </cfRule>
    <cfRule type="expression" dxfId="317" priority="353" stopIfTrue="1">
      <formula>#REF!="Ⅱ[エネルギー使用量差]"</formula>
    </cfRule>
  </conditionalFormatting>
  <conditionalFormatting sqref="R50:R52">
    <cfRule type="expression" dxfId="316" priority="350" stopIfTrue="1">
      <formula>#REF!="Ⅲ[再生可能エネルギー供給量]"</formula>
    </cfRule>
    <cfRule type="expression" dxfId="315" priority="351" stopIfTrue="1">
      <formula>#REF!="Ⅱ[エネルギー使用量差]"</formula>
    </cfRule>
  </conditionalFormatting>
  <conditionalFormatting sqref="R53">
    <cfRule type="expression" dxfId="314" priority="348" stopIfTrue="1">
      <formula>#REF!="Ⅲ[再生可能エネルギー供給量]"</formula>
    </cfRule>
    <cfRule type="expression" dxfId="313" priority="349" stopIfTrue="1">
      <formula>#REF!="Ⅱ[エネルギー使用量差]"</formula>
    </cfRule>
  </conditionalFormatting>
  <conditionalFormatting sqref="D50:D52">
    <cfRule type="expression" dxfId="312" priority="346" stopIfTrue="1">
      <formula>#REF!="Ⅲ[再生可能エネルギー供給量]"</formula>
    </cfRule>
    <cfRule type="expression" dxfId="311" priority="347" stopIfTrue="1">
      <formula>#REF!="Ⅱ[エネルギー使用量差]"</formula>
    </cfRule>
  </conditionalFormatting>
  <conditionalFormatting sqref="E50:E52">
    <cfRule type="expression" dxfId="310" priority="344" stopIfTrue="1">
      <formula>#REF!="Ⅲ[再生可能エネルギー供給量]"</formula>
    </cfRule>
    <cfRule type="expression" dxfId="309" priority="345" stopIfTrue="1">
      <formula>#REF!="Ⅱ[エネルギー使用量差]"</formula>
    </cfRule>
  </conditionalFormatting>
  <conditionalFormatting sqref="N51">
    <cfRule type="expression" dxfId="308" priority="340" stopIfTrue="1">
      <formula>#REF!="Ⅲ[再生可能エネルギー供給量]"</formula>
    </cfRule>
    <cfRule type="expression" dxfId="307" priority="341" stopIfTrue="1">
      <formula>#REF!="Ⅱ[エネルギー使用量差]"</formula>
    </cfRule>
  </conditionalFormatting>
  <conditionalFormatting sqref="N52">
    <cfRule type="expression" dxfId="306" priority="342" stopIfTrue="1">
      <formula>#REF!="Ⅲ[再生可能エネルギー供給量]"</formula>
    </cfRule>
    <cfRule type="expression" dxfId="305" priority="343" stopIfTrue="1">
      <formula>#REF!="Ⅱ[エネルギー使用量差]"</formula>
    </cfRule>
  </conditionalFormatting>
  <conditionalFormatting sqref="N50">
    <cfRule type="expression" dxfId="304" priority="338" stopIfTrue="1">
      <formula>#REF!="Ⅲ[再生可能エネルギー供給量]"</formula>
    </cfRule>
    <cfRule type="expression" dxfId="303" priority="339" stopIfTrue="1">
      <formula>#REF!="Ⅱ[エネルギー使用量差]"</formula>
    </cfRule>
  </conditionalFormatting>
  <conditionalFormatting sqref="B55:E56">
    <cfRule type="expression" dxfId="302" priority="336" stopIfTrue="1">
      <formula>#REF!="Ⅲ[再生可能エネルギー供給量]"</formula>
    </cfRule>
    <cfRule type="expression" dxfId="301" priority="337" stopIfTrue="1">
      <formula>#REF!="Ⅱ[エネルギー使用量差]"</formula>
    </cfRule>
  </conditionalFormatting>
  <conditionalFormatting sqref="Q55">
    <cfRule type="expression" dxfId="300" priority="334" stopIfTrue="1">
      <formula>#REF!="Ⅲ[再生可能エネルギー供給量]"</formula>
    </cfRule>
    <cfRule type="expression" dxfId="299" priority="335" stopIfTrue="1">
      <formula>#REF!="Ⅱ[エネルギー使用量差]"</formula>
    </cfRule>
  </conditionalFormatting>
  <conditionalFormatting sqref="Q60 B60:E60">
    <cfRule type="expression" dxfId="298" priority="332" stopIfTrue="1">
      <formula>#REF!="Ⅲ[再生可能エネルギー供給量]"</formula>
    </cfRule>
    <cfRule type="expression" dxfId="297" priority="333" stopIfTrue="1">
      <formula>#REF!="Ⅱ[エネルギー使用量差]"</formula>
    </cfRule>
  </conditionalFormatting>
  <conditionalFormatting sqref="R60">
    <cfRule type="expression" dxfId="296" priority="330" stopIfTrue="1">
      <formula>#REF!="Ⅲ[再生可能エネルギー供給量]"</formula>
    </cfRule>
    <cfRule type="expression" dxfId="295" priority="331" stopIfTrue="1">
      <formula>#REF!="Ⅱ[エネルギー使用量差]"</formula>
    </cfRule>
  </conditionalFormatting>
  <conditionalFormatting sqref="S60:X60 X57:X59">
    <cfRule type="dataBar" priority="329">
      <dataBar>
        <cfvo type="percent" val="&quot;S13/S$109&quot;"/>
        <cfvo type="percent" val="&quot;S13/S$109&quot;"/>
        <color rgb="FF638EC6"/>
      </dataBar>
      <extLst>
        <ext xmlns:x14="http://schemas.microsoft.com/office/spreadsheetml/2009/9/main" uri="{B025F937-C7B1-47D3-B67F-A62EFF666E3E}">
          <x14:id>{DA4DB6B2-78D7-4C24-B97D-E404480E4CB5}</x14:id>
        </ext>
      </extLst>
    </cfRule>
  </conditionalFormatting>
  <conditionalFormatting sqref="B57">
    <cfRule type="expression" dxfId="294" priority="327" stopIfTrue="1">
      <formula>#REF!="Ⅲ[再生可能エネルギー供給量]"</formula>
    </cfRule>
    <cfRule type="expression" dxfId="293" priority="328" stopIfTrue="1">
      <formula>#REF!="Ⅱ[エネルギー使用量差]"</formula>
    </cfRule>
  </conditionalFormatting>
  <conditionalFormatting sqref="E41:E48">
    <cfRule type="expression" dxfId="292" priority="325" stopIfTrue="1">
      <formula>#REF!="Ⅲ[再生可能エネルギー供給量]"</formula>
    </cfRule>
    <cfRule type="expression" dxfId="291" priority="326" stopIfTrue="1">
      <formula>#REF!="Ⅱ[エネルギー使用量差]"</formula>
    </cfRule>
  </conditionalFormatting>
  <conditionalFormatting sqref="E40">
    <cfRule type="expression" dxfId="290" priority="323" stopIfTrue="1">
      <formula>#REF!="Ⅲ[再生可能エネルギー供給量]"</formula>
    </cfRule>
    <cfRule type="expression" dxfId="289" priority="324" stopIfTrue="1">
      <formula>#REF!="Ⅱ[エネルギー使用量差]"</formula>
    </cfRule>
  </conditionalFormatting>
  <conditionalFormatting sqref="B40:B49">
    <cfRule type="expression" dxfId="288" priority="321" stopIfTrue="1">
      <formula>#REF!="Ⅲ[再生可能エネルギー供給量]"</formula>
    </cfRule>
    <cfRule type="expression" dxfId="287" priority="322" stopIfTrue="1">
      <formula>#REF!="Ⅱ[エネルギー使用量差]"</formula>
    </cfRule>
  </conditionalFormatting>
  <conditionalFormatting sqref="S39:S52">
    <cfRule type="dataBar" priority="320">
      <dataBar>
        <cfvo type="num" val="0"/>
        <cfvo type="num" val="$S$156"/>
        <color rgb="FF638EC6"/>
      </dataBar>
      <extLst>
        <ext xmlns:x14="http://schemas.microsoft.com/office/spreadsheetml/2009/9/main" uri="{B025F937-C7B1-47D3-B67F-A62EFF666E3E}">
          <x14:id>{BB73A758-ADB8-4609-B40A-D4E8FE96BE94}</x14:id>
        </ext>
      </extLst>
    </cfRule>
  </conditionalFormatting>
  <conditionalFormatting sqref="T39:T52">
    <cfRule type="dataBar" priority="319">
      <dataBar>
        <cfvo type="num" val="0"/>
        <cfvo type="num" val="$T$156"/>
        <color rgb="FF638EC6"/>
      </dataBar>
      <extLst>
        <ext xmlns:x14="http://schemas.microsoft.com/office/spreadsheetml/2009/9/main" uri="{B025F937-C7B1-47D3-B67F-A62EFF666E3E}">
          <x14:id>{C1F39270-55F9-412D-817E-093A8C4F146B}</x14:id>
        </ext>
      </extLst>
    </cfRule>
  </conditionalFormatting>
  <conditionalFormatting sqref="U39:U52">
    <cfRule type="dataBar" priority="318">
      <dataBar>
        <cfvo type="num" val="0"/>
        <cfvo type="num" val="$U$156"/>
        <color rgb="FF638EC6"/>
      </dataBar>
      <extLst>
        <ext xmlns:x14="http://schemas.microsoft.com/office/spreadsheetml/2009/9/main" uri="{B025F937-C7B1-47D3-B67F-A62EFF666E3E}">
          <x14:id>{87C8E39F-9D8F-44DB-A9F1-3589430B0294}</x14:id>
        </ext>
      </extLst>
    </cfRule>
  </conditionalFormatting>
  <conditionalFormatting sqref="V39:V52">
    <cfRule type="dataBar" priority="317">
      <dataBar>
        <cfvo type="num" val="0"/>
        <cfvo type="num" val="$V$156"/>
        <color rgb="FF638EC6"/>
      </dataBar>
      <extLst>
        <ext xmlns:x14="http://schemas.microsoft.com/office/spreadsheetml/2009/9/main" uri="{B025F937-C7B1-47D3-B67F-A62EFF666E3E}">
          <x14:id>{39993679-5345-4837-A2EF-D642E36FB719}</x14:id>
        </ext>
      </extLst>
    </cfRule>
  </conditionalFormatting>
  <conditionalFormatting sqref="W39:W52">
    <cfRule type="dataBar" priority="316">
      <dataBar>
        <cfvo type="num" val="0"/>
        <cfvo type="num" val="$W$156"/>
        <color rgb="FF638EC6"/>
      </dataBar>
      <extLst>
        <ext xmlns:x14="http://schemas.microsoft.com/office/spreadsheetml/2009/9/main" uri="{B025F937-C7B1-47D3-B67F-A62EFF666E3E}">
          <x14:id>{8676B1DE-BBB5-496C-87CE-1702036A5FAE}</x14:id>
        </ext>
      </extLst>
    </cfRule>
  </conditionalFormatting>
  <conditionalFormatting sqref="B58:B59">
    <cfRule type="expression" dxfId="286" priority="314" stopIfTrue="1">
      <formula>#REF!="Ⅲ[再生可能エネルギー供給量]"</formula>
    </cfRule>
    <cfRule type="expression" dxfId="285" priority="315" stopIfTrue="1">
      <formula>#REF!="Ⅱ[エネルギー使用量差]"</formula>
    </cfRule>
  </conditionalFormatting>
  <conditionalFormatting sqref="B37:AD38 B54:AD56 B39:X53 B57:X60">
    <cfRule type="expression" dxfId="284" priority="313">
      <formula>$J$6="No"</formula>
    </cfRule>
  </conditionalFormatting>
  <conditionalFormatting sqref="B64:E65">
    <cfRule type="expression" dxfId="283" priority="311" stopIfTrue="1">
      <formula>#REF!="Ⅲ[再生可能エネルギー供給量]"</formula>
    </cfRule>
    <cfRule type="expression" dxfId="282" priority="312" stopIfTrue="1">
      <formula>#REF!="Ⅱ[エネルギー使用量差]"</formula>
    </cfRule>
  </conditionalFormatting>
  <conditionalFormatting sqref="Q64">
    <cfRule type="expression" dxfId="281" priority="309" stopIfTrue="1">
      <formula>#REF!="Ⅲ[再生可能エネルギー供給量]"</formula>
    </cfRule>
    <cfRule type="expression" dxfId="280" priority="310" stopIfTrue="1">
      <formula>#REF!="Ⅱ[エネルギー使用量差]"</formula>
    </cfRule>
  </conditionalFormatting>
  <conditionalFormatting sqref="Q71 B71:E71">
    <cfRule type="expression" dxfId="279" priority="307" stopIfTrue="1">
      <formula>#REF!="Ⅲ[再生可能エネルギー供給量]"</formula>
    </cfRule>
    <cfRule type="expression" dxfId="278" priority="308" stopIfTrue="1">
      <formula>#REF!="Ⅱ[エネルギー使用量差]"</formula>
    </cfRule>
  </conditionalFormatting>
  <conditionalFormatting sqref="R71">
    <cfRule type="expression" dxfId="277" priority="305" stopIfTrue="1">
      <formula>#REF!="Ⅲ[再生可能エネルギー供給量]"</formula>
    </cfRule>
    <cfRule type="expression" dxfId="276" priority="306" stopIfTrue="1">
      <formula>#REF!="Ⅱ[エネルギー使用量差]"</formula>
    </cfRule>
  </conditionalFormatting>
  <conditionalFormatting sqref="B66">
    <cfRule type="expression" dxfId="275" priority="303" stopIfTrue="1">
      <formula>#REF!="Ⅲ[再生可能エネルギー供給量]"</formula>
    </cfRule>
    <cfRule type="expression" dxfId="274" priority="304" stopIfTrue="1">
      <formula>#REF!="Ⅱ[エネルギー使用量差]"</formula>
    </cfRule>
  </conditionalFormatting>
  <conditionalFormatting sqref="E66:E70">
    <cfRule type="expression" dxfId="273" priority="301" stopIfTrue="1">
      <formula>#REF!="Ⅲ[再生可能エネルギー供給量]"</formula>
    </cfRule>
    <cfRule type="expression" dxfId="272" priority="302" stopIfTrue="1">
      <formula>#REF!="Ⅱ[エネルギー使用量差]"</formula>
    </cfRule>
  </conditionalFormatting>
  <conditionalFormatting sqref="S66:S70">
    <cfRule type="dataBar" priority="300">
      <dataBar>
        <cfvo type="num" val="0"/>
        <cfvo type="num" val="$S$156"/>
        <color rgb="FF638EC6"/>
      </dataBar>
      <extLst>
        <ext xmlns:x14="http://schemas.microsoft.com/office/spreadsheetml/2009/9/main" uri="{B025F937-C7B1-47D3-B67F-A62EFF666E3E}">
          <x14:id>{6DEFD725-75D1-4347-9C74-77E09868B498}</x14:id>
        </ext>
      </extLst>
    </cfRule>
  </conditionalFormatting>
  <conditionalFormatting sqref="T66:T70">
    <cfRule type="dataBar" priority="299">
      <dataBar>
        <cfvo type="num" val="0"/>
        <cfvo type="num" val="$T$156"/>
        <color rgb="FF638EC6"/>
      </dataBar>
      <extLst>
        <ext xmlns:x14="http://schemas.microsoft.com/office/spreadsheetml/2009/9/main" uri="{B025F937-C7B1-47D3-B67F-A62EFF666E3E}">
          <x14:id>{6F1E8E09-7B08-4C06-8212-A914E547B750}</x14:id>
        </ext>
      </extLst>
    </cfRule>
  </conditionalFormatting>
  <conditionalFormatting sqref="U66:U70">
    <cfRule type="dataBar" priority="298">
      <dataBar>
        <cfvo type="num" val="0"/>
        <cfvo type="num" val="$U$156"/>
        <color rgb="FF638EC6"/>
      </dataBar>
      <extLst>
        <ext xmlns:x14="http://schemas.microsoft.com/office/spreadsheetml/2009/9/main" uri="{B025F937-C7B1-47D3-B67F-A62EFF666E3E}">
          <x14:id>{0EE36787-A7B4-4CE0-9489-68A5BD211E13}</x14:id>
        </ext>
      </extLst>
    </cfRule>
  </conditionalFormatting>
  <conditionalFormatting sqref="V66:V70">
    <cfRule type="dataBar" priority="297">
      <dataBar>
        <cfvo type="num" val="0"/>
        <cfvo type="num" val="$V$156"/>
        <color rgb="FF638EC6"/>
      </dataBar>
      <extLst>
        <ext xmlns:x14="http://schemas.microsoft.com/office/spreadsheetml/2009/9/main" uri="{B025F937-C7B1-47D3-B67F-A62EFF666E3E}">
          <x14:id>{38BB2611-84C0-41E8-8C7A-0496D80D3831}</x14:id>
        </ext>
      </extLst>
    </cfRule>
  </conditionalFormatting>
  <conditionalFormatting sqref="W66:W70">
    <cfRule type="dataBar" priority="296">
      <dataBar>
        <cfvo type="num" val="0"/>
        <cfvo type="num" val="$W$156"/>
        <color rgb="FF638EC6"/>
      </dataBar>
      <extLst>
        <ext xmlns:x14="http://schemas.microsoft.com/office/spreadsheetml/2009/9/main" uri="{B025F937-C7B1-47D3-B67F-A62EFF666E3E}">
          <x14:id>{F3F7D998-1EFE-40C1-AAB6-CDD011408162}</x14:id>
        </ext>
      </extLst>
    </cfRule>
  </conditionalFormatting>
  <conditionalFormatting sqref="B67:B70">
    <cfRule type="expression" dxfId="271" priority="294" stopIfTrue="1">
      <formula>#REF!="Ⅲ[再生可能エネルギー供給量]"</formula>
    </cfRule>
    <cfRule type="expression" dxfId="270" priority="295" stopIfTrue="1">
      <formula>#REF!="Ⅱ[エネルギー使用量差]"</formula>
    </cfRule>
  </conditionalFormatting>
  <conditionalFormatting sqref="B64:E64 L64:AD64 B65:AD65 B66:X71">
    <cfRule type="expression" dxfId="269" priority="293">
      <formula>$J$7="No"</formula>
    </cfRule>
  </conditionalFormatting>
  <conditionalFormatting sqref="B75:C75 E75:E76">
    <cfRule type="expression" dxfId="268" priority="291" stopIfTrue="1">
      <formula>#REF!="Ⅲ[再生可能エネルギー供給量]"</formula>
    </cfRule>
    <cfRule type="expression" dxfId="267" priority="292" stopIfTrue="1">
      <formula>#REF!="Ⅱ[エネルギー使用量差]"</formula>
    </cfRule>
  </conditionalFormatting>
  <conditionalFormatting sqref="D79:J87">
    <cfRule type="expression" dxfId="266" priority="290">
      <formula>$B$78=燃料法</formula>
    </cfRule>
  </conditionalFormatting>
  <conditionalFormatting sqref="D77:J78 D83:J87 X77 S83:X83">
    <cfRule type="expression" dxfId="265" priority="288">
      <formula>$B$78="燃費法"</formula>
    </cfRule>
  </conditionalFormatting>
  <conditionalFormatting sqref="D77:J82">
    <cfRule type="expression" dxfId="264" priority="289">
      <formula>$B$78="改良トンキロ法"</formula>
    </cfRule>
  </conditionalFormatting>
  <conditionalFormatting sqref="D79:J87">
    <cfRule type="expression" dxfId="263" priority="287">
      <formula>$B$78="燃料法"</formula>
    </cfRule>
  </conditionalFormatting>
  <conditionalFormatting sqref="Q78:Q79">
    <cfRule type="expression" dxfId="262" priority="279">
      <formula>$B$78="改良トンキロ法"</formula>
    </cfRule>
  </conditionalFormatting>
  <conditionalFormatting sqref="R78">
    <cfRule type="expression" dxfId="261" priority="278">
      <formula>$B$78="改良トンキロ法"</formula>
    </cfRule>
  </conditionalFormatting>
  <conditionalFormatting sqref="Q75">
    <cfRule type="expression" dxfId="260" priority="285" stopIfTrue="1">
      <formula>#REF!="Ⅲ[再生可能エネルギー供給量]"</formula>
    </cfRule>
    <cfRule type="expression" dxfId="259" priority="286" stopIfTrue="1">
      <formula>#REF!="Ⅱ[エネルギー使用量差]"</formula>
    </cfRule>
  </conditionalFormatting>
  <conditionalFormatting sqref="Q83">
    <cfRule type="expression" dxfId="258" priority="284">
      <formula>$B$78="燃費法"</formula>
    </cfRule>
  </conditionalFormatting>
  <conditionalFormatting sqref="Q83">
    <cfRule type="expression" dxfId="257" priority="283">
      <formula>$B$78="燃料法"</formula>
    </cfRule>
  </conditionalFormatting>
  <conditionalFormatting sqref="Q80:Q82">
    <cfRule type="expression" dxfId="256" priority="282">
      <formula>$B$78="燃料法"</formula>
    </cfRule>
  </conditionalFormatting>
  <conditionalFormatting sqref="Q77">
    <cfRule type="expression" dxfId="255" priority="280">
      <formula>$B$78="燃費法"</formula>
    </cfRule>
  </conditionalFormatting>
  <conditionalFormatting sqref="Q77">
    <cfRule type="expression" dxfId="254" priority="281">
      <formula>$B$78="改良トンキロ法"</formula>
    </cfRule>
  </conditionalFormatting>
  <conditionalFormatting sqref="S83">
    <cfRule type="dataBar" priority="277">
      <dataBar>
        <cfvo type="num" val="0"/>
        <cfvo type="num" val="$S$156"/>
        <color rgb="FF638EC6"/>
      </dataBar>
      <extLst>
        <ext xmlns:x14="http://schemas.microsoft.com/office/spreadsheetml/2009/9/main" uri="{B025F937-C7B1-47D3-B67F-A62EFF666E3E}">
          <x14:id>{0F998271-22F2-4548-AD5D-ED8C40311109}</x14:id>
        </ext>
      </extLst>
    </cfRule>
  </conditionalFormatting>
  <conditionalFormatting sqref="T77">
    <cfRule type="dataBar" priority="276">
      <dataBar>
        <cfvo type="num" val="0"/>
        <cfvo type="num" val="$T$156"/>
        <color rgb="FF638EC6"/>
      </dataBar>
      <extLst>
        <ext xmlns:x14="http://schemas.microsoft.com/office/spreadsheetml/2009/9/main" uri="{B025F937-C7B1-47D3-B67F-A62EFF666E3E}">
          <x14:id>{5894D882-2FAD-41C8-96FB-3020EF4C3331}</x14:id>
        </ext>
      </extLst>
    </cfRule>
  </conditionalFormatting>
  <conditionalFormatting sqref="U79">
    <cfRule type="dataBar" priority="275">
      <dataBar>
        <cfvo type="num" val="0"/>
        <cfvo type="num" val="$U$156"/>
        <color rgb="FF638EC6"/>
      </dataBar>
      <extLst>
        <ext xmlns:x14="http://schemas.microsoft.com/office/spreadsheetml/2009/9/main" uri="{B025F937-C7B1-47D3-B67F-A62EFF666E3E}">
          <x14:id>{20294987-2DA7-474E-AC0A-4E29E947004B}</x14:id>
        </ext>
      </extLst>
    </cfRule>
  </conditionalFormatting>
  <conditionalFormatting sqref="V79">
    <cfRule type="dataBar" priority="274">
      <dataBar>
        <cfvo type="num" val="0"/>
        <cfvo type="num" val="$V$156"/>
        <color rgb="FF638EC6"/>
      </dataBar>
      <extLst>
        <ext xmlns:x14="http://schemas.microsoft.com/office/spreadsheetml/2009/9/main" uri="{B025F937-C7B1-47D3-B67F-A62EFF666E3E}">
          <x14:id>{D2CA03DD-25F4-4B03-8AA0-8A9086452C00}</x14:id>
        </ext>
      </extLst>
    </cfRule>
  </conditionalFormatting>
  <conditionalFormatting sqref="W83">
    <cfRule type="dataBar" priority="273">
      <dataBar>
        <cfvo type="num" val="0"/>
        <cfvo type="num" val="$W$156"/>
        <color rgb="FF638EC6"/>
      </dataBar>
      <extLst>
        <ext xmlns:x14="http://schemas.microsoft.com/office/spreadsheetml/2009/9/main" uri="{B025F937-C7B1-47D3-B67F-A62EFF666E3E}">
          <x14:id>{4DD5DC07-474F-4B74-A101-2ACBD7E27021}</x14:id>
        </ext>
      </extLst>
    </cfRule>
  </conditionalFormatting>
  <conditionalFormatting sqref="S77:W77">
    <cfRule type="expression" dxfId="253" priority="271">
      <formula>$B$78="燃費法"</formula>
    </cfRule>
  </conditionalFormatting>
  <conditionalFormatting sqref="S77:W79">
    <cfRule type="expression" dxfId="252" priority="272">
      <formula>$B$78="改良トンキロ法"</formula>
    </cfRule>
  </conditionalFormatting>
  <conditionalFormatting sqref="S79:W83">
    <cfRule type="expression" dxfId="251" priority="270">
      <formula>$B$78="燃料法"</formula>
    </cfRule>
  </conditionalFormatting>
  <conditionalFormatting sqref="S79">
    <cfRule type="dataBar" priority="269">
      <dataBar>
        <cfvo type="num" val="0"/>
        <cfvo type="num" val="$S$156"/>
        <color rgb="FF638EC6"/>
      </dataBar>
      <extLst>
        <ext xmlns:x14="http://schemas.microsoft.com/office/spreadsheetml/2009/9/main" uri="{B025F937-C7B1-47D3-B67F-A62EFF666E3E}">
          <x14:id>{B79E05A9-EE10-4563-8023-AD6DB6BFD5B1}</x14:id>
        </ext>
      </extLst>
    </cfRule>
  </conditionalFormatting>
  <conditionalFormatting sqref="T79">
    <cfRule type="dataBar" priority="268">
      <dataBar>
        <cfvo type="num" val="0"/>
        <cfvo type="num" val="$T$156"/>
        <color rgb="FF638EC6"/>
      </dataBar>
      <extLst>
        <ext xmlns:x14="http://schemas.microsoft.com/office/spreadsheetml/2009/9/main" uri="{B025F937-C7B1-47D3-B67F-A62EFF666E3E}">
          <x14:id>{64F9513C-3C9F-4CB1-B274-FA2EE9AC72C3}</x14:id>
        </ext>
      </extLst>
    </cfRule>
  </conditionalFormatting>
  <conditionalFormatting sqref="U77">
    <cfRule type="dataBar" priority="267">
      <dataBar>
        <cfvo type="num" val="0"/>
        <cfvo type="num" val="$U$156"/>
        <color rgb="FF638EC6"/>
      </dataBar>
      <extLst>
        <ext xmlns:x14="http://schemas.microsoft.com/office/spreadsheetml/2009/9/main" uri="{B025F937-C7B1-47D3-B67F-A62EFF666E3E}">
          <x14:id>{ABDA514C-5F0D-43F5-B514-CFA966E422BC}</x14:id>
        </ext>
      </extLst>
    </cfRule>
  </conditionalFormatting>
  <conditionalFormatting sqref="V77">
    <cfRule type="dataBar" priority="266">
      <dataBar>
        <cfvo type="num" val="0"/>
        <cfvo type="num" val="$V$156"/>
        <color rgb="FF638EC6"/>
      </dataBar>
      <extLst>
        <ext xmlns:x14="http://schemas.microsoft.com/office/spreadsheetml/2009/9/main" uri="{B025F937-C7B1-47D3-B67F-A62EFF666E3E}">
          <x14:id>{7F45BE5B-BBD4-4291-8F07-44982962BB85}</x14:id>
        </ext>
      </extLst>
    </cfRule>
  </conditionalFormatting>
  <conditionalFormatting sqref="W77">
    <cfRule type="dataBar" priority="265">
      <dataBar>
        <cfvo type="num" val="0"/>
        <cfvo type="num" val="$W$156"/>
        <color rgb="FF638EC6"/>
      </dataBar>
      <extLst>
        <ext xmlns:x14="http://schemas.microsoft.com/office/spreadsheetml/2009/9/main" uri="{B025F937-C7B1-47D3-B67F-A62EFF666E3E}">
          <x14:id>{95A72F92-2925-4BB1-83C1-6D4F2478B84D}</x14:id>
        </ext>
      </extLst>
    </cfRule>
  </conditionalFormatting>
  <conditionalFormatting sqref="B75:AE88">
    <cfRule type="expression" dxfId="250" priority="264">
      <formula>$J$8="No"</formula>
    </cfRule>
  </conditionalFormatting>
  <conditionalFormatting sqref="B92:E93">
    <cfRule type="expression" dxfId="249" priority="262" stopIfTrue="1">
      <formula>#REF!="Ⅲ[再生可能エネルギー供給量]"</formula>
    </cfRule>
    <cfRule type="expression" dxfId="248" priority="263" stopIfTrue="1">
      <formula>#REF!="Ⅱ[エネルギー使用量差]"</formula>
    </cfRule>
  </conditionalFormatting>
  <conditionalFormatting sqref="Q92">
    <cfRule type="expression" dxfId="247" priority="260" stopIfTrue="1">
      <formula>#REF!="Ⅲ[再生可能エネルギー供給量]"</formula>
    </cfRule>
    <cfRule type="expression" dxfId="246" priority="261" stopIfTrue="1">
      <formula>#REF!="Ⅱ[エネルギー使用量差]"</formula>
    </cfRule>
  </conditionalFormatting>
  <conditionalFormatting sqref="R98">
    <cfRule type="expression" dxfId="245" priority="256" stopIfTrue="1">
      <formula>#REF!="Ⅲ[再生可能エネルギー供給量]"</formula>
    </cfRule>
    <cfRule type="expression" dxfId="244" priority="257" stopIfTrue="1">
      <formula>#REF!="Ⅱ[エネルギー使用量差]"</formula>
    </cfRule>
  </conditionalFormatting>
  <conditionalFormatting sqref="Q98">
    <cfRule type="expression" dxfId="243" priority="258" stopIfTrue="1">
      <formula>#REF!="Ⅲ[再生可能エネルギー供給量]"</formula>
    </cfRule>
    <cfRule type="expression" dxfId="242" priority="259" stopIfTrue="1">
      <formula>#REF!="Ⅱ[エネルギー使用量差]"</formula>
    </cfRule>
  </conditionalFormatting>
  <conditionalFormatting sqref="S94:S97">
    <cfRule type="dataBar" priority="255">
      <dataBar>
        <cfvo type="num" val="0"/>
        <cfvo type="num" val="$S$156"/>
        <color rgb="FF638EC6"/>
      </dataBar>
      <extLst>
        <ext xmlns:x14="http://schemas.microsoft.com/office/spreadsheetml/2009/9/main" uri="{B025F937-C7B1-47D3-B67F-A62EFF666E3E}">
          <x14:id>{CADCFD57-3AC4-4966-8876-18449AABC151}</x14:id>
        </ext>
      </extLst>
    </cfRule>
  </conditionalFormatting>
  <conditionalFormatting sqref="T94:T97">
    <cfRule type="dataBar" priority="254">
      <dataBar>
        <cfvo type="num" val="0"/>
        <cfvo type="num" val="$T$156"/>
        <color rgb="FF638EC6"/>
      </dataBar>
      <extLst>
        <ext xmlns:x14="http://schemas.microsoft.com/office/spreadsheetml/2009/9/main" uri="{B025F937-C7B1-47D3-B67F-A62EFF666E3E}">
          <x14:id>{F3FA7CD6-14F2-4600-9F15-E05A062F9459}</x14:id>
        </ext>
      </extLst>
    </cfRule>
  </conditionalFormatting>
  <conditionalFormatting sqref="U94:U97">
    <cfRule type="dataBar" priority="253">
      <dataBar>
        <cfvo type="num" val="0"/>
        <cfvo type="num" val="$U$156"/>
        <color rgb="FF638EC6"/>
      </dataBar>
      <extLst>
        <ext xmlns:x14="http://schemas.microsoft.com/office/spreadsheetml/2009/9/main" uri="{B025F937-C7B1-47D3-B67F-A62EFF666E3E}">
          <x14:id>{4C5CF7D0-2A0C-4299-B76A-3251A8718EE6}</x14:id>
        </ext>
      </extLst>
    </cfRule>
  </conditionalFormatting>
  <conditionalFormatting sqref="V94:V97">
    <cfRule type="dataBar" priority="252">
      <dataBar>
        <cfvo type="num" val="0"/>
        <cfvo type="num" val="$V$156"/>
        <color rgb="FF638EC6"/>
      </dataBar>
      <extLst>
        <ext xmlns:x14="http://schemas.microsoft.com/office/spreadsheetml/2009/9/main" uri="{B025F937-C7B1-47D3-B67F-A62EFF666E3E}">
          <x14:id>{1F1B066B-5D6F-48F9-AF4A-02C47702066B}</x14:id>
        </ext>
      </extLst>
    </cfRule>
  </conditionalFormatting>
  <conditionalFormatting sqref="W94:W97">
    <cfRule type="dataBar" priority="251">
      <dataBar>
        <cfvo type="num" val="0"/>
        <cfvo type="num" val="$W$156"/>
        <color rgb="FF638EC6"/>
      </dataBar>
      <extLst>
        <ext xmlns:x14="http://schemas.microsoft.com/office/spreadsheetml/2009/9/main" uri="{B025F937-C7B1-47D3-B67F-A62EFF666E3E}">
          <x14:id>{198DC6A1-35D5-4138-A7D2-541798946EE9}</x14:id>
        </ext>
      </extLst>
    </cfRule>
  </conditionalFormatting>
  <conditionalFormatting sqref="B92:E92 L92:AD92 B93:AD93 B94:X98">
    <cfRule type="expression" dxfId="241" priority="250">
      <formula>$J$9="No"</formula>
    </cfRule>
  </conditionalFormatting>
  <conditionalFormatting sqref="B102:E103">
    <cfRule type="expression" dxfId="240" priority="248" stopIfTrue="1">
      <formula>#REF!="Ⅲ[再生可能エネルギー供給量]"</formula>
    </cfRule>
    <cfRule type="expression" dxfId="239" priority="249" stopIfTrue="1">
      <formula>#REF!="Ⅱ[エネルギー使用量差]"</formula>
    </cfRule>
  </conditionalFormatting>
  <conditionalFormatting sqref="Q102">
    <cfRule type="expression" dxfId="238" priority="246" stopIfTrue="1">
      <formula>#REF!="Ⅲ[再生可能エネルギー供給量]"</formula>
    </cfRule>
    <cfRule type="expression" dxfId="237" priority="247" stopIfTrue="1">
      <formula>#REF!="Ⅱ[エネルギー使用量差]"</formula>
    </cfRule>
  </conditionalFormatting>
  <conditionalFormatting sqref="R107">
    <cfRule type="expression" dxfId="236" priority="242" stopIfTrue="1">
      <formula>#REF!="Ⅲ[再生可能エネルギー供給量]"</formula>
    </cfRule>
    <cfRule type="expression" dxfId="235" priority="243" stopIfTrue="1">
      <formula>#REF!="Ⅱ[エネルギー使用量差]"</formula>
    </cfRule>
  </conditionalFormatting>
  <conditionalFormatting sqref="Q107">
    <cfRule type="expression" dxfId="234" priority="244" stopIfTrue="1">
      <formula>#REF!="Ⅲ[再生可能エネルギー供給量]"</formula>
    </cfRule>
    <cfRule type="expression" dxfId="233" priority="245" stopIfTrue="1">
      <formula>#REF!="Ⅱ[エネルギー使用量差]"</formula>
    </cfRule>
  </conditionalFormatting>
  <conditionalFormatting sqref="S104:S106">
    <cfRule type="dataBar" priority="241">
      <dataBar>
        <cfvo type="num" val="0"/>
        <cfvo type="num" val="$S$156"/>
        <color rgb="FF638EC6"/>
      </dataBar>
      <extLst>
        <ext xmlns:x14="http://schemas.microsoft.com/office/spreadsheetml/2009/9/main" uri="{B025F937-C7B1-47D3-B67F-A62EFF666E3E}">
          <x14:id>{A8FFCEAF-AF12-4E9C-A12F-EE48BFA3DDE2}</x14:id>
        </ext>
      </extLst>
    </cfRule>
  </conditionalFormatting>
  <conditionalFormatting sqref="T104:T106">
    <cfRule type="dataBar" priority="240">
      <dataBar>
        <cfvo type="num" val="0"/>
        <cfvo type="num" val="$T$156"/>
        <color rgb="FF638EC6"/>
      </dataBar>
      <extLst>
        <ext xmlns:x14="http://schemas.microsoft.com/office/spreadsheetml/2009/9/main" uri="{B025F937-C7B1-47D3-B67F-A62EFF666E3E}">
          <x14:id>{DA414F51-FEC0-4B74-952E-704F2FDF8E8F}</x14:id>
        </ext>
      </extLst>
    </cfRule>
  </conditionalFormatting>
  <conditionalFormatting sqref="U104:U106">
    <cfRule type="dataBar" priority="239">
      <dataBar>
        <cfvo type="num" val="0"/>
        <cfvo type="num" val="$U$156"/>
        <color rgb="FF638EC6"/>
      </dataBar>
      <extLst>
        <ext xmlns:x14="http://schemas.microsoft.com/office/spreadsheetml/2009/9/main" uri="{B025F937-C7B1-47D3-B67F-A62EFF666E3E}">
          <x14:id>{9C9DEFF0-3068-40A0-8282-8DCE8D167801}</x14:id>
        </ext>
      </extLst>
    </cfRule>
  </conditionalFormatting>
  <conditionalFormatting sqref="V104:V106">
    <cfRule type="dataBar" priority="238">
      <dataBar>
        <cfvo type="num" val="0"/>
        <cfvo type="num" val="$V$156"/>
        <color rgb="FF638EC6"/>
      </dataBar>
      <extLst>
        <ext xmlns:x14="http://schemas.microsoft.com/office/spreadsheetml/2009/9/main" uri="{B025F937-C7B1-47D3-B67F-A62EFF666E3E}">
          <x14:id>{DC71CB8A-72D4-4C0A-B6AB-A938FA48E91F}</x14:id>
        </ext>
      </extLst>
    </cfRule>
  </conditionalFormatting>
  <conditionalFormatting sqref="W104:W106">
    <cfRule type="dataBar" priority="237">
      <dataBar>
        <cfvo type="num" val="0"/>
        <cfvo type="num" val="$W$156"/>
        <color rgb="FF638EC6"/>
      </dataBar>
      <extLst>
        <ext xmlns:x14="http://schemas.microsoft.com/office/spreadsheetml/2009/9/main" uri="{B025F937-C7B1-47D3-B67F-A62EFF666E3E}">
          <x14:id>{F62CDCA4-67EF-4DF5-B676-B4BD5A94CF12}</x14:id>
        </ext>
      </extLst>
    </cfRule>
  </conditionalFormatting>
  <conditionalFormatting sqref="B104">
    <cfRule type="expression" dxfId="232" priority="235" stopIfTrue="1">
      <formula>#REF!="Ⅲ[再生可能エネルギー供給量]"</formula>
    </cfRule>
    <cfRule type="expression" dxfId="231" priority="236" stopIfTrue="1">
      <formula>#REF!="Ⅱ[エネルギー使用量差]"</formula>
    </cfRule>
  </conditionalFormatting>
  <conditionalFormatting sqref="B105">
    <cfRule type="expression" dxfId="230" priority="233" stopIfTrue="1">
      <formula>#REF!="Ⅲ[再生可能エネルギー供給量]"</formula>
    </cfRule>
    <cfRule type="expression" dxfId="229" priority="234" stopIfTrue="1">
      <formula>#REF!="Ⅱ[エネルギー使用量差]"</formula>
    </cfRule>
  </conditionalFormatting>
  <conditionalFormatting sqref="B106">
    <cfRule type="expression" dxfId="228" priority="231" stopIfTrue="1">
      <formula>#REF!="Ⅲ[再生可能エネルギー供給量]"</formula>
    </cfRule>
    <cfRule type="expression" dxfId="227" priority="232" stopIfTrue="1">
      <formula>#REF!="Ⅱ[エネルギー使用量差]"</formula>
    </cfRule>
  </conditionalFormatting>
  <conditionalFormatting sqref="B102:E102 L102:AD102 B103:AD103 B104:X107">
    <cfRule type="expression" dxfId="226" priority="230">
      <formula>$J$10="No"</formula>
    </cfRule>
  </conditionalFormatting>
  <conditionalFormatting sqref="Q137">
    <cfRule type="expression" dxfId="225" priority="228" stopIfTrue="1">
      <formula>#REF!="Ⅲ[再生可能エネルギー供給量]"</formula>
    </cfRule>
    <cfRule type="expression" dxfId="224" priority="229" stopIfTrue="1">
      <formula>#REF!="Ⅱ[エネルギー使用量差]"</formula>
    </cfRule>
  </conditionalFormatting>
  <conditionalFormatting sqref="Q154">
    <cfRule type="expression" dxfId="223" priority="226" stopIfTrue="1">
      <formula>#REF!="Ⅲ[再生可能エネルギー供給量]"</formula>
    </cfRule>
    <cfRule type="expression" dxfId="222" priority="227" stopIfTrue="1">
      <formula>#REF!="Ⅱ[エネルギー使用量差]"</formula>
    </cfRule>
  </conditionalFormatting>
  <conditionalFormatting sqref="B137:C137 B138:D138">
    <cfRule type="expression" dxfId="221" priority="224" stopIfTrue="1">
      <formula>#REF!="Ⅲ[再生可能エネルギー供給量]"</formula>
    </cfRule>
    <cfRule type="expression" dxfId="220" priority="225" stopIfTrue="1">
      <formula>#REF!="Ⅱ[エネルギー使用量差]"</formula>
    </cfRule>
  </conditionalFormatting>
  <conditionalFormatting sqref="E138">
    <cfRule type="expression" dxfId="219" priority="222" stopIfTrue="1">
      <formula>#REF!="Ⅲ[再生可能エネルギー供給量]"</formula>
    </cfRule>
    <cfRule type="expression" dxfId="218" priority="223" stopIfTrue="1">
      <formula>#REF!="Ⅱ[エネルギー使用量差]"</formula>
    </cfRule>
  </conditionalFormatting>
  <conditionalFormatting sqref="C139:C141">
    <cfRule type="expression" dxfId="217" priority="221">
      <formula>$B$135="熱量配分"</formula>
    </cfRule>
  </conditionalFormatting>
  <conditionalFormatting sqref="D139:D141">
    <cfRule type="expression" dxfId="216" priority="220">
      <formula>$B$135="金額配分"</formula>
    </cfRule>
  </conditionalFormatting>
  <conditionalFormatting sqref="M139:O141">
    <cfRule type="expression" dxfId="215" priority="219">
      <formula>$B$135="代替"</formula>
    </cfRule>
  </conditionalFormatting>
  <conditionalFormatting sqref="E141">
    <cfRule type="expression" dxfId="214" priority="218">
      <formula>$B$135="体積配分"</formula>
    </cfRule>
  </conditionalFormatting>
  <conditionalFormatting sqref="E144 J144">
    <cfRule type="expression" dxfId="213" priority="217">
      <formula>$B$135="金額配分"</formula>
    </cfRule>
  </conditionalFormatting>
  <conditionalFormatting sqref="E139:E140">
    <cfRule type="expression" dxfId="212" priority="216">
      <formula>$B$135="体積配分"</formula>
    </cfRule>
  </conditionalFormatting>
  <conditionalFormatting sqref="B134:AD176">
    <cfRule type="expression" dxfId="211" priority="215">
      <formula>$J$11="No"</formula>
    </cfRule>
  </conditionalFormatting>
  <conditionalFormatting sqref="F64:K64">
    <cfRule type="expression" dxfId="210" priority="214">
      <formula>$J$6="No"</formula>
    </cfRule>
  </conditionalFormatting>
  <conditionalFormatting sqref="F75:K75">
    <cfRule type="expression" dxfId="209" priority="213">
      <formula>$J$6="No"</formula>
    </cfRule>
  </conditionalFormatting>
  <conditionalFormatting sqref="F92:K92">
    <cfRule type="expression" dxfId="208" priority="212">
      <formula>$J$6="No"</formula>
    </cfRule>
  </conditionalFormatting>
  <conditionalFormatting sqref="F102:K102">
    <cfRule type="expression" dxfId="207" priority="211">
      <formula>$J$6="No"</formula>
    </cfRule>
  </conditionalFormatting>
  <conditionalFormatting sqref="B31">
    <cfRule type="expression" dxfId="206" priority="209" stopIfTrue="1">
      <formula>#REF!="Ⅲ[再生可能エネルギー供給量]"</formula>
    </cfRule>
    <cfRule type="expression" dxfId="205" priority="210" stopIfTrue="1">
      <formula>#REF!="Ⅱ[エネルギー使用量差]"</formula>
    </cfRule>
  </conditionalFormatting>
  <conditionalFormatting sqref="AE83:AF83">
    <cfRule type="expression" dxfId="204" priority="201">
      <formula>$B$78="燃費法"</formula>
    </cfRule>
  </conditionalFormatting>
  <conditionalFormatting sqref="AE78:AF79">
    <cfRule type="expression" dxfId="203" priority="208">
      <formula>$B$78="改良トンキロ法"</formula>
    </cfRule>
  </conditionalFormatting>
  <conditionalFormatting sqref="AE21:AF33">
    <cfRule type="expression" dxfId="202" priority="207">
      <formula>$J$5="No"</formula>
    </cfRule>
  </conditionalFormatting>
  <conditionalFormatting sqref="AE37:AF60">
    <cfRule type="expression" dxfId="201" priority="206">
      <formula>$J$6="No"</formula>
    </cfRule>
  </conditionalFormatting>
  <conditionalFormatting sqref="AE134:AF176">
    <cfRule type="expression" dxfId="200" priority="205">
      <formula>$J$11="No"</formula>
    </cfRule>
  </conditionalFormatting>
  <conditionalFormatting sqref="AE60:AF60">
    <cfRule type="expression" dxfId="199" priority="204">
      <formula>$J$5="No"</formula>
    </cfRule>
  </conditionalFormatting>
  <conditionalFormatting sqref="AE64:AF71">
    <cfRule type="expression" dxfId="198" priority="203">
      <formula>$J$7="No"</formula>
    </cfRule>
  </conditionalFormatting>
  <conditionalFormatting sqref="AE75:AF88">
    <cfRule type="expression" dxfId="197" priority="202">
      <formula>$J$8="No"</formula>
    </cfRule>
  </conditionalFormatting>
  <conditionalFormatting sqref="AE79:AF83">
    <cfRule type="expression" dxfId="196" priority="200">
      <formula>$B$78="燃料法"</formula>
    </cfRule>
  </conditionalFormatting>
  <conditionalFormatting sqref="AE79:AF79">
    <cfRule type="expression" dxfId="195" priority="199">
      <formula>IF(AE79=0,FALSE, IF(AE79&gt;0.01,FALSE,TRUE))</formula>
    </cfRule>
  </conditionalFormatting>
  <conditionalFormatting sqref="AE83:AF83">
    <cfRule type="expression" dxfId="194" priority="198">
      <formula>IF(AE83=0,FALSE, IF(AE83&gt;0.01,FALSE,TRUE))</formula>
    </cfRule>
  </conditionalFormatting>
  <conditionalFormatting sqref="AE92:AF98">
    <cfRule type="expression" dxfId="193" priority="197">
      <formula>$J$9="No"</formula>
    </cfRule>
  </conditionalFormatting>
  <conditionalFormatting sqref="AE102:AF107">
    <cfRule type="expression" dxfId="192" priority="196">
      <formula>$J$10="No"</formula>
    </cfRule>
  </conditionalFormatting>
  <conditionalFormatting sqref="AE104:AF104">
    <cfRule type="expression" dxfId="191" priority="195">
      <formula>$J$9="No"</formula>
    </cfRule>
  </conditionalFormatting>
  <conditionalFormatting sqref="AE104:AF104">
    <cfRule type="expression" dxfId="190" priority="194">
      <formula>IF(AE104=0,FALSE, IF(AE104&gt;0.01,FALSE,TRUE))</formula>
    </cfRule>
  </conditionalFormatting>
  <conditionalFormatting sqref="AE105:AF105">
    <cfRule type="expression" dxfId="189" priority="193">
      <formula>$J$9="No"</formula>
    </cfRule>
  </conditionalFormatting>
  <conditionalFormatting sqref="AE105:AF105">
    <cfRule type="expression" dxfId="188" priority="192">
      <formula>IF(AE105=0,FALSE, IF(AE105&gt;0.01,FALSE,TRUE))</formula>
    </cfRule>
  </conditionalFormatting>
  <conditionalFormatting sqref="AE106:AF106">
    <cfRule type="expression" dxfId="187" priority="191">
      <formula>$J$9="No"</formula>
    </cfRule>
  </conditionalFormatting>
  <conditionalFormatting sqref="AE106:AF106">
    <cfRule type="expression" dxfId="186" priority="190">
      <formula>IF(AE106=0,FALSE, IF(AE106&gt;0.01,FALSE,TRUE))</formula>
    </cfRule>
  </conditionalFormatting>
  <conditionalFormatting sqref="AE127:AF127">
    <cfRule type="expression" dxfId="185" priority="189">
      <formula>IF(AE127=0,FALSE, IF(AE127&gt;0.01,FALSE,TRUE))</formula>
    </cfRule>
  </conditionalFormatting>
  <conditionalFormatting sqref="AE128:AF128">
    <cfRule type="expression" dxfId="184" priority="188">
      <formula>IF(AE128=0,FALSE, IF(AE128&gt;0.01,FALSE,TRUE))</formula>
    </cfRule>
  </conditionalFormatting>
  <conditionalFormatting sqref="AE129:AF129">
    <cfRule type="expression" dxfId="183" priority="187">
      <formula>IF(AE129=0,FALSE, IF(AE129&gt;0.01,FALSE,TRUE))</formula>
    </cfRule>
  </conditionalFormatting>
  <conditionalFormatting sqref="AE37:AF37">
    <cfRule type="expression" dxfId="182" priority="186">
      <formula>$J$5="No"</formula>
    </cfRule>
  </conditionalFormatting>
  <conditionalFormatting sqref="AE55:AF55">
    <cfRule type="expression" dxfId="181" priority="185">
      <formula>$J$5="No"</formula>
    </cfRule>
  </conditionalFormatting>
  <conditionalFormatting sqref="AE64:AF64">
    <cfRule type="expression" dxfId="180" priority="184">
      <formula>$J$5="No"</formula>
    </cfRule>
  </conditionalFormatting>
  <conditionalFormatting sqref="AE77:AF77">
    <cfRule type="expression" dxfId="179" priority="180">
      <formula>$B$78="燃費法"</formula>
    </cfRule>
  </conditionalFormatting>
  <conditionalFormatting sqref="AE77:AF77">
    <cfRule type="expression" dxfId="178" priority="183">
      <formula>$B$78="改良トンキロ法"</formula>
    </cfRule>
  </conditionalFormatting>
  <conditionalFormatting sqref="AE77:AF77">
    <cfRule type="expression" dxfId="177" priority="182">
      <formula>$J$6="No"</formula>
    </cfRule>
  </conditionalFormatting>
  <conditionalFormatting sqref="AE77:AF77">
    <cfRule type="expression" dxfId="176" priority="181">
      <formula>$J$8="No"</formula>
    </cfRule>
  </conditionalFormatting>
  <conditionalFormatting sqref="AE75:AF75">
    <cfRule type="expression" dxfId="175" priority="179">
      <formula>$J$8="No"</formula>
    </cfRule>
  </conditionalFormatting>
  <conditionalFormatting sqref="AE92:AF92">
    <cfRule type="expression" dxfId="174" priority="178">
      <formula>$J$8="No"</formula>
    </cfRule>
  </conditionalFormatting>
  <conditionalFormatting sqref="Y23:AD33">
    <cfRule type="expression" dxfId="173" priority="88">
      <formula>$J$5="No"</formula>
    </cfRule>
  </conditionalFormatting>
  <conditionalFormatting sqref="AD24">
    <cfRule type="expression" dxfId="172" priority="87">
      <formula>IF(AD24=0,FALSE, IF(AD24&gt;0.01,FALSE,TRUE))</formula>
    </cfRule>
  </conditionalFormatting>
  <conditionalFormatting sqref="AD23">
    <cfRule type="expression" dxfId="171" priority="86">
      <formula>IF(AD23=0,FALSE, IF(AD23&gt;0.01,FALSE,TRUE))</formula>
    </cfRule>
  </conditionalFormatting>
  <conditionalFormatting sqref="AD25">
    <cfRule type="expression" dxfId="170" priority="85">
      <formula>IF(AD25=0,FALSE, IF(AD25&gt;0.01,FALSE,TRUE))</formula>
    </cfRule>
  </conditionalFormatting>
  <conditionalFormatting sqref="AD26">
    <cfRule type="expression" dxfId="169" priority="84">
      <formula>IF(AD26=0,FALSE, IF(AD26&gt;0.01,FALSE,TRUE))</formula>
    </cfRule>
  </conditionalFormatting>
  <conditionalFormatting sqref="AD27">
    <cfRule type="expression" dxfId="168" priority="83">
      <formula>IF(AD27=0,FALSE, IF(AD27&gt;0.01,FALSE,TRUE))</formula>
    </cfRule>
  </conditionalFormatting>
  <conditionalFormatting sqref="AD28">
    <cfRule type="expression" dxfId="167" priority="82">
      <formula>IF(AD28=0,FALSE, IF(AD28&gt;0.01,FALSE,TRUE))</formula>
    </cfRule>
  </conditionalFormatting>
  <conditionalFormatting sqref="AD29">
    <cfRule type="expression" dxfId="166" priority="81">
      <formula>IF(AD29=0,FALSE, IF(AD29&gt;0.01,FALSE,TRUE))</formula>
    </cfRule>
  </conditionalFormatting>
  <conditionalFormatting sqref="AD30">
    <cfRule type="expression" dxfId="165" priority="80">
      <formula>IF(AD30=0,FALSE, IF(AD30&gt;0.01,FALSE,TRUE))</formula>
    </cfRule>
  </conditionalFormatting>
  <conditionalFormatting sqref="AD31">
    <cfRule type="expression" dxfId="164" priority="79">
      <formula>IF(AD31=0,FALSE, IF(AD31&gt;0.01,FALSE,TRUE))</formula>
    </cfRule>
  </conditionalFormatting>
  <conditionalFormatting sqref="AD32">
    <cfRule type="expression" dxfId="163" priority="78">
      <formula>IF(AD32=0,FALSE, IF(AD32&gt;0.01,FALSE,TRUE))</formula>
    </cfRule>
  </conditionalFormatting>
  <conditionalFormatting sqref="Y39:AD53">
    <cfRule type="expression" dxfId="162" priority="77">
      <formula>$J$6="No"</formula>
    </cfRule>
  </conditionalFormatting>
  <conditionalFormatting sqref="AD39">
    <cfRule type="expression" dxfId="161" priority="76">
      <formula>$J$6="No"</formula>
    </cfRule>
  </conditionalFormatting>
  <conditionalFormatting sqref="AD39">
    <cfRule type="expression" dxfId="160" priority="75">
      <formula>IF(AD39=0,FALSE, IF(AD39&gt;0.01,FALSE,TRUE))</formula>
    </cfRule>
  </conditionalFormatting>
  <conditionalFormatting sqref="AD40">
    <cfRule type="expression" dxfId="159" priority="74">
      <formula>$J$6="No"</formula>
    </cfRule>
  </conditionalFormatting>
  <conditionalFormatting sqref="AD40">
    <cfRule type="expression" dxfId="158" priority="73">
      <formula>IF(AD40=0,FALSE, IF(AD40&gt;0.01,FALSE,TRUE))</formula>
    </cfRule>
  </conditionalFormatting>
  <conditionalFormatting sqref="AD41">
    <cfRule type="expression" dxfId="157" priority="72">
      <formula>$J$6="No"</formula>
    </cfRule>
  </conditionalFormatting>
  <conditionalFormatting sqref="AD41">
    <cfRule type="expression" dxfId="156" priority="71">
      <formula>IF(AD41=0,FALSE, IF(AD41&gt;0.01,FALSE,TRUE))</formula>
    </cfRule>
  </conditionalFormatting>
  <conditionalFormatting sqref="AD42">
    <cfRule type="expression" dxfId="155" priority="70">
      <formula>$J$6="No"</formula>
    </cfRule>
  </conditionalFormatting>
  <conditionalFormatting sqref="AD42">
    <cfRule type="expression" dxfId="154" priority="69">
      <formula>IF(AD42=0,FALSE, IF(AD42&gt;0.01,FALSE,TRUE))</formula>
    </cfRule>
  </conditionalFormatting>
  <conditionalFormatting sqref="AD43">
    <cfRule type="expression" dxfId="153" priority="68">
      <formula>$J$6="No"</formula>
    </cfRule>
  </conditionalFormatting>
  <conditionalFormatting sqref="AD43">
    <cfRule type="expression" dxfId="152" priority="67">
      <formula>IF(AD43=0,FALSE, IF(AD43&gt;0.01,FALSE,TRUE))</formula>
    </cfRule>
  </conditionalFormatting>
  <conditionalFormatting sqref="AD44">
    <cfRule type="expression" dxfId="151" priority="66">
      <formula>$J$6="No"</formula>
    </cfRule>
  </conditionalFormatting>
  <conditionalFormatting sqref="AD44">
    <cfRule type="expression" dxfId="150" priority="65">
      <formula>IF(AD44=0,FALSE, IF(AD44&gt;0.01,FALSE,TRUE))</formula>
    </cfRule>
  </conditionalFormatting>
  <conditionalFormatting sqref="AD45">
    <cfRule type="expression" dxfId="149" priority="64">
      <formula>$J$6="No"</formula>
    </cfRule>
  </conditionalFormatting>
  <conditionalFormatting sqref="AD45">
    <cfRule type="expression" dxfId="148" priority="63">
      <formula>IF(AD45=0,FALSE, IF(AD45&gt;0.01,FALSE,TRUE))</formula>
    </cfRule>
  </conditionalFormatting>
  <conditionalFormatting sqref="AD46">
    <cfRule type="expression" dxfId="147" priority="62">
      <formula>$J$6="No"</formula>
    </cfRule>
  </conditionalFormatting>
  <conditionalFormatting sqref="AD46">
    <cfRule type="expression" dxfId="146" priority="61">
      <formula>IF(AD46=0,FALSE, IF(AD46&gt;0.01,FALSE,TRUE))</formula>
    </cfRule>
  </conditionalFormatting>
  <conditionalFormatting sqref="AD47">
    <cfRule type="expression" dxfId="145" priority="60">
      <formula>$J$6="No"</formula>
    </cfRule>
  </conditionalFormatting>
  <conditionalFormatting sqref="AD47">
    <cfRule type="expression" dxfId="144" priority="59">
      <formula>IF(AD47=0,FALSE, IF(AD47&gt;0.01,FALSE,TRUE))</formula>
    </cfRule>
  </conditionalFormatting>
  <conditionalFormatting sqref="AD48">
    <cfRule type="expression" dxfId="143" priority="58">
      <formula>$J$6="No"</formula>
    </cfRule>
  </conditionalFormatting>
  <conditionalFormatting sqref="AD48">
    <cfRule type="expression" dxfId="142" priority="57">
      <formula>IF(AD48=0,FALSE, IF(AD48&gt;0.01,FALSE,TRUE))</formula>
    </cfRule>
  </conditionalFormatting>
  <conditionalFormatting sqref="AD49">
    <cfRule type="expression" dxfId="141" priority="56">
      <formula>$J$6="No"</formula>
    </cfRule>
  </conditionalFormatting>
  <conditionalFormatting sqref="AD49">
    <cfRule type="expression" dxfId="140" priority="55">
      <formula>IF(AD49=0,FALSE, IF(AD49&gt;0.01,FALSE,TRUE))</formula>
    </cfRule>
  </conditionalFormatting>
  <conditionalFormatting sqref="AD50">
    <cfRule type="expression" dxfId="139" priority="54">
      <formula>$J$6="No"</formula>
    </cfRule>
  </conditionalFormatting>
  <conditionalFormatting sqref="AD50">
    <cfRule type="expression" dxfId="138" priority="53">
      <formula>IF(AD50=0,FALSE, IF(AD50&gt;0.01,FALSE,TRUE))</formula>
    </cfRule>
  </conditionalFormatting>
  <conditionalFormatting sqref="AD51">
    <cfRule type="expression" dxfId="137" priority="52">
      <formula>$J$6="No"</formula>
    </cfRule>
  </conditionalFormatting>
  <conditionalFormatting sqref="AD51">
    <cfRule type="expression" dxfId="136" priority="51">
      <formula>IF(AD51=0,FALSE, IF(AD51&gt;0.01,FALSE,TRUE))</formula>
    </cfRule>
  </conditionalFormatting>
  <conditionalFormatting sqref="AD52">
    <cfRule type="expression" dxfId="135" priority="50">
      <formula>$J$6="No"</formula>
    </cfRule>
  </conditionalFormatting>
  <conditionalFormatting sqref="AD52">
    <cfRule type="expression" dxfId="134" priority="49">
      <formula>IF(AD52=0,FALSE, IF(AD52&gt;0.01,FALSE,TRUE))</formula>
    </cfRule>
  </conditionalFormatting>
  <conditionalFormatting sqref="Y57:AD60">
    <cfRule type="expression" dxfId="133" priority="48">
      <formula>$J$6="No"</formula>
    </cfRule>
  </conditionalFormatting>
  <conditionalFormatting sqref="Y60:AD60">
    <cfRule type="expression" dxfId="132" priority="47">
      <formula>$J$5="No"</formula>
    </cfRule>
  </conditionalFormatting>
  <conditionalFormatting sqref="AD57">
    <cfRule type="expression" dxfId="131" priority="46">
      <formula>IF(AD57=0,FALSE, IF(AD57&gt;0.01,FALSE,TRUE))</formula>
    </cfRule>
  </conditionalFormatting>
  <conditionalFormatting sqref="AD58">
    <cfRule type="expression" dxfId="130" priority="45">
      <formula>$J$6="No"</formula>
    </cfRule>
  </conditionalFormatting>
  <conditionalFormatting sqref="AD58">
    <cfRule type="expression" dxfId="129" priority="44">
      <formula>IF(AD58=0,FALSE, IF(AD58&gt;0.01,FALSE,TRUE))</formula>
    </cfRule>
  </conditionalFormatting>
  <conditionalFormatting sqref="AD59">
    <cfRule type="expression" dxfId="128" priority="43">
      <formula>$J$6="No"</formula>
    </cfRule>
  </conditionalFormatting>
  <conditionalFormatting sqref="AD59">
    <cfRule type="expression" dxfId="127" priority="42">
      <formula>IF(AD59=0,FALSE, IF(AD59&gt;0.01,FALSE,TRUE))</formula>
    </cfRule>
  </conditionalFormatting>
  <conditionalFormatting sqref="Y66:AC70">
    <cfRule type="expression" dxfId="126" priority="41">
      <formula>$J$6="No"</formula>
    </cfRule>
  </conditionalFormatting>
  <conditionalFormatting sqref="Y66:AD71">
    <cfRule type="expression" dxfId="125" priority="40">
      <formula>$J$7="No"</formula>
    </cfRule>
  </conditionalFormatting>
  <conditionalFormatting sqref="AD66">
    <cfRule type="expression" dxfId="124" priority="39">
      <formula>IF(AD66=0,FALSE, IF(AD66&gt;0.01,FALSE,TRUE))</formula>
    </cfRule>
  </conditionalFormatting>
  <conditionalFormatting sqref="AD67">
    <cfRule type="expression" dxfId="123" priority="38">
      <formula>IF(AD67=0,FALSE, IF(AD67&gt;0.01,FALSE,TRUE))</formula>
    </cfRule>
  </conditionalFormatting>
  <conditionalFormatting sqref="AD69">
    <cfRule type="expression" dxfId="122" priority="37">
      <formula>IF(AD69=0,FALSE, IF(AD69&gt;0.01,FALSE,TRUE))</formula>
    </cfRule>
  </conditionalFormatting>
  <conditionalFormatting sqref="AD68">
    <cfRule type="expression" dxfId="121" priority="36">
      <formula>IF(AD68=0,FALSE, IF(AD68&gt;0.01,FALSE,TRUE))</formula>
    </cfRule>
  </conditionalFormatting>
  <conditionalFormatting sqref="AD70">
    <cfRule type="expression" dxfId="120" priority="35">
      <formula>IF(AD70=0,FALSE, IF(AD70&gt;0.01,FALSE,TRUE))</formula>
    </cfRule>
  </conditionalFormatting>
  <conditionalFormatting sqref="Y77:AD77 Y83:AD83">
    <cfRule type="expression" dxfId="119" priority="30">
      <formula>$B$78="燃費法"</formula>
    </cfRule>
  </conditionalFormatting>
  <conditionalFormatting sqref="Y77:AD79">
    <cfRule type="expression" dxfId="118" priority="34">
      <formula>$B$78="改良トンキロ法"</formula>
    </cfRule>
  </conditionalFormatting>
  <conditionalFormatting sqref="Y77:AC77">
    <cfRule type="expression" dxfId="117" priority="33">
      <formula>$J$6="No"</formula>
    </cfRule>
  </conditionalFormatting>
  <conditionalFormatting sqref="Y77:AD88">
    <cfRule type="expression" dxfId="116" priority="32">
      <formula>$J$8="No"</formula>
    </cfRule>
  </conditionalFormatting>
  <conditionalFormatting sqref="AD77">
    <cfRule type="expression" dxfId="115" priority="31">
      <formula>IF(AD77=0,FALSE, IF(AD77&gt;0.01,FALSE,TRUE))</formula>
    </cfRule>
  </conditionalFormatting>
  <conditionalFormatting sqref="Y79:AD83">
    <cfRule type="expression" dxfId="114" priority="29">
      <formula>$B$78="燃料法"</formula>
    </cfRule>
  </conditionalFormatting>
  <conditionalFormatting sqref="AD79">
    <cfRule type="expression" dxfId="113" priority="28">
      <formula>IF(AD79=0,FALSE, IF(AD79&gt;0.01,FALSE,TRUE))</formula>
    </cfRule>
  </conditionalFormatting>
  <conditionalFormatting sqref="AD83">
    <cfRule type="expression" dxfId="112" priority="27">
      <formula>IF(AD83=0,FALSE, IF(AD83&gt;0.01,FALSE,TRUE))</formula>
    </cfRule>
  </conditionalFormatting>
  <conditionalFormatting sqref="Y94:AD98">
    <cfRule type="expression" dxfId="111" priority="26">
      <formula>$J$9="No"</formula>
    </cfRule>
  </conditionalFormatting>
  <conditionalFormatting sqref="AD94">
    <cfRule type="expression" dxfId="110" priority="25">
      <formula>IF(AD94=0,FALSE, IF(AD94&gt;0.01,FALSE,TRUE))</formula>
    </cfRule>
  </conditionalFormatting>
  <conditionalFormatting sqref="AD95">
    <cfRule type="expression" dxfId="109" priority="24">
      <formula>IF(AD95=0,FALSE, IF(AD95&gt;0.01,FALSE,TRUE))</formula>
    </cfRule>
  </conditionalFormatting>
  <conditionalFormatting sqref="AD96">
    <cfRule type="expression" dxfId="108" priority="23">
      <formula>IF(AD96=0,FALSE, IF(AD96&gt;0.01,FALSE,TRUE))</formula>
    </cfRule>
  </conditionalFormatting>
  <conditionalFormatting sqref="AD97">
    <cfRule type="expression" dxfId="107" priority="22">
      <formula>IF(AD97=0,FALSE, IF(AD97&gt;0.01,FALSE,TRUE))</formula>
    </cfRule>
  </conditionalFormatting>
  <conditionalFormatting sqref="Y104:AD107">
    <cfRule type="expression" dxfId="106" priority="21">
      <formula>$J$10="No"</formula>
    </cfRule>
  </conditionalFormatting>
  <conditionalFormatting sqref="AD104">
    <cfRule type="expression" dxfId="105" priority="20">
      <formula>$J$9="No"</formula>
    </cfRule>
  </conditionalFormatting>
  <conditionalFormatting sqref="AD104">
    <cfRule type="expression" dxfId="104" priority="19">
      <formula>IF(AD104=0,FALSE, IF(AD104&gt;0.01,FALSE,TRUE))</formula>
    </cfRule>
  </conditionalFormatting>
  <conditionalFormatting sqref="AD105">
    <cfRule type="expression" dxfId="103" priority="18">
      <formula>$J$9="No"</formula>
    </cfRule>
  </conditionalFormatting>
  <conditionalFormatting sqref="AD105">
    <cfRule type="expression" dxfId="102" priority="17">
      <formula>IF(AD105=0,FALSE, IF(AD105&gt;0.01,FALSE,TRUE))</formula>
    </cfRule>
  </conditionalFormatting>
  <conditionalFormatting sqref="AD106">
    <cfRule type="expression" dxfId="101" priority="16">
      <formula>$J$9="No"</formula>
    </cfRule>
  </conditionalFormatting>
  <conditionalFormatting sqref="AD106">
    <cfRule type="expression" dxfId="100" priority="15">
      <formula>IF(AD106=0,FALSE, IF(AD106&gt;0.01,FALSE,TRUE))</formula>
    </cfRule>
  </conditionalFormatting>
  <conditionalFormatting sqref="AD113">
    <cfRule type="expression" dxfId="99" priority="14">
      <formula>IF(AD113=0,FALSE, IF(AD113&gt;0.01,FALSE,TRUE))</formula>
    </cfRule>
  </conditionalFormatting>
  <conditionalFormatting sqref="AD114">
    <cfRule type="expression" dxfId="98" priority="13">
      <formula>IF(AD114=0,FALSE, IF(AD114&gt;0.01,FALSE,TRUE))</formula>
    </cfRule>
  </conditionalFormatting>
  <conditionalFormatting sqref="AD115">
    <cfRule type="expression" dxfId="97" priority="12">
      <formula>IF(AD115=0,FALSE, IF(AD115&gt;0.01,FALSE,TRUE))</formula>
    </cfRule>
  </conditionalFormatting>
  <conditionalFormatting sqref="AD116">
    <cfRule type="expression" dxfId="96" priority="11">
      <formula>IF(AD116=0,FALSE, IF(AD116&gt;0.01,FALSE,TRUE))</formula>
    </cfRule>
  </conditionalFormatting>
  <conditionalFormatting sqref="AD117">
    <cfRule type="expression" dxfId="95" priority="10">
      <formula>IF(AD117=0,FALSE, IF(AD117&gt;0.01,FALSE,TRUE))</formula>
    </cfRule>
  </conditionalFormatting>
  <conditionalFormatting sqref="AD118">
    <cfRule type="expression" dxfId="94" priority="9">
      <formula>IF(AD118=0,FALSE, IF(AD118&gt;0.01,FALSE,TRUE))</formula>
    </cfRule>
  </conditionalFormatting>
  <conditionalFormatting sqref="AD119">
    <cfRule type="expression" dxfId="93" priority="8">
      <formula>IF(AD119=0,FALSE, IF(AD119&gt;0.01,FALSE,TRUE))</formula>
    </cfRule>
  </conditionalFormatting>
  <conditionalFormatting sqref="AD120">
    <cfRule type="expression" dxfId="92" priority="7">
      <formula>IF(AD120=0,FALSE, IF(AD120&gt;0.01,FALSE,TRUE))</formula>
    </cfRule>
  </conditionalFormatting>
  <conditionalFormatting sqref="AD121">
    <cfRule type="expression" dxfId="91" priority="6">
      <formula>IF(AD121=0,FALSE, IF(AD121&gt;0.01,FALSE,TRUE))</formula>
    </cfRule>
  </conditionalFormatting>
  <conditionalFormatting sqref="AD122">
    <cfRule type="expression" dxfId="90" priority="5">
      <formula>IF(AD122=0,FALSE, IF(AD122&gt;0.01,FALSE,TRUE))</formula>
    </cfRule>
  </conditionalFormatting>
  <conditionalFormatting sqref="Y127:AC129">
    <cfRule type="expression" dxfId="89" priority="4">
      <formula>$J$10="No"</formula>
    </cfRule>
  </conditionalFormatting>
  <conditionalFormatting sqref="AD127">
    <cfRule type="expression" dxfId="88" priority="3">
      <formula>IF(AD127=0,FALSE, IF(AD127&gt;0.01,FALSE,TRUE))</formula>
    </cfRule>
  </conditionalFormatting>
  <conditionalFormatting sqref="AD128">
    <cfRule type="expression" dxfId="87" priority="2">
      <formula>IF(AD128=0,FALSE, IF(AD128&gt;0.01,FALSE,TRUE))</formula>
    </cfRule>
  </conditionalFormatting>
  <conditionalFormatting sqref="AD129">
    <cfRule type="expression" dxfId="86" priority="1">
      <formula>IF(AD129=0,FALSE, IF(AD129&gt;0.01,FALSE,TRUE))</formula>
    </cfRule>
  </conditionalFormatting>
  <dataValidations count="16">
    <dataValidation allowBlank="1" showInputMessage="1" showErrorMessage="1" prompt="計測値と同じ単位に合わせて入力してください" sqref="N139:N141"/>
    <dataValidation type="decimal" allowBlank="1" showInputMessage="1" showErrorMessage="1" error="0から1までの数値を入力してください。" sqref="O139:O141">
      <formula1>0</formula1>
      <formula2>1</formula2>
    </dataValidation>
    <dataValidation type="whole" allowBlank="1" showInputMessage="1" showErrorMessage="1" sqref="F86:J86">
      <formula1>0</formula1>
      <formula2>100</formula2>
    </dataValidation>
    <dataValidation type="list" allowBlank="1" showInputMessage="1" showErrorMessage="1" sqref="J5:J11">
      <formula1>"Yes, No"</formula1>
    </dataValidation>
    <dataValidation allowBlank="1" showInputMessage="1" showErrorMessage="1" promptTitle="廃棄物とは" prompt="産業廃棄物として処理委託している場合、当該項目にデータを入力します。_x000a_また、廃水処理を外部委託している場合など、廃水処理に伴うエネルギー等がユーティリティの項目に含まれていない場合も当該項目にてデータを入力します。" sqref="G9:I9 B96:C96"/>
    <dataValidation allowBlank="1" showInputMessage="1" showErrorMessage="1" promptTitle="原材料とは" prompt="最終製品の原料となるものを指します。（記載区分の判断に迷うものは、適切と思われる区分に記載してください。ユーティリティ、副資材の項目に記載しても合計値に変化はありません）" sqref="G5:I5"/>
    <dataValidation allowBlank="1" showInputMessage="1" showErrorMessage="1" promptTitle="プロセスの区分" prompt="プロセス区分は、データ収集・管理をしやすい大きさで適宜設定しください。" sqref="B13:K13"/>
    <dataValidation allowBlank="1" showInputMessage="1" showErrorMessage="1" promptTitle="活動量とは" prompt="供給量あたりの原材料使用量" sqref="F21:K21"/>
    <dataValidation allowBlank="1" showInputMessage="1" showErrorMessage="1" promptTitle="活動量とは" prompt="供給量あたりの再生可能エネルギー使用量" sqref="F55:K55"/>
    <dataValidation allowBlank="1" showInputMessage="1" showErrorMessage="1" promptTitle="活動量とは" prompt="供給量あたりの温室効果ガス排出量" sqref="F102:K102"/>
    <dataValidation allowBlank="1" showInputMessage="1" showErrorMessage="1" promptTitle="活動量とは" prompt="供給量あたりの廃棄物処理量" sqref="F92:K92"/>
    <dataValidation allowBlank="1" showInputMessage="1" showErrorMessage="1" promptTitle="活動量とは" prompt="供給量あたりの輸送量" sqref="F75:K75"/>
    <dataValidation allowBlank="1" showInputMessage="1" showErrorMessage="1" promptTitle="活動量とは" prompt="供給量あたりの副資材使用量" sqref="F64:K64"/>
    <dataValidation allowBlank="1" showInputMessage="1" showErrorMessage="1" promptTitle="活動量とは" prompt="供給量あたりのユーティリティ使用量" sqref="F37:K37"/>
    <dataValidation allowBlank="1" showInputMessage="1" showErrorMessage="1" promptTitle="副資材とは" prompt="最終製品に残らない投入物を指します。（記載区分の判断に迷うものは、適切と思われる区分に記載してください。原材料、ユーティリティの項目に記載しても合計値に変化はありません）" sqref="G7:I7"/>
    <dataValidation type="list" allowBlank="1" showInputMessage="1" showErrorMessage="1" sqref="B23:D32">
      <formula1>$B$11:$B$59</formula1>
    </dataValidation>
  </dataValidations>
  <printOptions horizontalCentered="1" verticalCentered="1"/>
  <pageMargins left="0.70866141732283472" right="0.70866141732283472" top="0.74803149606299213" bottom="0.74803149606299213" header="0.31496062992125984" footer="0.31496062992125984"/>
  <pageSetup paperSize="9" scale="16" orientation="landscape" r:id="rId1"/>
  <headerFooter scaleWithDoc="0">
    <oddHeader xml:space="preserve">&amp;R&amp;A </oddHeader>
    <oddFooter>&amp;C&amp;P/&amp;N</oddFooter>
  </headerFooter>
  <ignoredErrors>
    <ignoredError sqref="F202:J202 K49" formula="1"/>
  </ignoredErrors>
  <drawing r:id="rId2"/>
  <extLst>
    <ext xmlns:x14="http://schemas.microsoft.com/office/spreadsheetml/2009/9/main" uri="{78C0D931-6437-407d-A8EE-F0AAD7539E65}">
      <x14:conditionalFormattings>
        <x14:conditionalFormatting xmlns:xm="http://schemas.microsoft.com/office/excel/2006/main">
          <x14:cfRule type="dataBar" id="{9C4972A7-C5BD-464F-BFA4-CCC37397F924}">
            <x14:dataBar minLength="0" maxLength="100" gradient="0">
              <x14:cfvo type="percent">
                <xm:f>"S13/S$109"</xm:f>
              </x14:cfvo>
              <x14:cfvo type="percent">
                <xm:f>"S13/S$109"</xm:f>
              </x14:cfvo>
              <x14:negativeFillColor rgb="FFFF0000"/>
              <x14:axisColor rgb="FF000000"/>
            </x14:dataBar>
          </x14:cfRule>
          <xm:sqref>S130:X130 X127:X129</xm:sqref>
        </x14:conditionalFormatting>
        <x14:conditionalFormatting xmlns:xm="http://schemas.microsoft.com/office/excel/2006/main">
          <x14:cfRule type="dataBar" id="{EF865232-DA71-4E69-8B0E-0DD5C24DC0D1}">
            <x14:dataBar minLength="0" maxLength="100" gradient="0">
              <x14:cfvo type="num">
                <xm:f>0</xm:f>
              </x14:cfvo>
              <x14:cfvo type="num">
                <xm:f>$S$156</xm:f>
              </x14:cfvo>
              <x14:negativeFillColor rgb="FFFF0000"/>
              <x14:axisColor theme="0"/>
            </x14:dataBar>
          </x14:cfRule>
          <xm:sqref>S127:S129 S57:S59 S77 S23:S32</xm:sqref>
        </x14:conditionalFormatting>
        <x14:conditionalFormatting xmlns:xm="http://schemas.microsoft.com/office/excel/2006/main">
          <x14:cfRule type="dataBar" id="{7CA78DE6-2B58-41DD-861C-FCB076289C70}">
            <x14:dataBar minLength="0" maxLength="100" gradient="0">
              <x14:cfvo type="num">
                <xm:f>0</xm:f>
              </x14:cfvo>
              <x14:cfvo type="num">
                <xm:f>$T$156</xm:f>
              </x14:cfvo>
              <x14:negativeFillColor rgb="FFFF0000"/>
              <x14:axisColor theme="0"/>
            </x14:dataBar>
          </x14:cfRule>
          <xm:sqref>T127:T129 T57:T59 T83 T23:T32</xm:sqref>
        </x14:conditionalFormatting>
        <x14:conditionalFormatting xmlns:xm="http://schemas.microsoft.com/office/excel/2006/main">
          <x14:cfRule type="dataBar" id="{5066D1B4-9C4F-433F-9DFE-DCF32076EFE0}">
            <x14:dataBar minLength="0" maxLength="100" gradient="0" negativeBarColorSameAsPositive="1">
              <x14:cfvo type="num">
                <xm:f>0</xm:f>
              </x14:cfvo>
              <x14:cfvo type="num">
                <xm:f>$U$156</xm:f>
              </x14:cfvo>
              <x14:axisColor theme="0"/>
            </x14:dataBar>
          </x14:cfRule>
          <xm:sqref>U127:U129 U57:U59 U83 U23:U32</xm:sqref>
        </x14:conditionalFormatting>
        <x14:conditionalFormatting xmlns:xm="http://schemas.microsoft.com/office/excel/2006/main">
          <x14:cfRule type="dataBar" id="{E25EF2F8-D0CB-41AE-B23E-3B387CCFB733}">
            <x14:dataBar minLength="0" maxLength="100" gradient="0">
              <x14:cfvo type="num">
                <xm:f>0</xm:f>
              </x14:cfvo>
              <x14:cfvo type="num">
                <xm:f>$V$156</xm:f>
              </x14:cfvo>
              <x14:negativeFillColor rgb="FFFF0000"/>
              <x14:axisColor theme="0"/>
            </x14:dataBar>
          </x14:cfRule>
          <xm:sqref>V127:V129 V57:V59 V83 V23:V32</xm:sqref>
        </x14:conditionalFormatting>
        <x14:conditionalFormatting xmlns:xm="http://schemas.microsoft.com/office/excel/2006/main">
          <x14:cfRule type="dataBar" id="{4D667F47-D5D3-44C9-BBB7-1573C2649BAF}">
            <x14:dataBar minLength="0" maxLength="100" gradient="0">
              <x14:cfvo type="num">
                <xm:f>0</xm:f>
              </x14:cfvo>
              <x14:cfvo type="num">
                <xm:f>$W$156</xm:f>
              </x14:cfvo>
              <x14:negativeFillColor rgb="FFFF0000"/>
              <x14:axisColor theme="0"/>
            </x14:dataBar>
          </x14:cfRule>
          <xm:sqref>W127:W129 W57:W59 W79 W23:W32</xm:sqref>
        </x14:conditionalFormatting>
        <x14:conditionalFormatting xmlns:xm="http://schemas.microsoft.com/office/excel/2006/main">
          <x14:cfRule type="dataBar" id="{EF6FBE42-E994-4C23-AFD3-80206955589A}">
            <x14:dataBar minLength="0" maxLength="100" gradient="0">
              <x14:cfvo type="num">
                <xm:f>0</xm:f>
              </x14:cfvo>
              <x14:cfvo type="num">
                <xm:f>$S$156</xm:f>
              </x14:cfvo>
              <x14:negativeFillColor rgb="FFFF0000"/>
              <x14:axisColor theme="0"/>
            </x14:dataBar>
          </x14:cfRule>
          <xm:sqref>S127:S129</xm:sqref>
        </x14:conditionalFormatting>
        <x14:conditionalFormatting xmlns:xm="http://schemas.microsoft.com/office/excel/2006/main">
          <x14:cfRule type="dataBar" id="{78DFDC75-5616-4E31-830C-8B7B7B3B1D34}">
            <x14:dataBar minLength="0" maxLength="100" gradient="0">
              <x14:cfvo type="num">
                <xm:f>0</xm:f>
              </x14:cfvo>
              <x14:cfvo type="num">
                <xm:f>$T$156</xm:f>
              </x14:cfvo>
              <x14:negativeFillColor rgb="FFFF0000"/>
              <x14:axisColor theme="0"/>
            </x14:dataBar>
          </x14:cfRule>
          <xm:sqref>T127:T129</xm:sqref>
        </x14:conditionalFormatting>
        <x14:conditionalFormatting xmlns:xm="http://schemas.microsoft.com/office/excel/2006/main">
          <x14:cfRule type="dataBar" id="{423B2C9E-D8CC-4E3A-A338-6D3CD1B62C2B}">
            <x14:dataBar minLength="0" maxLength="100" gradient="0" negativeBarColorSameAsPositive="1">
              <x14:cfvo type="num">
                <xm:f>0</xm:f>
              </x14:cfvo>
              <x14:cfvo type="num">
                <xm:f>$U$156</xm:f>
              </x14:cfvo>
              <x14:axisColor theme="0"/>
            </x14:dataBar>
          </x14:cfRule>
          <xm:sqref>U127:U129</xm:sqref>
        </x14:conditionalFormatting>
        <x14:conditionalFormatting xmlns:xm="http://schemas.microsoft.com/office/excel/2006/main">
          <x14:cfRule type="dataBar" id="{8BE6AD1C-44F8-4149-AF46-E584D6FA858D}">
            <x14:dataBar minLength="0" maxLength="100" gradient="0">
              <x14:cfvo type="num">
                <xm:f>0</xm:f>
              </x14:cfvo>
              <x14:cfvo type="num">
                <xm:f>$V$156</xm:f>
              </x14:cfvo>
              <x14:negativeFillColor rgb="FFFF0000"/>
              <x14:axisColor theme="0"/>
            </x14:dataBar>
          </x14:cfRule>
          <xm:sqref>V127:V129</xm:sqref>
        </x14:conditionalFormatting>
        <x14:conditionalFormatting xmlns:xm="http://schemas.microsoft.com/office/excel/2006/main">
          <x14:cfRule type="dataBar" id="{FDC86978-8A95-4F91-8284-533B25B34E53}">
            <x14:dataBar minLength="0" maxLength="100" gradient="0">
              <x14:cfvo type="num">
                <xm:f>0</xm:f>
              </x14:cfvo>
              <x14:cfvo type="num">
                <xm:f>$W$156</xm:f>
              </x14:cfvo>
              <x14:negativeFillColor rgb="FFFF0000"/>
              <x14:axisColor theme="0"/>
            </x14:dataBar>
          </x14:cfRule>
          <xm:sqref>W127:W129</xm:sqref>
        </x14:conditionalFormatting>
        <x14:conditionalFormatting xmlns:xm="http://schemas.microsoft.com/office/excel/2006/main">
          <x14:cfRule type="dataBar" id="{F1A3715F-3D71-454C-B5A3-541D3CE02C53}">
            <x14:dataBar minLength="0" maxLength="100" gradient="0">
              <x14:cfvo type="percent">
                <xm:f>"S13/S$109"</xm:f>
              </x14:cfvo>
              <x14:cfvo type="percent">
                <xm:f>"S13/S$109"</xm:f>
              </x14:cfvo>
              <x14:negativeFillColor rgb="FFFF0000"/>
              <x14:axisColor rgb="FF000000"/>
            </x14:dataBar>
          </x14:cfRule>
          <xm:sqref>S33:X33 X23:X32</xm:sqref>
        </x14:conditionalFormatting>
        <x14:conditionalFormatting xmlns:xm="http://schemas.microsoft.com/office/excel/2006/main">
          <x14:cfRule type="dataBar" id="{DA4DB6B2-78D7-4C24-B97D-E404480E4CB5}">
            <x14:dataBar minLength="0" maxLength="100" gradient="0">
              <x14:cfvo type="percent">
                <xm:f>"S13/S$109"</xm:f>
              </x14:cfvo>
              <x14:cfvo type="percent">
                <xm:f>"S13/S$109"</xm:f>
              </x14:cfvo>
              <x14:negativeFillColor rgb="FFFF0000"/>
              <x14:axisColor rgb="FF000000"/>
            </x14:dataBar>
          </x14:cfRule>
          <xm:sqref>S60:X60 X57:X59</xm:sqref>
        </x14:conditionalFormatting>
        <x14:conditionalFormatting xmlns:xm="http://schemas.microsoft.com/office/excel/2006/main">
          <x14:cfRule type="dataBar" id="{BB73A758-ADB8-4609-B40A-D4E8FE96BE94}">
            <x14:dataBar minLength="0" maxLength="100" gradient="0">
              <x14:cfvo type="num">
                <xm:f>0</xm:f>
              </x14:cfvo>
              <x14:cfvo type="num">
                <xm:f>$S$156</xm:f>
              </x14:cfvo>
              <x14:negativeFillColor rgb="FFFF0000"/>
              <x14:axisColor theme="0"/>
            </x14:dataBar>
          </x14:cfRule>
          <xm:sqref>S39:S52</xm:sqref>
        </x14:conditionalFormatting>
        <x14:conditionalFormatting xmlns:xm="http://schemas.microsoft.com/office/excel/2006/main">
          <x14:cfRule type="dataBar" id="{C1F39270-55F9-412D-817E-093A8C4F146B}">
            <x14:dataBar minLength="0" maxLength="100" gradient="0">
              <x14:cfvo type="num">
                <xm:f>0</xm:f>
              </x14:cfvo>
              <x14:cfvo type="num">
                <xm:f>$T$156</xm:f>
              </x14:cfvo>
              <x14:negativeFillColor rgb="FFFF0000"/>
              <x14:axisColor theme="0"/>
            </x14:dataBar>
          </x14:cfRule>
          <xm:sqref>T39:T52</xm:sqref>
        </x14:conditionalFormatting>
        <x14:conditionalFormatting xmlns:xm="http://schemas.microsoft.com/office/excel/2006/main">
          <x14:cfRule type="dataBar" id="{87C8E39F-9D8F-44DB-A9F1-3589430B0294}">
            <x14:dataBar minLength="0" maxLength="100" gradient="0" negativeBarColorSameAsPositive="1">
              <x14:cfvo type="num">
                <xm:f>0</xm:f>
              </x14:cfvo>
              <x14:cfvo type="num">
                <xm:f>$U$156</xm:f>
              </x14:cfvo>
              <x14:axisColor theme="0"/>
            </x14:dataBar>
          </x14:cfRule>
          <xm:sqref>U39:U52</xm:sqref>
        </x14:conditionalFormatting>
        <x14:conditionalFormatting xmlns:xm="http://schemas.microsoft.com/office/excel/2006/main">
          <x14:cfRule type="dataBar" id="{39993679-5345-4837-A2EF-D642E36FB719}">
            <x14:dataBar minLength="0" maxLength="100" gradient="0">
              <x14:cfvo type="num">
                <xm:f>0</xm:f>
              </x14:cfvo>
              <x14:cfvo type="num">
                <xm:f>$V$156</xm:f>
              </x14:cfvo>
              <x14:negativeFillColor rgb="FFFF0000"/>
              <x14:axisColor theme="0"/>
            </x14:dataBar>
          </x14:cfRule>
          <xm:sqref>V39:V52</xm:sqref>
        </x14:conditionalFormatting>
        <x14:conditionalFormatting xmlns:xm="http://schemas.microsoft.com/office/excel/2006/main">
          <x14:cfRule type="dataBar" id="{8676B1DE-BBB5-496C-87CE-1702036A5FAE}">
            <x14:dataBar minLength="0" maxLength="100" gradient="0">
              <x14:cfvo type="num">
                <xm:f>0</xm:f>
              </x14:cfvo>
              <x14:cfvo type="num">
                <xm:f>$W$156</xm:f>
              </x14:cfvo>
              <x14:negativeFillColor rgb="FFFF0000"/>
              <x14:axisColor theme="0"/>
            </x14:dataBar>
          </x14:cfRule>
          <xm:sqref>W39:W52</xm:sqref>
        </x14:conditionalFormatting>
        <x14:conditionalFormatting xmlns:xm="http://schemas.microsoft.com/office/excel/2006/main">
          <x14:cfRule type="dataBar" id="{6DEFD725-75D1-4347-9C74-77E09868B498}">
            <x14:dataBar minLength="0" maxLength="100" gradient="0">
              <x14:cfvo type="num">
                <xm:f>0</xm:f>
              </x14:cfvo>
              <x14:cfvo type="num">
                <xm:f>$S$156</xm:f>
              </x14:cfvo>
              <x14:negativeFillColor rgb="FFFF0000"/>
              <x14:axisColor theme="0"/>
            </x14:dataBar>
          </x14:cfRule>
          <xm:sqref>S66:S70</xm:sqref>
        </x14:conditionalFormatting>
        <x14:conditionalFormatting xmlns:xm="http://schemas.microsoft.com/office/excel/2006/main">
          <x14:cfRule type="dataBar" id="{6F1E8E09-7B08-4C06-8212-A914E547B750}">
            <x14:dataBar minLength="0" maxLength="100" gradient="0">
              <x14:cfvo type="num">
                <xm:f>0</xm:f>
              </x14:cfvo>
              <x14:cfvo type="num">
                <xm:f>$T$156</xm:f>
              </x14:cfvo>
              <x14:negativeFillColor rgb="FFFF0000"/>
              <x14:axisColor theme="0"/>
            </x14:dataBar>
          </x14:cfRule>
          <xm:sqref>T66:T70</xm:sqref>
        </x14:conditionalFormatting>
        <x14:conditionalFormatting xmlns:xm="http://schemas.microsoft.com/office/excel/2006/main">
          <x14:cfRule type="dataBar" id="{0EE36787-A7B4-4CE0-9489-68A5BD211E13}">
            <x14:dataBar minLength="0" maxLength="100" gradient="0" negativeBarColorSameAsPositive="1">
              <x14:cfvo type="num">
                <xm:f>0</xm:f>
              </x14:cfvo>
              <x14:cfvo type="num">
                <xm:f>$U$156</xm:f>
              </x14:cfvo>
              <x14:axisColor theme="0"/>
            </x14:dataBar>
          </x14:cfRule>
          <xm:sqref>U66:U70</xm:sqref>
        </x14:conditionalFormatting>
        <x14:conditionalFormatting xmlns:xm="http://schemas.microsoft.com/office/excel/2006/main">
          <x14:cfRule type="dataBar" id="{38BB2611-84C0-41E8-8C7A-0496D80D3831}">
            <x14:dataBar minLength="0" maxLength="100" gradient="0">
              <x14:cfvo type="num">
                <xm:f>0</xm:f>
              </x14:cfvo>
              <x14:cfvo type="num">
                <xm:f>$V$156</xm:f>
              </x14:cfvo>
              <x14:negativeFillColor rgb="FFFF0000"/>
              <x14:axisColor theme="0"/>
            </x14:dataBar>
          </x14:cfRule>
          <xm:sqref>V66:V70</xm:sqref>
        </x14:conditionalFormatting>
        <x14:conditionalFormatting xmlns:xm="http://schemas.microsoft.com/office/excel/2006/main">
          <x14:cfRule type="dataBar" id="{F3F7D998-1EFE-40C1-AAB6-CDD011408162}">
            <x14:dataBar minLength="0" maxLength="100" gradient="0">
              <x14:cfvo type="num">
                <xm:f>0</xm:f>
              </x14:cfvo>
              <x14:cfvo type="num">
                <xm:f>$W$156</xm:f>
              </x14:cfvo>
              <x14:negativeFillColor rgb="FFFF0000"/>
              <x14:axisColor theme="0"/>
            </x14:dataBar>
          </x14:cfRule>
          <xm:sqref>W66:W70</xm:sqref>
        </x14:conditionalFormatting>
        <x14:conditionalFormatting xmlns:xm="http://schemas.microsoft.com/office/excel/2006/main">
          <x14:cfRule type="dataBar" id="{0F998271-22F2-4548-AD5D-ED8C40311109}">
            <x14:dataBar minLength="0" maxLength="100" gradient="0">
              <x14:cfvo type="num">
                <xm:f>0</xm:f>
              </x14:cfvo>
              <x14:cfvo type="num">
                <xm:f>$S$156</xm:f>
              </x14:cfvo>
              <x14:negativeFillColor rgb="FFFF0000"/>
              <x14:axisColor theme="0"/>
            </x14:dataBar>
          </x14:cfRule>
          <xm:sqref>S83</xm:sqref>
        </x14:conditionalFormatting>
        <x14:conditionalFormatting xmlns:xm="http://schemas.microsoft.com/office/excel/2006/main">
          <x14:cfRule type="dataBar" id="{5894D882-2FAD-41C8-96FB-3020EF4C3331}">
            <x14:dataBar minLength="0" maxLength="100" gradient="0">
              <x14:cfvo type="num">
                <xm:f>0</xm:f>
              </x14:cfvo>
              <x14:cfvo type="num">
                <xm:f>$T$156</xm:f>
              </x14:cfvo>
              <x14:negativeFillColor rgb="FFFF0000"/>
              <x14:axisColor theme="0"/>
            </x14:dataBar>
          </x14:cfRule>
          <xm:sqref>T77</xm:sqref>
        </x14:conditionalFormatting>
        <x14:conditionalFormatting xmlns:xm="http://schemas.microsoft.com/office/excel/2006/main">
          <x14:cfRule type="dataBar" id="{20294987-2DA7-474E-AC0A-4E29E947004B}">
            <x14:dataBar minLength="0" maxLength="100" gradient="0" negativeBarColorSameAsPositive="1">
              <x14:cfvo type="num">
                <xm:f>0</xm:f>
              </x14:cfvo>
              <x14:cfvo type="num">
                <xm:f>$U$156</xm:f>
              </x14:cfvo>
              <x14:axisColor theme="0"/>
            </x14:dataBar>
          </x14:cfRule>
          <xm:sqref>U79</xm:sqref>
        </x14:conditionalFormatting>
        <x14:conditionalFormatting xmlns:xm="http://schemas.microsoft.com/office/excel/2006/main">
          <x14:cfRule type="dataBar" id="{D2CA03DD-25F4-4B03-8AA0-8A9086452C00}">
            <x14:dataBar minLength="0" maxLength="100" gradient="0">
              <x14:cfvo type="num">
                <xm:f>0</xm:f>
              </x14:cfvo>
              <x14:cfvo type="num">
                <xm:f>$V$156</xm:f>
              </x14:cfvo>
              <x14:negativeFillColor rgb="FFFF0000"/>
              <x14:axisColor theme="0"/>
            </x14:dataBar>
          </x14:cfRule>
          <xm:sqref>V79</xm:sqref>
        </x14:conditionalFormatting>
        <x14:conditionalFormatting xmlns:xm="http://schemas.microsoft.com/office/excel/2006/main">
          <x14:cfRule type="dataBar" id="{4DD5DC07-474F-4B74-A101-2ACBD7E27021}">
            <x14:dataBar minLength="0" maxLength="100" gradient="0">
              <x14:cfvo type="num">
                <xm:f>0</xm:f>
              </x14:cfvo>
              <x14:cfvo type="num">
                <xm:f>$W$156</xm:f>
              </x14:cfvo>
              <x14:negativeFillColor rgb="FFFF0000"/>
              <x14:axisColor theme="0"/>
            </x14:dataBar>
          </x14:cfRule>
          <xm:sqref>W83</xm:sqref>
        </x14:conditionalFormatting>
        <x14:conditionalFormatting xmlns:xm="http://schemas.microsoft.com/office/excel/2006/main">
          <x14:cfRule type="dataBar" id="{B79E05A9-EE10-4563-8023-AD6DB6BFD5B1}">
            <x14:dataBar minLength="0" maxLength="100" gradient="0">
              <x14:cfvo type="num">
                <xm:f>0</xm:f>
              </x14:cfvo>
              <x14:cfvo type="num">
                <xm:f>$S$156</xm:f>
              </x14:cfvo>
              <x14:negativeFillColor rgb="FFFF0000"/>
              <x14:axisColor theme="0"/>
            </x14:dataBar>
          </x14:cfRule>
          <xm:sqref>S79</xm:sqref>
        </x14:conditionalFormatting>
        <x14:conditionalFormatting xmlns:xm="http://schemas.microsoft.com/office/excel/2006/main">
          <x14:cfRule type="dataBar" id="{64F9513C-3C9F-4CB1-B274-FA2EE9AC72C3}">
            <x14:dataBar minLength="0" maxLength="100" gradient="0">
              <x14:cfvo type="num">
                <xm:f>0</xm:f>
              </x14:cfvo>
              <x14:cfvo type="num">
                <xm:f>$T$156</xm:f>
              </x14:cfvo>
              <x14:negativeFillColor rgb="FFFF0000"/>
              <x14:axisColor theme="0"/>
            </x14:dataBar>
          </x14:cfRule>
          <xm:sqref>T79</xm:sqref>
        </x14:conditionalFormatting>
        <x14:conditionalFormatting xmlns:xm="http://schemas.microsoft.com/office/excel/2006/main">
          <x14:cfRule type="dataBar" id="{ABDA514C-5F0D-43F5-B514-CFA966E422BC}">
            <x14:dataBar minLength="0" maxLength="100" gradient="0" negativeBarColorSameAsPositive="1">
              <x14:cfvo type="num">
                <xm:f>0</xm:f>
              </x14:cfvo>
              <x14:cfvo type="num">
                <xm:f>$U$156</xm:f>
              </x14:cfvo>
              <x14:axisColor theme="0"/>
            </x14:dataBar>
          </x14:cfRule>
          <xm:sqref>U77</xm:sqref>
        </x14:conditionalFormatting>
        <x14:conditionalFormatting xmlns:xm="http://schemas.microsoft.com/office/excel/2006/main">
          <x14:cfRule type="dataBar" id="{7F45BE5B-BBD4-4291-8F07-44982962BB85}">
            <x14:dataBar minLength="0" maxLength="100" gradient="0">
              <x14:cfvo type="num">
                <xm:f>0</xm:f>
              </x14:cfvo>
              <x14:cfvo type="num">
                <xm:f>$V$156</xm:f>
              </x14:cfvo>
              <x14:negativeFillColor rgb="FFFF0000"/>
              <x14:axisColor theme="0"/>
            </x14:dataBar>
          </x14:cfRule>
          <xm:sqref>V77</xm:sqref>
        </x14:conditionalFormatting>
        <x14:conditionalFormatting xmlns:xm="http://schemas.microsoft.com/office/excel/2006/main">
          <x14:cfRule type="dataBar" id="{95A72F92-2925-4BB1-83C1-6D4F2478B84D}">
            <x14:dataBar minLength="0" maxLength="100" gradient="0">
              <x14:cfvo type="num">
                <xm:f>0</xm:f>
              </x14:cfvo>
              <x14:cfvo type="num">
                <xm:f>$W$156</xm:f>
              </x14:cfvo>
              <x14:negativeFillColor rgb="FFFF0000"/>
              <x14:axisColor theme="0"/>
            </x14:dataBar>
          </x14:cfRule>
          <xm:sqref>W77</xm:sqref>
        </x14:conditionalFormatting>
        <x14:conditionalFormatting xmlns:xm="http://schemas.microsoft.com/office/excel/2006/main">
          <x14:cfRule type="dataBar" id="{CADCFD57-3AC4-4966-8876-18449AABC151}">
            <x14:dataBar minLength="0" maxLength="100" gradient="0">
              <x14:cfvo type="num">
                <xm:f>0</xm:f>
              </x14:cfvo>
              <x14:cfvo type="num">
                <xm:f>$S$156</xm:f>
              </x14:cfvo>
              <x14:negativeFillColor rgb="FFFF0000"/>
              <x14:axisColor theme="0"/>
            </x14:dataBar>
          </x14:cfRule>
          <xm:sqref>S94:S97</xm:sqref>
        </x14:conditionalFormatting>
        <x14:conditionalFormatting xmlns:xm="http://schemas.microsoft.com/office/excel/2006/main">
          <x14:cfRule type="dataBar" id="{F3FA7CD6-14F2-4600-9F15-E05A062F9459}">
            <x14:dataBar minLength="0" maxLength="100" gradient="0">
              <x14:cfvo type="num">
                <xm:f>0</xm:f>
              </x14:cfvo>
              <x14:cfvo type="num">
                <xm:f>$T$156</xm:f>
              </x14:cfvo>
              <x14:negativeFillColor rgb="FFFF0000"/>
              <x14:axisColor theme="0"/>
            </x14:dataBar>
          </x14:cfRule>
          <xm:sqref>T94:T97</xm:sqref>
        </x14:conditionalFormatting>
        <x14:conditionalFormatting xmlns:xm="http://schemas.microsoft.com/office/excel/2006/main">
          <x14:cfRule type="dataBar" id="{4C5CF7D0-2A0C-4299-B76A-3251A8718EE6}">
            <x14:dataBar minLength="0" maxLength="100" gradient="0" negativeBarColorSameAsPositive="1">
              <x14:cfvo type="num">
                <xm:f>0</xm:f>
              </x14:cfvo>
              <x14:cfvo type="num">
                <xm:f>$U$156</xm:f>
              </x14:cfvo>
              <x14:axisColor theme="0"/>
            </x14:dataBar>
          </x14:cfRule>
          <xm:sqref>U94:U97</xm:sqref>
        </x14:conditionalFormatting>
        <x14:conditionalFormatting xmlns:xm="http://schemas.microsoft.com/office/excel/2006/main">
          <x14:cfRule type="dataBar" id="{1F1B066B-5D6F-48F9-AF4A-02C47702066B}">
            <x14:dataBar minLength="0" maxLength="100" gradient="0">
              <x14:cfvo type="num">
                <xm:f>0</xm:f>
              </x14:cfvo>
              <x14:cfvo type="num">
                <xm:f>$V$156</xm:f>
              </x14:cfvo>
              <x14:negativeFillColor rgb="FFFF0000"/>
              <x14:axisColor theme="0"/>
            </x14:dataBar>
          </x14:cfRule>
          <xm:sqref>V94:V97</xm:sqref>
        </x14:conditionalFormatting>
        <x14:conditionalFormatting xmlns:xm="http://schemas.microsoft.com/office/excel/2006/main">
          <x14:cfRule type="dataBar" id="{198DC6A1-35D5-4138-A7D2-541798946EE9}">
            <x14:dataBar minLength="0" maxLength="100" gradient="0">
              <x14:cfvo type="num">
                <xm:f>0</xm:f>
              </x14:cfvo>
              <x14:cfvo type="num">
                <xm:f>$W$156</xm:f>
              </x14:cfvo>
              <x14:negativeFillColor rgb="FFFF0000"/>
              <x14:axisColor theme="0"/>
            </x14:dataBar>
          </x14:cfRule>
          <xm:sqref>W94:W97</xm:sqref>
        </x14:conditionalFormatting>
        <x14:conditionalFormatting xmlns:xm="http://schemas.microsoft.com/office/excel/2006/main">
          <x14:cfRule type="dataBar" id="{A8FFCEAF-AF12-4E9C-A12F-EE48BFA3DDE2}">
            <x14:dataBar minLength="0" maxLength="100" gradient="0">
              <x14:cfvo type="num">
                <xm:f>0</xm:f>
              </x14:cfvo>
              <x14:cfvo type="num">
                <xm:f>$S$156</xm:f>
              </x14:cfvo>
              <x14:negativeFillColor rgb="FFFF0000"/>
              <x14:axisColor theme="0"/>
            </x14:dataBar>
          </x14:cfRule>
          <xm:sqref>S104:S106</xm:sqref>
        </x14:conditionalFormatting>
        <x14:conditionalFormatting xmlns:xm="http://schemas.microsoft.com/office/excel/2006/main">
          <x14:cfRule type="dataBar" id="{DA414F51-FEC0-4B74-952E-704F2FDF8E8F}">
            <x14:dataBar minLength="0" maxLength="100" gradient="0">
              <x14:cfvo type="num">
                <xm:f>0</xm:f>
              </x14:cfvo>
              <x14:cfvo type="num">
                <xm:f>$T$156</xm:f>
              </x14:cfvo>
              <x14:negativeFillColor rgb="FFFF0000"/>
              <x14:axisColor theme="0"/>
            </x14:dataBar>
          </x14:cfRule>
          <xm:sqref>T104:T106</xm:sqref>
        </x14:conditionalFormatting>
        <x14:conditionalFormatting xmlns:xm="http://schemas.microsoft.com/office/excel/2006/main">
          <x14:cfRule type="dataBar" id="{9C9DEFF0-3068-40A0-8282-8DCE8D167801}">
            <x14:dataBar minLength="0" maxLength="100" gradient="0" negativeBarColorSameAsPositive="1">
              <x14:cfvo type="num">
                <xm:f>0</xm:f>
              </x14:cfvo>
              <x14:cfvo type="num">
                <xm:f>$U$156</xm:f>
              </x14:cfvo>
              <x14:axisColor theme="0"/>
            </x14:dataBar>
          </x14:cfRule>
          <xm:sqref>U104:U106</xm:sqref>
        </x14:conditionalFormatting>
        <x14:conditionalFormatting xmlns:xm="http://schemas.microsoft.com/office/excel/2006/main">
          <x14:cfRule type="dataBar" id="{DC71CB8A-72D4-4C0A-B6AB-A938FA48E91F}">
            <x14:dataBar minLength="0" maxLength="100" gradient="0">
              <x14:cfvo type="num">
                <xm:f>0</xm:f>
              </x14:cfvo>
              <x14:cfvo type="num">
                <xm:f>$V$156</xm:f>
              </x14:cfvo>
              <x14:negativeFillColor rgb="FFFF0000"/>
              <x14:axisColor theme="0"/>
            </x14:dataBar>
          </x14:cfRule>
          <xm:sqref>V104:V106</xm:sqref>
        </x14:conditionalFormatting>
        <x14:conditionalFormatting xmlns:xm="http://schemas.microsoft.com/office/excel/2006/main">
          <x14:cfRule type="dataBar" id="{F62CDCA4-67EF-4DF5-B676-B4BD5A94CF12}">
            <x14:dataBar minLength="0" maxLength="100" gradient="0">
              <x14:cfvo type="num">
                <xm:f>0</xm:f>
              </x14:cfvo>
              <x14:cfvo type="num">
                <xm:f>$W$156</xm:f>
              </x14:cfvo>
              <x14:negativeFillColor rgb="FFFF0000"/>
              <x14:axisColor theme="0"/>
            </x14:dataBar>
          </x14:cfRule>
          <xm:sqref>W104:W106</xm:sqref>
        </x14:conditionalFormatting>
        <x14:conditionalFormatting xmlns:xm="http://schemas.microsoft.com/office/excel/2006/main">
          <x14:cfRule type="expression" priority="665" stopIfTrue="1" id="{76CB9DAF-FDA2-4122-939A-B651A5AB969C}">
            <xm:f>'製造(P)'!#REF!="Ⅲ[再生可能エネルギー供給量]"</xm:f>
            <x14:dxf>
              <fill>
                <patternFill patternType="darkGrid">
                  <bgColor theme="0"/>
                </patternFill>
              </fill>
            </x14:dxf>
          </x14:cfRule>
          <x14:cfRule type="expression" priority="666" stopIfTrue="1" id="{EA5780B1-1242-490A-AC73-E0FFEA38490E}">
            <xm:f>'製造(P)'!#REF!="Ⅱ[エネルギー使用量差]"</xm:f>
            <x14:dxf>
              <fill>
                <patternFill patternType="darkGrid">
                  <bgColor theme="0"/>
                </patternFill>
              </fill>
            </x14:dxf>
          </x14:cfRule>
          <xm:sqref>AH112:AI123 AG111:AI111 AG124:AI124</xm:sqref>
        </x14:conditionalFormatting>
        <x14:conditionalFormatting xmlns:xm="http://schemas.microsoft.com/office/excel/2006/main">
          <x14:cfRule type="expression" priority="663" stopIfTrue="1" id="{20E5558B-E5EB-4EDB-8AD2-DBBBDFE04DDF}">
            <xm:f>'製造(P)'!#REF!="Ⅲ[再生可能エネルギー供給量]"</xm:f>
            <x14:dxf>
              <fill>
                <patternFill patternType="darkGrid">
                  <bgColor theme="0"/>
                </patternFill>
              </fill>
            </x14:dxf>
          </x14:cfRule>
          <x14:cfRule type="expression" priority="664" stopIfTrue="1" id="{2719792A-61D7-41D3-B93A-4324CAA17998}">
            <xm:f>'製造(P)'!#REF!="Ⅱ[エネルギー使用量差]"</xm:f>
            <x14:dxf>
              <fill>
                <patternFill patternType="darkGrid">
                  <bgColor theme="0"/>
                </patternFill>
              </fill>
            </x14:dxf>
          </x14:cfRule>
          <xm:sqref>AG109:AI110</xm:sqref>
        </x14:conditionalFormatting>
        <x14:conditionalFormatting xmlns:xm="http://schemas.microsoft.com/office/excel/2006/main">
          <x14:cfRule type="expression" priority="661" stopIfTrue="1" id="{68FEB4B5-197E-47A7-88DE-31895814E0CA}">
            <xm:f>'製造(P)'!#REF!="Ⅲ[再生可能エネルギー供給量]"</xm:f>
            <x14:dxf>
              <fill>
                <patternFill patternType="darkGrid">
                  <bgColor theme="0"/>
                </patternFill>
              </fill>
            </x14:dxf>
          </x14:cfRule>
          <x14:cfRule type="expression" priority="662" stopIfTrue="1" id="{DE68EE9E-57FB-43AA-9208-85BFDB739C04}">
            <xm:f>'製造(P)'!#REF!="Ⅱ[エネルギー使用量差]"</xm:f>
            <x14:dxf>
              <fill>
                <patternFill patternType="darkGrid">
                  <bgColor theme="0"/>
                </patternFill>
              </fill>
            </x14:dxf>
          </x14:cfRule>
          <xm:sqref>B111:E112</xm:sqref>
        </x14:conditionalFormatting>
        <x14:conditionalFormatting xmlns:xm="http://schemas.microsoft.com/office/excel/2006/main">
          <x14:cfRule type="expression" priority="659" stopIfTrue="1" id="{E14AC94E-54A3-44EE-89DA-4F87C01665CA}">
            <xm:f>'製造(P)'!#REF!="Ⅲ[再生可能エネルギー供給量]"</xm:f>
            <x14:dxf>
              <fill>
                <patternFill patternType="darkGrid">
                  <bgColor theme="0"/>
                </patternFill>
              </fill>
            </x14:dxf>
          </x14:cfRule>
          <x14:cfRule type="expression" priority="660" stopIfTrue="1" id="{D04AAE44-E018-47E5-845F-CE7F435E3951}">
            <xm:f>'製造(P)'!#REF!="Ⅱ[エネルギー使用量差]"</xm:f>
            <x14:dxf>
              <fill>
                <patternFill patternType="darkGrid">
                  <bgColor theme="0"/>
                </patternFill>
              </fill>
            </x14:dxf>
          </x14:cfRule>
          <xm:sqref>Q111</xm:sqref>
        </x14:conditionalFormatting>
        <x14:conditionalFormatting xmlns:xm="http://schemas.microsoft.com/office/excel/2006/main">
          <x14:cfRule type="expression" priority="655" stopIfTrue="1" id="{F11AD966-EF4B-4B93-8647-CA2C40134C8B}">
            <xm:f>'製造(P)'!#REF!="Ⅲ[再生可能エネルギー供給量]"</xm:f>
            <x14:dxf>
              <fill>
                <patternFill patternType="darkGrid">
                  <bgColor theme="0"/>
                </patternFill>
              </fill>
            </x14:dxf>
          </x14:cfRule>
          <x14:cfRule type="expression" priority="656" stopIfTrue="1" id="{74C3502C-3B86-4809-B806-A7E7E8010550}">
            <xm:f>'製造(P)'!#REF!="Ⅱ[エネルギー使用量差]"</xm:f>
            <x14:dxf>
              <fill>
                <patternFill patternType="darkGrid">
                  <bgColor theme="0"/>
                </patternFill>
              </fill>
            </x14:dxf>
          </x14:cfRule>
          <xm:sqref>R123</xm:sqref>
        </x14:conditionalFormatting>
        <x14:conditionalFormatting xmlns:xm="http://schemas.microsoft.com/office/excel/2006/main">
          <x14:cfRule type="expression" priority="657" stopIfTrue="1" id="{7F490F0E-EF2A-4F6F-8A20-21D8E8344C14}">
            <xm:f>'製造(P)'!#REF!="Ⅲ[再生可能エネルギー供給量]"</xm:f>
            <x14:dxf>
              <fill>
                <patternFill patternType="darkGrid">
                  <bgColor theme="0"/>
                </patternFill>
              </fill>
            </x14:dxf>
          </x14:cfRule>
          <x14:cfRule type="expression" priority="658" stopIfTrue="1" id="{396204ED-0484-4C6C-B016-01F7B79BAB79}">
            <xm:f>'製造(P)'!#REF!="Ⅱ[エネルギー使用量差]"</xm:f>
            <x14:dxf>
              <fill>
                <patternFill patternType="darkGrid">
                  <bgColor theme="0"/>
                </patternFill>
              </fill>
            </x14:dxf>
          </x14:cfRule>
          <xm:sqref>Q123</xm:sqref>
        </x14:conditionalFormatting>
        <x14:conditionalFormatting xmlns:xm="http://schemas.microsoft.com/office/excel/2006/main">
          <x14:cfRule type="expression" priority="610" stopIfTrue="1" id="{405DEF2C-D6B3-4B5A-98CC-04899CA96033}">
            <xm:f>'製造(P)'!#REF!="Ⅲ[再生可能エネルギー供給量]"</xm:f>
            <x14:dxf>
              <fill>
                <patternFill patternType="darkGrid">
                  <bgColor theme="0"/>
                </patternFill>
              </fill>
            </x14:dxf>
          </x14:cfRule>
          <x14:cfRule type="expression" priority="611" stopIfTrue="1" id="{E97438C2-A3E3-4245-8D72-2CF0D26FD11E}">
            <xm:f>'製造(P)'!#REF!="Ⅱ[エネルギー使用量差]"</xm:f>
            <x14:dxf>
              <fill>
                <patternFill patternType="darkGrid">
                  <bgColor theme="0"/>
                </patternFill>
              </fill>
            </x14:dxf>
          </x14:cfRule>
          <xm:sqref>AG125:AH127</xm:sqref>
        </x14:conditionalFormatting>
        <x14:conditionalFormatting xmlns:xm="http://schemas.microsoft.com/office/excel/2006/main">
          <x14:cfRule type="expression" priority="608" stopIfTrue="1" id="{ACD1633C-A6A2-47B2-9C1B-C867C42F52F1}">
            <xm:f>'製造(P)'!#REF!="Ⅲ[再生可能エネルギー供給量]"</xm:f>
            <x14:dxf>
              <fill>
                <patternFill patternType="darkGrid">
                  <bgColor theme="0"/>
                </patternFill>
              </fill>
            </x14:dxf>
          </x14:cfRule>
          <x14:cfRule type="expression" priority="609" stopIfTrue="1" id="{DA68B905-C2C5-4030-A0AB-95306DF9F50A}">
            <xm:f>'製造(P)'!#REF!="Ⅱ[エネルギー使用量差]"</xm:f>
            <x14:dxf>
              <fill>
                <patternFill patternType="darkGrid">
                  <bgColor theme="0"/>
                </patternFill>
              </fill>
            </x14:dxf>
          </x14:cfRule>
          <xm:sqref>B125:E126</xm:sqref>
        </x14:conditionalFormatting>
        <x14:conditionalFormatting xmlns:xm="http://schemas.microsoft.com/office/excel/2006/main">
          <x14:cfRule type="expression" priority="606" stopIfTrue="1" id="{23C7271B-F912-4B3D-BD94-72365DDDDED7}">
            <xm:f>'製造(P)'!#REF!="Ⅲ[再生可能エネルギー供給量]"</xm:f>
            <x14:dxf>
              <fill>
                <patternFill patternType="darkGrid">
                  <bgColor theme="0"/>
                </patternFill>
              </fill>
            </x14:dxf>
          </x14:cfRule>
          <x14:cfRule type="expression" priority="607" stopIfTrue="1" id="{6B36358F-E12F-4A67-B1E5-51EEE18A5087}">
            <xm:f>'製造(P)'!#REF!="Ⅱ[エネルギー使用量差]"</xm:f>
            <x14:dxf>
              <fill>
                <patternFill patternType="darkGrid">
                  <bgColor theme="0"/>
                </patternFill>
              </fill>
            </x14:dxf>
          </x14:cfRule>
          <xm:sqref>Q125</xm:sqref>
        </x14:conditionalFormatting>
        <x14:conditionalFormatting xmlns:xm="http://schemas.microsoft.com/office/excel/2006/main">
          <x14:cfRule type="expression" priority="604" stopIfTrue="1" id="{01C63EFB-52F5-4F38-B052-4790A880C3E4}">
            <xm:f>'製造(P)'!#REF!="Ⅲ[再生可能エネルギー供給量]"</xm:f>
            <x14:dxf>
              <fill>
                <patternFill patternType="darkGrid">
                  <bgColor theme="0"/>
                </patternFill>
              </fill>
            </x14:dxf>
          </x14:cfRule>
          <x14:cfRule type="expression" priority="605" stopIfTrue="1" id="{2699525E-72FB-4CB7-84E0-F80BD024E12B}">
            <xm:f>'製造(P)'!#REF!="Ⅱ[エネルギー使用量差]"</xm:f>
            <x14:dxf>
              <fill>
                <patternFill patternType="darkGrid">
                  <bgColor theme="0"/>
                </patternFill>
              </fill>
            </x14:dxf>
          </x14:cfRule>
          <xm:sqref>Q130 B130:E130</xm:sqref>
        </x14:conditionalFormatting>
        <x14:conditionalFormatting xmlns:xm="http://schemas.microsoft.com/office/excel/2006/main">
          <x14:cfRule type="expression" priority="602" stopIfTrue="1" id="{FFE613ED-23FD-4EEA-9075-053620559039}">
            <xm:f>'製造(P)'!#REF!="Ⅲ[再生可能エネルギー供給量]"</xm:f>
            <x14:dxf>
              <fill>
                <patternFill patternType="darkGrid">
                  <bgColor theme="0"/>
                </patternFill>
              </fill>
            </x14:dxf>
          </x14:cfRule>
          <x14:cfRule type="expression" priority="603" stopIfTrue="1" id="{AF00B287-D2E1-49E3-A965-B6DC08DBC9B7}">
            <xm:f>'製造(P)'!#REF!="Ⅱ[エネルギー使用量差]"</xm:f>
            <x14:dxf>
              <fill>
                <patternFill patternType="darkGrid">
                  <bgColor theme="0"/>
                </patternFill>
              </fill>
            </x14:dxf>
          </x14:cfRule>
          <xm:sqref>R130</xm:sqref>
        </x14:conditionalFormatting>
        <x14:conditionalFormatting xmlns:xm="http://schemas.microsoft.com/office/excel/2006/main">
          <x14:cfRule type="expression" priority="600" stopIfTrue="1" id="{215C8E4A-C82B-46C7-9DD5-7B6C51A92BFC}">
            <xm:f>'製造(P)'!#REF!="Ⅲ[再生可能エネルギー供給量]"</xm:f>
            <x14:dxf>
              <fill>
                <patternFill patternType="darkGrid">
                  <bgColor theme="0"/>
                </patternFill>
              </fill>
            </x14:dxf>
          </x14:cfRule>
          <x14:cfRule type="expression" priority="601" stopIfTrue="1" id="{7B80A315-9CA8-46CA-B90E-28E4C7FBFD14}">
            <xm:f>'製造(P)'!#REF!="Ⅱ[エネルギー使用量差]"</xm:f>
            <x14:dxf>
              <fill>
                <patternFill patternType="darkGrid">
                  <bgColor theme="0"/>
                </patternFill>
              </fill>
            </x14:dxf>
          </x14:cfRule>
          <xm:sqref>AG128:AH129</xm:sqref>
        </x14:conditionalFormatting>
        <x14:conditionalFormatting xmlns:xm="http://schemas.microsoft.com/office/excel/2006/main">
          <x14:cfRule type="expression" priority="561" stopIfTrue="1" id="{DCDD0070-5625-41CA-80F4-391526D15608}">
            <xm:f>'製造(P)'!#REF!="Ⅲ[再生可能エネルギー供給量]"</xm:f>
            <x14:dxf>
              <fill>
                <patternFill patternType="darkGrid">
                  <bgColor theme="0"/>
                </patternFill>
              </fill>
            </x14:dxf>
          </x14:cfRule>
          <x14:cfRule type="expression" priority="562" stopIfTrue="1" id="{4010CCF6-EC27-4E40-B893-E3733901854D}">
            <xm:f>'製造(P)'!#REF!="Ⅱ[エネルギー使用量差]"</xm:f>
            <x14:dxf>
              <fill>
                <patternFill patternType="darkGrid">
                  <bgColor theme="0"/>
                </patternFill>
              </fill>
            </x14:dxf>
          </x14:cfRule>
          <xm:sqref>AG55:AH57</xm:sqref>
        </x14:conditionalFormatting>
        <x14:conditionalFormatting xmlns:xm="http://schemas.microsoft.com/office/excel/2006/main">
          <x14:cfRule type="expression" priority="551" stopIfTrue="1" id="{DFB0F51D-36C2-47EA-A17F-86653C6A2DAC}">
            <xm:f>'製造(P)'!#REF!="Ⅲ[再生可能エネルギー供給量]"</xm:f>
            <x14:dxf>
              <fill>
                <patternFill patternType="darkGrid">
                  <bgColor theme="0"/>
                </patternFill>
              </fill>
            </x14:dxf>
          </x14:cfRule>
          <x14:cfRule type="expression" priority="552" stopIfTrue="1" id="{4FD1AEBA-7C04-49F6-AA61-BABE5B89CD1B}">
            <xm:f>'製造(P)'!#REF!="Ⅱ[エネルギー使用量差]"</xm:f>
            <x14:dxf>
              <fill>
                <patternFill patternType="darkGrid">
                  <bgColor theme="0"/>
                </patternFill>
              </fill>
            </x14:dxf>
          </x14:cfRule>
          <xm:sqref>AG58:AH59</xm:sqref>
        </x14:conditionalFormatting>
        <x14:conditionalFormatting xmlns:xm="http://schemas.microsoft.com/office/excel/2006/main">
          <x14:cfRule type="dataBar" priority="393" id="{EB30E0D0-E3D6-4B6D-B94C-A1788C62DB49}">
            <x14:dataBar minLength="0" maxLength="100" gradient="0">
              <x14:cfvo type="num">
                <xm:f>0</xm:f>
              </x14:cfvo>
              <x14:cfvo type="num">
                <xm:f>'製造(P)'!$S$156</xm:f>
              </x14:cfvo>
              <x14:fillColor rgb="FF638EC6"/>
              <x14:negativeFillColor rgb="FFFF0000"/>
              <x14:axisColor rgb="FF000000"/>
            </x14:dataBar>
          </x14:cfRule>
          <xm:sqref>S113:W122</xm:sqref>
        </x14:conditionalFormatting>
      </x14:conditionalFormattings>
    </ext>
    <ext xmlns:x14="http://schemas.microsoft.com/office/spreadsheetml/2009/9/main" uri="{CCE6A557-97BC-4b89-ADB6-D9C93CAAB3DF}">
      <x14:dataValidations xmlns:xm="http://schemas.microsoft.com/office/excel/2006/main" count="18">
        <x14:dataValidation type="list" allowBlank="1" showInputMessage="1" showErrorMessage="1">
          <x14:formula1>
            <xm:f>Color!$Y$6:$Y$8</xm:f>
          </x14:formula1>
          <xm:sqref>E43</xm:sqref>
        </x14:dataValidation>
        <x14:dataValidation type="list" allowBlank="1" showInputMessage="1" showErrorMessage="1">
          <x14:formula1>
            <xm:f>Color!$Y$4:$Y$8</xm:f>
          </x14:formula1>
          <xm:sqref>E44:E48</xm:sqref>
        </x14:dataValidation>
        <x14:dataValidation type="list" allowBlank="1" showInputMessage="1" showErrorMessage="1">
          <x14:formula1>
            <xm:f>Color!$X$4:$X$6</xm:f>
          </x14:formula1>
          <xm:sqref>E41:E42</xm:sqref>
        </x14:dataValidation>
        <x14:dataValidation type="list" allowBlank="1" showInputMessage="1" showErrorMessage="1">
          <x14:formula1>
            <xm:f>Color!$Z$4:$Z$6</xm:f>
          </x14:formula1>
          <xm:sqref>E40</xm:sqref>
        </x14:dataValidation>
        <x14:dataValidation type="list" allowBlank="1" showInputMessage="1" showErrorMessage="1">
          <x14:formula1>
            <xm:f>Color!$U$4:$U$21</xm:f>
          </x14:formula1>
          <xm:sqref>D96</xm:sqref>
        </x14:dataValidation>
        <x14:dataValidation type="list" allowBlank="1" showInputMessage="1" showErrorMessage="1">
          <x14:formula1>
            <xm:f>輸送算定用!$A$2:$A$3</xm:f>
          </x14:formula1>
          <xm:sqref>F78:J78 F81:J81 F85:J85</xm:sqref>
        </x14:dataValidation>
        <x14:dataValidation type="list" allowBlank="1" showInputMessage="1" showErrorMessage="1">
          <x14:formula1>
            <xm:f>輸送算定用!$A$25:$A$27</xm:f>
          </x14:formula1>
          <xm:sqref>B78</xm:sqref>
        </x14:dataValidation>
        <x14:dataValidation type="list" allowBlank="1">
          <x14:formula1>
            <xm:f>輸送算定用!$E$17:$E$22</xm:f>
          </x14:formula1>
          <xm:sqref>F87:J87</xm:sqref>
        </x14:dataValidation>
        <x14:dataValidation type="list" allowBlank="1" showInputMessage="1" showErrorMessage="1">
          <x14:formula1>
            <xm:f>輸送算定用!$B$17:$B$22</xm:f>
          </x14:formula1>
          <xm:sqref>F82:J82</xm:sqref>
        </x14:dataValidation>
        <x14:dataValidation type="list" allowBlank="1" showInputMessage="1" showErrorMessage="1">
          <x14:formula1>
            <xm:f>Color!$M$4:$M$8</xm:f>
          </x14:formula1>
          <xm:sqref>Q189 Q184 Q219 Q214 Q209 Q204 Q199 Q194</xm:sqref>
        </x14:dataValidation>
        <x14:dataValidation type="list" allowBlank="1" showInputMessage="1" showErrorMessage="1">
          <x14:formula1>
            <xm:f>Color!$U$4:$U$22</xm:f>
          </x14:formula1>
          <xm:sqref>D95 D97</xm:sqref>
        </x14:dataValidation>
        <x14:dataValidation type="list" allowBlank="1" showInputMessage="1" showErrorMessage="1">
          <x14:formula1>
            <xm:f>'\\PEA-HDDV2\PEAv2\Users\takochi\Desktop\old\[HydrogenLCATool_V2beta13.xlsx]Color'!#REF!</xm:f>
          </x14:formula1>
          <xm:sqref>F144</xm:sqref>
        </x14:dataValidation>
        <x14:dataValidation type="list" allowBlank="1" showInputMessage="1" showErrorMessage="1">
          <x14:formula1>
            <xm:f>IDEAGLIO補助ﾘｽﾄ!$B$2:$B$50</xm:f>
          </x14:formula1>
          <xm:sqref>D50:D52</xm:sqref>
        </x14:dataValidation>
        <x14:dataValidation type="list" allowBlank="1" showInputMessage="1" showErrorMessage="1">
          <x14:formula1>
            <xm:f>GWP!$A$4:$A$36</xm:f>
          </x14:formula1>
          <xm:sqref>B104:D106</xm:sqref>
        </x14:dataValidation>
        <x14:dataValidation type="list" allowBlank="1" showInputMessage="1" showErrorMessage="1">
          <x14:formula1>
            <xm:f>共通データ!$B$32:$B$37</xm:f>
          </x14:formula1>
          <xm:sqref>B57:D59</xm:sqref>
        </x14:dataValidation>
        <x14:dataValidation type="list" allowBlank="1" showInputMessage="1" showErrorMessage="1" promptTitle="配分基準の選択" prompt="原則として熱量基準、もしくは質量基準を選択してください。">
          <x14:formula1>
            <xm:f>Color!$M$4:$M$8</xm:f>
          </x14:formula1>
          <xm:sqref>B135</xm:sqref>
        </x14:dataValidation>
        <x14:dataValidation type="list" allowBlank="1" showInputMessage="1" showErrorMessage="1">
          <x14:formula1>
            <xm:f>Color!$AO$9</xm:f>
          </x14:formula1>
          <xm:sqref>AE23:AF32 AE39:AF52 AE57:AF59 AE66:AF70 AE77:AF77 AE79:AF79 AE83:AF83 AE94:AF97 AE113:AF122</xm:sqref>
        </x14:dataValidation>
        <x14:dataValidation type="list" allowBlank="1" showInputMessage="1" showErrorMessage="1">
          <x14:formula1>
            <xm:f>補助ﾘｽﾄ!$B$11:$B$52</xm:f>
          </x14:formula1>
          <xm:sqref>B66:D70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O32"/>
  <sheetViews>
    <sheetView view="pageBreakPreview" zoomScale="70" zoomScaleNormal="115" zoomScaleSheetLayoutView="70" workbookViewId="0">
      <selection activeCell="B1" sqref="B1:C1"/>
    </sheetView>
  </sheetViews>
  <sheetFormatPr defaultColWidth="8.8984375" defaultRowHeight="13.8"/>
  <cols>
    <col min="1" max="1" width="9" style="89" customWidth="1"/>
    <col min="2" max="5" width="11.5" style="89" customWidth="1"/>
    <col min="6" max="6" width="15.3984375" style="89" bestFit="1" customWidth="1"/>
    <col min="7" max="7" width="11.5" style="89" customWidth="1"/>
    <col min="8" max="8" width="31.59765625" style="89" bestFit="1" customWidth="1"/>
    <col min="9" max="9" width="7" style="89" bestFit="1" customWidth="1"/>
    <col min="10" max="12" width="8.8984375" style="89" customWidth="1"/>
    <col min="13" max="13" width="13.69921875" style="89" customWidth="1"/>
    <col min="14" max="14" width="10.8984375" style="89" customWidth="1"/>
    <col min="15" max="16384" width="8.8984375" style="89"/>
  </cols>
  <sheetData>
    <row r="1" spans="1:14" ht="15.6" thickTop="1" thickBot="1">
      <c r="A1" s="91"/>
      <c r="B1" s="1080" t="s">
        <v>205</v>
      </c>
      <c r="C1" s="1081"/>
      <c r="D1" s="91"/>
      <c r="E1" s="91"/>
      <c r="F1" s="91"/>
      <c r="G1" s="91"/>
      <c r="H1" s="91"/>
    </row>
    <row r="2" spans="1:14" ht="14.4" thickTop="1">
      <c r="A2" s="91"/>
      <c r="B2" s="144"/>
      <c r="C2" s="91"/>
      <c r="D2" s="91"/>
      <c r="E2" s="91"/>
      <c r="F2" s="91"/>
      <c r="G2" s="91"/>
      <c r="H2" s="91"/>
    </row>
    <row r="3" spans="1:14" ht="14.4" thickBot="1">
      <c r="A3" s="91"/>
      <c r="B3" s="91"/>
      <c r="C3" s="91"/>
      <c r="D3" s="91"/>
      <c r="E3" s="144"/>
      <c r="F3" s="91"/>
      <c r="G3" s="91"/>
    </row>
    <row r="4" spans="1:14" ht="15" thickTop="1" thickBot="1">
      <c r="A4" s="91"/>
      <c r="B4" s="145" t="s">
        <v>7672</v>
      </c>
      <c r="C4" s="146"/>
      <c r="D4" s="146"/>
      <c r="E4" s="734">
        <f>F15</f>
        <v>0.59434357481921574</v>
      </c>
      <c r="F4" s="516" t="str">
        <f>"[kgCO2/"&amp;MID('製造(P)'!L194,2,(LENB('製造(P)'!L194)-2))&amp;"H2]"</f>
        <v>[kgCO2/Nm3H2]</v>
      </c>
      <c r="G4" s="91"/>
      <c r="J4" s="158"/>
    </row>
    <row r="5" spans="1:14" ht="14.4" thickTop="1">
      <c r="A5" s="91"/>
      <c r="B5" s="91"/>
      <c r="C5" s="91"/>
      <c r="D5" s="91"/>
      <c r="E5" s="91"/>
      <c r="F5" s="91"/>
      <c r="G5" s="91"/>
      <c r="J5" s="157"/>
    </row>
    <row r="6" spans="1:14">
      <c r="A6" s="91"/>
      <c r="B6" s="58" t="s">
        <v>146</v>
      </c>
      <c r="C6" s="71" t="s">
        <v>61</v>
      </c>
      <c r="D6" s="71" t="s">
        <v>137</v>
      </c>
      <c r="E6" s="71" t="s">
        <v>60</v>
      </c>
      <c r="F6" s="71" t="s">
        <v>144</v>
      </c>
      <c r="G6" s="91"/>
      <c r="J6" s="159"/>
    </row>
    <row r="7" spans="1:14">
      <c r="A7" s="91"/>
      <c r="B7" s="430" t="s">
        <v>6965</v>
      </c>
      <c r="C7" s="735">
        <f>IFERROR('製造(P)'!K197/(1-F$20)/(1-F$21),"")</f>
        <v>0</v>
      </c>
      <c r="D7" s="735">
        <f>IFERROR('貯蔵・輸送(ST)'!K197/(1-$F$21),"")</f>
        <v>0</v>
      </c>
      <c r="E7" s="735">
        <f>IFERROR('供給(D)'!K197,"")</f>
        <v>0</v>
      </c>
      <c r="F7" s="736">
        <f>SUM(C7:E7)</f>
        <v>0</v>
      </c>
      <c r="H7" s="90"/>
      <c r="I7" s="409"/>
    </row>
    <row r="8" spans="1:14">
      <c r="A8" s="91"/>
      <c r="B8" s="430" t="s">
        <v>6966</v>
      </c>
      <c r="C8" s="735">
        <f>IFERROR('製造(P)'!K198/(1-F$20)/(1-F$21),"")</f>
        <v>3.5867548230357489E-2</v>
      </c>
      <c r="D8" s="735">
        <f>IFERROR('貯蔵・輸送(ST)'!K198/(1-$F$21),"")</f>
        <v>2.3666666666666667E-3</v>
      </c>
      <c r="E8" s="735">
        <f>IFERROR('供給(D)'!K198,"")</f>
        <v>1.4909999999999997E-3</v>
      </c>
      <c r="F8" s="736">
        <f t="shared" ref="F8:F15" si="0">SUM(C8:E8)</f>
        <v>3.9725214897024158E-2</v>
      </c>
      <c r="H8" s="90"/>
    </row>
    <row r="9" spans="1:14">
      <c r="A9" s="91"/>
      <c r="B9" s="430" t="s">
        <v>6967</v>
      </c>
      <c r="C9" s="735">
        <f>IFERROR('製造(P)'!K199/(1-F$20)/(1-F$21),"")</f>
        <v>0</v>
      </c>
      <c r="D9" s="735">
        <f>IFERROR('貯蔵・輸送(ST)'!K199/(1-$F$21),"")</f>
        <v>0</v>
      </c>
      <c r="E9" s="735">
        <f>IFERROR('供給(D)'!K199,"")</f>
        <v>0</v>
      </c>
      <c r="F9" s="736">
        <f t="shared" si="0"/>
        <v>0</v>
      </c>
    </row>
    <row r="10" spans="1:14">
      <c r="A10" s="91"/>
      <c r="B10" s="430" t="s">
        <v>6975</v>
      </c>
      <c r="C10" s="735">
        <f>IFERROR('製造(P)'!K200/(1-F$20)/(1-F$21),"")</f>
        <v>0</v>
      </c>
      <c r="D10" s="735">
        <f>IFERROR('貯蔵・輸送(ST)'!K200/(1-$F$21),"")</f>
        <v>0</v>
      </c>
      <c r="E10" s="735">
        <f>IFERROR('供給(D)'!K200,"")</f>
        <v>0</v>
      </c>
      <c r="F10" s="736">
        <f t="shared" si="0"/>
        <v>0</v>
      </c>
    </row>
    <row r="11" spans="1:14">
      <c r="A11"/>
      <c r="B11" s="430" t="s">
        <v>6989</v>
      </c>
      <c r="C11" s="735">
        <f>IFERROR('製造(P)'!K201/(1-F$20)/(1-F$21),"")</f>
        <v>0</v>
      </c>
      <c r="D11" s="735">
        <f>IFERROR('貯蔵・輸送(ST)'!K201/(1-$F$21),"")</f>
        <v>0</v>
      </c>
      <c r="E11" s="735">
        <f>IFERROR('供給(D)'!K201,"")</f>
        <v>0</v>
      </c>
      <c r="F11" s="736">
        <f t="shared" si="0"/>
        <v>0</v>
      </c>
      <c r="J11" s="160"/>
    </row>
    <row r="12" spans="1:14">
      <c r="B12" s="430" t="s">
        <v>7463</v>
      </c>
      <c r="C12" s="735">
        <f>IFERROR('製造(P)'!K202/(1-F$20)/(1-F$21),"")</f>
        <v>0</v>
      </c>
      <c r="D12" s="735">
        <f>IFERROR('貯蔵・輸送(ST)'!K202/(1-$F$21),"")</f>
        <v>0</v>
      </c>
      <c r="E12" s="735">
        <f>IFERROR('供給(D)'!K202,"")</f>
        <v>0</v>
      </c>
      <c r="F12" s="736">
        <f t="shared" si="0"/>
        <v>0</v>
      </c>
      <c r="K12" s="379"/>
      <c r="L12" s="378" t="s">
        <v>7537</v>
      </c>
      <c r="M12" s="378" t="s">
        <v>7539</v>
      </c>
      <c r="N12" s="378" t="s">
        <v>7538</v>
      </c>
    </row>
    <row r="13" spans="1:14">
      <c r="B13" s="430" t="s">
        <v>6974</v>
      </c>
      <c r="C13" s="735">
        <f>IFERROR('製造(P)'!K203/(1-F$20)/(1-F$21),"")</f>
        <v>0.46266064572081733</v>
      </c>
      <c r="D13" s="735">
        <f>IFERROR('貯蔵・輸送(ST)'!K203/(1-$F$21),"")</f>
        <v>6.7617388237842538E-2</v>
      </c>
      <c r="E13" s="735">
        <f>IFERROR('供給(D)'!K203,"")</f>
        <v>2.434032596353182E-2</v>
      </c>
      <c r="F13" s="736">
        <f t="shared" si="0"/>
        <v>0.55461835992219177</v>
      </c>
      <c r="K13" s="379"/>
      <c r="L13" s="379"/>
      <c r="M13" s="379"/>
      <c r="N13" s="379">
        <v>0</v>
      </c>
    </row>
    <row r="14" spans="1:14">
      <c r="B14" s="430" t="s">
        <v>6973</v>
      </c>
      <c r="C14" s="735">
        <f>IFERROR('製造(P)'!K204/(1-F$20)/(1-F$21),"")</f>
        <v>0</v>
      </c>
      <c r="D14" s="735">
        <f>IFERROR('貯蔵・輸送(ST)'!K204/(1-$F$21),"")</f>
        <v>0</v>
      </c>
      <c r="E14" s="735">
        <f>IFERROR('供給(D)'!K204,"")</f>
        <v>0</v>
      </c>
      <c r="F14" s="736">
        <f t="shared" si="0"/>
        <v>0</v>
      </c>
      <c r="J14" s="90" t="s">
        <v>7540</v>
      </c>
      <c r="K14" s="379">
        <f>N13</f>
        <v>0</v>
      </c>
      <c r="L14" s="380">
        <f>C17</f>
        <v>0.46266064572081733</v>
      </c>
      <c r="M14" s="380">
        <f>C18</f>
        <v>3.5867548230357482E-2</v>
      </c>
      <c r="N14" s="381">
        <f>N13+L14+M14</f>
        <v>0.49852819395117481</v>
      </c>
    </row>
    <row r="15" spans="1:14">
      <c r="B15" s="429" t="s">
        <v>7049</v>
      </c>
      <c r="C15" s="735">
        <f t="shared" ref="C15:D15" si="1">SUM(C7:C14)</f>
        <v>0.49852819395117481</v>
      </c>
      <c r="D15" s="735">
        <f t="shared" si="1"/>
        <v>6.9984054904509208E-2</v>
      </c>
      <c r="E15" s="735">
        <f>SUM(E7:E14)</f>
        <v>2.5831325963531819E-2</v>
      </c>
      <c r="F15" s="736">
        <f t="shared" si="0"/>
        <v>0.59434357481921574</v>
      </c>
      <c r="J15" s="90" t="s">
        <v>7541</v>
      </c>
      <c r="K15" s="379">
        <f t="shared" ref="K15:K16" si="2">N14</f>
        <v>0.49852819395117481</v>
      </c>
      <c r="L15" s="380">
        <f>D17</f>
        <v>6.7617388237842538E-2</v>
      </c>
      <c r="M15" s="380">
        <f>D18</f>
        <v>2.3666666666666697E-3</v>
      </c>
      <c r="N15" s="381">
        <f>N14+L15+M15</f>
        <v>0.56851224885568397</v>
      </c>
    </row>
    <row r="16" spans="1:14">
      <c r="B16" s="431"/>
      <c r="C16" s="374"/>
      <c r="D16" s="374"/>
      <c r="E16" s="374"/>
      <c r="F16" s="375"/>
      <c r="J16" s="90" t="s">
        <v>7542</v>
      </c>
      <c r="K16" s="379">
        <f t="shared" si="2"/>
        <v>0.56851224885568397</v>
      </c>
      <c r="L16" s="380">
        <f>E17</f>
        <v>2.434032596353182E-2</v>
      </c>
      <c r="M16" s="380">
        <f>E18</f>
        <v>1.4909999999999993E-3</v>
      </c>
      <c r="N16" s="381">
        <f>N15+L16+M16</f>
        <v>0.59434357481921585</v>
      </c>
    </row>
    <row r="17" spans="2:15">
      <c r="B17" s="430" t="s">
        <v>6974</v>
      </c>
      <c r="C17" s="735">
        <f>C13</f>
        <v>0.46266064572081733</v>
      </c>
      <c r="D17" s="735">
        <f>D13</f>
        <v>6.7617388237842538E-2</v>
      </c>
      <c r="E17" s="735">
        <f t="shared" ref="E17" si="3">E13</f>
        <v>2.434032596353182E-2</v>
      </c>
      <c r="F17" s="736">
        <f t="shared" ref="F17" si="4">SUM(C17:E17)</f>
        <v>0.55461835992219177</v>
      </c>
      <c r="J17" s="90" t="s">
        <v>7538</v>
      </c>
      <c r="K17" s="379">
        <v>0</v>
      </c>
      <c r="L17" s="382">
        <f>F17</f>
        <v>0.55461835992219177</v>
      </c>
      <c r="M17" s="380">
        <f>F18</f>
        <v>3.9725214897024151E-2</v>
      </c>
      <c r="N17" s="381"/>
    </row>
    <row r="18" spans="2:15">
      <c r="B18" s="429" t="s">
        <v>7536</v>
      </c>
      <c r="C18" s="735">
        <f>C15-C17</f>
        <v>3.5867548230357482E-2</v>
      </c>
      <c r="D18" s="735">
        <f>D15-D17</f>
        <v>2.3666666666666697E-3</v>
      </c>
      <c r="E18" s="735">
        <f t="shared" ref="E18" si="5">E15-E17</f>
        <v>1.4909999999999993E-3</v>
      </c>
      <c r="F18" s="736">
        <f>SUM(C18:E18)</f>
        <v>3.9725214897024151E-2</v>
      </c>
      <c r="J18" s="160"/>
      <c r="K18" s="89">
        <f>G17</f>
        <v>0</v>
      </c>
      <c r="L18" s="376"/>
      <c r="M18" s="160"/>
      <c r="N18" s="160"/>
    </row>
    <row r="19" spans="2:15" ht="14.4" thickBot="1">
      <c r="J19" s="160"/>
      <c r="L19" s="160"/>
      <c r="M19" s="160"/>
      <c r="N19" s="160"/>
    </row>
    <row r="20" spans="2:15" ht="14.4" thickBot="1">
      <c r="B20" s="1082" t="s">
        <v>7753</v>
      </c>
      <c r="C20" s="1083"/>
      <c r="D20" s="1083"/>
      <c r="E20" s="1084"/>
      <c r="F20" s="655">
        <v>0</v>
      </c>
      <c r="J20" s="160"/>
      <c r="L20" s="160"/>
      <c r="M20" s="160"/>
      <c r="N20" s="160"/>
    </row>
    <row r="21" spans="2:15" ht="14.4" thickBot="1">
      <c r="B21" s="1082" t="s">
        <v>7754</v>
      </c>
      <c r="C21" s="1083"/>
      <c r="D21" s="1083"/>
      <c r="E21" s="1084"/>
      <c r="F21" s="655">
        <v>0</v>
      </c>
      <c r="J21" s="160"/>
      <c r="L21" s="170"/>
      <c r="M21" s="170"/>
      <c r="N21" s="170"/>
      <c r="O21" s="160"/>
    </row>
    <row r="22" spans="2:15">
      <c r="J22" s="160"/>
      <c r="L22" s="160"/>
      <c r="M22" s="376"/>
      <c r="N22" s="377"/>
      <c r="O22" s="160"/>
    </row>
    <row r="23" spans="2:15">
      <c r="J23" s="160"/>
      <c r="L23" s="160"/>
      <c r="M23" s="160"/>
      <c r="N23" s="160"/>
      <c r="O23" s="160"/>
    </row>
    <row r="24" spans="2:15">
      <c r="J24" s="160"/>
      <c r="L24" s="160"/>
      <c r="M24" s="160"/>
      <c r="N24" s="160"/>
      <c r="O24" s="160"/>
    </row>
    <row r="25" spans="2:15">
      <c r="J25" s="160"/>
      <c r="L25" s="160"/>
      <c r="M25" s="160"/>
      <c r="N25" s="160"/>
      <c r="O25" s="160"/>
    </row>
    <row r="26" spans="2:15">
      <c r="F26" s="521" t="str">
        <f>"単位供給量＝["&amp;MID('製造(P)'!L194,2,(LENB('製造(P)'!L194)-2))&amp;"H2]"</f>
        <v>単位供給量＝[Nm3H2]</v>
      </c>
      <c r="J26" s="160"/>
      <c r="L26" s="160"/>
      <c r="M26" s="160"/>
      <c r="N26" s="161"/>
      <c r="O26" s="160"/>
    </row>
    <row r="27" spans="2:15">
      <c r="J27" s="160"/>
      <c r="L27" s="160"/>
      <c r="M27" s="160"/>
      <c r="N27" s="160"/>
    </row>
    <row r="28" spans="2:15">
      <c r="J28" s="160"/>
      <c r="L28" s="160"/>
      <c r="M28" s="160"/>
      <c r="N28" s="160"/>
    </row>
    <row r="29" spans="2:15">
      <c r="J29" s="160"/>
      <c r="L29" s="160"/>
      <c r="M29" s="160"/>
      <c r="N29" s="160"/>
    </row>
    <row r="30" spans="2:15">
      <c r="J30" s="160"/>
      <c r="L30" s="160"/>
      <c r="M30" s="160"/>
      <c r="N30" s="160"/>
    </row>
    <row r="31" spans="2:15">
      <c r="J31" s="160"/>
      <c r="L31" s="160"/>
      <c r="M31" s="160"/>
      <c r="N31" s="160"/>
    </row>
    <row r="32" spans="2:15">
      <c r="J32" s="160"/>
    </row>
  </sheetData>
  <sheetProtection sheet="1" objects="1" scenarios="1"/>
  <mergeCells count="3">
    <mergeCell ref="B1:C1"/>
    <mergeCell ref="B20:E20"/>
    <mergeCell ref="B21:E21"/>
  </mergeCells>
  <phoneticPr fontId="33"/>
  <conditionalFormatting sqref="F20">
    <cfRule type="expression" dxfId="57" priority="3" stopIfTrue="1">
      <formula>#REF!="Ⅲ[再生可能エネルギー供給量]"</formula>
    </cfRule>
    <cfRule type="expression" dxfId="56" priority="4" stopIfTrue="1">
      <formula>#REF!="Ⅱ[エネルギー使用量差]"</formula>
    </cfRule>
  </conditionalFormatting>
  <conditionalFormatting sqref="F21">
    <cfRule type="expression" dxfId="55" priority="1" stopIfTrue="1">
      <formula>#REF!="Ⅲ[再生可能エネルギー供給量]"</formula>
    </cfRule>
    <cfRule type="expression" dxfId="54" priority="2" stopIfTrue="1">
      <formula>#REF!="Ⅱ[エネルギー使用量差]"</formula>
    </cfRule>
  </conditionalFormatting>
  <printOptions horizontalCentered="1" verticalCentered="1"/>
  <pageMargins left="0.70866141732283472" right="0.70866141732283472" top="0.74803149606299213" bottom="0.74803149606299213" header="0.31496062992125984" footer="0.31496062992125984"/>
  <pageSetup paperSize="9" scale="83" orientation="landscape" r:id="rId1"/>
  <headerFooter scaleWithDoc="0">
    <oddHeader xml:space="preserve">&amp;R&amp;A </oddHead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7" tint="0.59999389629810485"/>
    <pageSetUpPr fitToPage="1"/>
  </sheetPr>
  <dimension ref="A1:AI73"/>
  <sheetViews>
    <sheetView view="pageBreakPreview" zoomScale="85" zoomScaleNormal="80" zoomScaleSheetLayoutView="85" workbookViewId="0">
      <selection activeCell="B1" sqref="B1:C1"/>
    </sheetView>
  </sheetViews>
  <sheetFormatPr defaultRowHeight="13.8"/>
  <cols>
    <col min="1" max="1" width="2.19921875" customWidth="1"/>
    <col min="2" max="2" width="14.3984375" bestFit="1" customWidth="1"/>
    <col min="3" max="3" width="20.69921875" bestFit="1" customWidth="1"/>
    <col min="4" max="4" width="12.69921875" bestFit="1" customWidth="1"/>
    <col min="5" max="5" width="11.59765625" bestFit="1" customWidth="1"/>
    <col min="6" max="6" width="12.59765625" bestFit="1" customWidth="1"/>
    <col min="7" max="7" width="11.59765625" bestFit="1" customWidth="1"/>
    <col min="8" max="9" width="6.8984375" style="89" customWidth="1"/>
    <col min="10" max="10" width="7.69921875" style="89" customWidth="1"/>
    <col min="11" max="11" width="15.09765625" bestFit="1" customWidth="1"/>
    <col min="12" max="12" width="21.19921875" bestFit="1" customWidth="1"/>
    <col min="13" max="13" width="13" customWidth="1"/>
    <col min="14" max="14" width="10.3984375" customWidth="1"/>
    <col min="15" max="15" width="15" customWidth="1"/>
    <col min="16" max="16" width="12.59765625" bestFit="1" customWidth="1"/>
    <col min="18" max="18" width="20.3984375" hidden="1" customWidth="1"/>
    <col min="19" max="19" width="11.5" hidden="1" customWidth="1"/>
    <col min="20" max="21" width="16.69921875" hidden="1" customWidth="1"/>
    <col min="22" max="22" width="17.8984375" hidden="1" customWidth="1"/>
    <col min="23" max="24" width="12.8984375" hidden="1" customWidth="1"/>
    <col min="25" max="25" width="7.59765625" hidden="1" customWidth="1"/>
    <col min="26" max="30" width="7.5" hidden="1" customWidth="1"/>
    <col min="31" max="35" width="0" hidden="1" customWidth="1"/>
  </cols>
  <sheetData>
    <row r="1" spans="1:25" ht="15.6" thickTop="1" thickBot="1">
      <c r="B1" s="1129" t="s">
        <v>226</v>
      </c>
      <c r="C1" s="1130"/>
      <c r="D1" s="89"/>
      <c r="E1" s="89"/>
      <c r="F1" s="89"/>
      <c r="G1" s="89"/>
      <c r="K1" s="1129" t="s">
        <v>227</v>
      </c>
      <c r="L1" s="1130"/>
      <c r="M1" s="89"/>
      <c r="N1" s="89"/>
      <c r="O1" s="89"/>
      <c r="P1" s="89"/>
    </row>
    <row r="2" spans="1:25" ht="14.4" thickTop="1">
      <c r="B2" s="89"/>
      <c r="C2" s="89"/>
      <c r="D2" s="89"/>
      <c r="E2" s="89"/>
      <c r="F2" s="89"/>
      <c r="G2" s="89"/>
      <c r="K2" s="89"/>
      <c r="L2" s="89"/>
      <c r="M2" s="89"/>
      <c r="N2" s="89"/>
      <c r="O2" s="89"/>
      <c r="P2" s="89"/>
    </row>
    <row r="3" spans="1:25" ht="14.4" thickBot="1">
      <c r="A3" s="89"/>
      <c r="B3" s="291" t="s">
        <v>2107</v>
      </c>
      <c r="C3" s="290"/>
      <c r="D3" s="290"/>
      <c r="E3" s="290"/>
      <c r="F3" s="290"/>
      <c r="G3" s="290"/>
      <c r="H3" s="297"/>
      <c r="I3" s="297"/>
      <c r="K3" s="291" t="s">
        <v>2107</v>
      </c>
      <c r="L3" s="290"/>
      <c r="M3" s="290"/>
      <c r="N3" s="290"/>
      <c r="O3" s="290"/>
      <c r="P3" s="89"/>
      <c r="R3" s="162"/>
      <c r="S3" s="162"/>
      <c r="T3" s="162" t="s">
        <v>2108</v>
      </c>
      <c r="U3" s="162" t="s">
        <v>2109</v>
      </c>
      <c r="V3" s="162" t="s">
        <v>2110</v>
      </c>
    </row>
    <row r="4" spans="1:25" ht="14.4" thickBot="1">
      <c r="A4" s="89"/>
      <c r="B4" s="439" t="s">
        <v>7624</v>
      </c>
      <c r="C4" s="658" t="s">
        <v>7834</v>
      </c>
      <c r="D4" s="89"/>
      <c r="E4" s="89"/>
      <c r="F4" s="89"/>
      <c r="G4" s="89"/>
      <c r="K4" s="90" t="s">
        <v>7064</v>
      </c>
      <c r="L4" s="658" t="s">
        <v>7809</v>
      </c>
      <c r="M4" s="89"/>
      <c r="N4" s="89"/>
      <c r="O4" s="89"/>
      <c r="P4" s="89"/>
      <c r="Q4" s="89"/>
      <c r="R4" s="162"/>
      <c r="S4" s="162"/>
      <c r="T4" s="165" t="s">
        <v>2111</v>
      </c>
      <c r="U4" s="165" t="s">
        <v>2112</v>
      </c>
      <c r="V4" s="165" t="s">
        <v>2113</v>
      </c>
      <c r="W4" s="89"/>
      <c r="X4" s="89"/>
      <c r="Y4" s="89"/>
    </row>
    <row r="5" spans="1:25" ht="14.4" thickBot="1">
      <c r="A5" s="89"/>
      <c r="B5" s="439" t="s">
        <v>7625</v>
      </c>
      <c r="C5" s="658" t="s">
        <v>7809</v>
      </c>
      <c r="D5" s="89"/>
      <c r="E5" s="89"/>
      <c r="F5" s="89"/>
      <c r="G5" s="89"/>
      <c r="K5" s="90" t="s">
        <v>7065</v>
      </c>
      <c r="L5" s="658" t="s">
        <v>7809</v>
      </c>
      <c r="M5" s="89"/>
      <c r="N5" s="89"/>
      <c r="O5" s="89"/>
      <c r="P5" s="89"/>
      <c r="R5" s="165" t="s">
        <v>2114</v>
      </c>
      <c r="S5" s="162"/>
      <c r="T5" s="162" t="s">
        <v>2115</v>
      </c>
      <c r="U5" s="162" t="s">
        <v>2116</v>
      </c>
      <c r="V5" s="162" t="s">
        <v>2117</v>
      </c>
    </row>
    <row r="6" spans="1:25" ht="15.75" customHeight="1" thickBot="1">
      <c r="A6" s="89"/>
      <c r="B6" s="439" t="s">
        <v>7626</v>
      </c>
      <c r="C6" s="658" t="s">
        <v>7809</v>
      </c>
      <c r="D6" s="89"/>
      <c r="E6" s="89"/>
      <c r="F6" s="89"/>
      <c r="G6" s="89"/>
      <c r="K6" s="89"/>
      <c r="L6" s="89"/>
      <c r="M6" s="89"/>
      <c r="N6" s="89"/>
      <c r="O6" s="89"/>
      <c r="P6" s="89"/>
      <c r="R6" s="165" t="s">
        <v>2118</v>
      </c>
      <c r="S6" s="162"/>
      <c r="T6" s="165" t="s">
        <v>2119</v>
      </c>
      <c r="U6" s="165" t="s">
        <v>2119</v>
      </c>
      <c r="V6" s="165" t="s">
        <v>2120</v>
      </c>
    </row>
    <row r="7" spans="1:25">
      <c r="A7" s="89"/>
      <c r="B7" s="89"/>
      <c r="C7" s="89"/>
      <c r="D7" s="89"/>
      <c r="E7" s="89"/>
      <c r="F7" s="89"/>
      <c r="G7" s="89"/>
      <c r="K7" s="89"/>
      <c r="L7" s="89"/>
      <c r="M7" s="89"/>
      <c r="N7" s="89"/>
      <c r="O7" s="89"/>
      <c r="P7" s="89"/>
      <c r="R7" s="165" t="s">
        <v>2034</v>
      </c>
      <c r="S7" s="162" t="s">
        <v>2121</v>
      </c>
      <c r="T7" s="162">
        <v>105</v>
      </c>
      <c r="U7" s="162">
        <v>60</v>
      </c>
      <c r="V7" s="162">
        <v>149</v>
      </c>
    </row>
    <row r="8" spans="1:25">
      <c r="A8" s="89"/>
      <c r="B8" s="89"/>
      <c r="C8" s="89"/>
      <c r="D8" s="89"/>
      <c r="E8" s="89"/>
      <c r="F8" s="89"/>
      <c r="G8" s="89"/>
      <c r="K8" s="89"/>
      <c r="L8" s="89"/>
      <c r="M8" s="89"/>
      <c r="N8" s="89"/>
      <c r="O8" s="89"/>
      <c r="P8" s="89"/>
      <c r="R8" s="162" t="s">
        <v>2035</v>
      </c>
      <c r="S8" s="165" t="s">
        <v>2122</v>
      </c>
      <c r="T8" s="166">
        <v>1630</v>
      </c>
      <c r="U8" s="166">
        <v>1310</v>
      </c>
      <c r="V8" s="166">
        <v>1630</v>
      </c>
    </row>
    <row r="9" spans="1:25">
      <c r="A9" s="89"/>
      <c r="B9" s="989" t="s">
        <v>7632</v>
      </c>
      <c r="C9" s="1051"/>
      <c r="D9" s="1051"/>
      <c r="E9" s="1051"/>
      <c r="F9" s="1051"/>
      <c r="G9" s="1051"/>
      <c r="H9" s="298"/>
      <c r="I9" s="298"/>
      <c r="K9" s="989" t="s">
        <v>2073</v>
      </c>
      <c r="L9" s="989"/>
      <c r="M9" s="989"/>
      <c r="N9" s="989"/>
      <c r="O9" s="989"/>
      <c r="P9" s="989"/>
      <c r="R9" s="162" t="s">
        <v>2037</v>
      </c>
      <c r="S9" s="165" t="s">
        <v>2123</v>
      </c>
      <c r="T9" s="167">
        <v>4.8899999999999997</v>
      </c>
      <c r="U9" s="167">
        <v>4.4800000000000004</v>
      </c>
      <c r="V9" s="167">
        <v>4.8899999999999997</v>
      </c>
    </row>
    <row r="10" spans="1:25" s="89" customFormat="1">
      <c r="R10" s="162" t="s">
        <v>2038</v>
      </c>
      <c r="S10" s="165" t="s">
        <v>2124</v>
      </c>
      <c r="T10" s="167">
        <v>1.8</v>
      </c>
      <c r="U10" s="167">
        <v>1.7450000000000001</v>
      </c>
      <c r="V10" s="167">
        <v>1.8</v>
      </c>
      <c r="W10"/>
    </row>
    <row r="11" spans="1:25" ht="14.4" thickBot="1">
      <c r="A11" s="89"/>
      <c r="B11" s="460" t="s">
        <v>2029</v>
      </c>
      <c r="C11" s="125"/>
      <c r="D11" s="1131" t="s">
        <v>7623</v>
      </c>
      <c r="E11" s="1132"/>
      <c r="F11" s="1143" t="s">
        <v>7614</v>
      </c>
      <c r="G11" s="1144"/>
      <c r="H11" s="292"/>
      <c r="I11" s="292"/>
      <c r="J11" s="156"/>
      <c r="K11" s="133" t="s">
        <v>2029</v>
      </c>
      <c r="L11" s="133"/>
      <c r="M11" s="1092" t="s">
        <v>2055</v>
      </c>
      <c r="N11" s="1093"/>
      <c r="O11" s="1091" t="s">
        <v>7642</v>
      </c>
      <c r="P11" s="1091"/>
      <c r="R11" s="162" t="s">
        <v>2039</v>
      </c>
      <c r="S11" s="165" t="s">
        <v>2123</v>
      </c>
      <c r="T11" s="167">
        <v>1.46</v>
      </c>
      <c r="U11" s="167">
        <v>1.49</v>
      </c>
      <c r="V11" s="167">
        <v>1.46</v>
      </c>
    </row>
    <row r="12" spans="1:25" ht="14.4" thickBot="1">
      <c r="A12" s="89"/>
      <c r="B12" s="459" t="s">
        <v>2033</v>
      </c>
      <c r="C12" s="461" t="s">
        <v>2041</v>
      </c>
      <c r="D12" s="656" t="s">
        <v>2049</v>
      </c>
      <c r="E12" s="136"/>
      <c r="F12" s="658" t="s">
        <v>106</v>
      </c>
      <c r="G12" s="137"/>
      <c r="H12" s="294"/>
      <c r="I12" s="294"/>
      <c r="K12" s="55" t="s">
        <v>2033</v>
      </c>
      <c r="L12" s="133" t="s">
        <v>7641</v>
      </c>
      <c r="M12" s="665" t="s">
        <v>7616</v>
      </c>
      <c r="N12" s="464"/>
      <c r="O12" s="665" t="s">
        <v>2056</v>
      </c>
      <c r="P12" s="465"/>
      <c r="R12" s="162" t="s">
        <v>2045</v>
      </c>
      <c r="S12" s="165" t="s">
        <v>2125</v>
      </c>
      <c r="T12" s="162">
        <v>5</v>
      </c>
      <c r="U12" s="162">
        <v>5</v>
      </c>
      <c r="V12" s="162">
        <v>5</v>
      </c>
    </row>
    <row r="13" spans="1:25" ht="14.4" thickBot="1">
      <c r="A13" s="89"/>
      <c r="B13" s="43"/>
      <c r="C13" s="123" t="s">
        <v>2034</v>
      </c>
      <c r="D13" s="656">
        <v>113</v>
      </c>
      <c r="E13" s="134" t="s">
        <v>2048</v>
      </c>
      <c r="F13" s="659">
        <v>105</v>
      </c>
      <c r="G13" s="135" t="s">
        <v>2048</v>
      </c>
      <c r="H13" s="293"/>
      <c r="I13" s="293"/>
      <c r="K13" s="126"/>
      <c r="L13" s="133" t="s">
        <v>7640</v>
      </c>
      <c r="M13" s="666" t="s">
        <v>7615</v>
      </c>
      <c r="N13" s="457"/>
      <c r="O13" s="660" t="s">
        <v>215</v>
      </c>
      <c r="P13" s="89"/>
      <c r="R13" s="162" t="s">
        <v>2042</v>
      </c>
      <c r="S13" s="165" t="s">
        <v>2126</v>
      </c>
      <c r="T13" s="162">
        <v>23.2</v>
      </c>
      <c r="U13" s="162">
        <v>32.6</v>
      </c>
      <c r="V13" s="168">
        <v>11.4</v>
      </c>
    </row>
    <row r="14" spans="1:25" ht="14.4" thickBot="1">
      <c r="A14" s="89"/>
      <c r="B14" s="56"/>
      <c r="C14" s="123" t="s">
        <v>2035</v>
      </c>
      <c r="D14" s="656">
        <v>1850</v>
      </c>
      <c r="E14" s="155" t="s">
        <v>2036</v>
      </c>
      <c r="F14" s="660" t="s">
        <v>7472</v>
      </c>
      <c r="G14" s="394" t="s">
        <v>2036</v>
      </c>
      <c r="H14" s="293"/>
      <c r="I14" s="293"/>
      <c r="K14" s="126"/>
      <c r="L14" s="133" t="s">
        <v>2057</v>
      </c>
      <c r="M14" s="667">
        <v>0.7</v>
      </c>
      <c r="N14" s="135" t="s">
        <v>2058</v>
      </c>
      <c r="O14" s="1149" t="s">
        <v>7643</v>
      </c>
      <c r="P14" s="1150"/>
      <c r="R14" s="162" t="s">
        <v>2043</v>
      </c>
      <c r="S14" s="162"/>
      <c r="T14" s="162" t="s">
        <v>2127</v>
      </c>
      <c r="U14" s="162" t="s">
        <v>2127</v>
      </c>
      <c r="V14" s="162" t="s">
        <v>2127</v>
      </c>
    </row>
    <row r="15" spans="1:25" ht="14.4" thickBot="1">
      <c r="A15" s="89"/>
      <c r="B15" s="56"/>
      <c r="C15" s="123" t="s">
        <v>7513</v>
      </c>
      <c r="D15" s="1107"/>
      <c r="E15" s="1108"/>
      <c r="F15" s="1147">
        <v>2020</v>
      </c>
      <c r="G15" s="1148"/>
      <c r="H15" s="293"/>
      <c r="I15" s="293"/>
      <c r="K15" s="126"/>
      <c r="L15" s="133" t="s">
        <v>2063</v>
      </c>
      <c r="M15" s="445">
        <f>M14/M16*M17</f>
        <v>0.96249999999999991</v>
      </c>
      <c r="N15" s="135" t="s">
        <v>2048</v>
      </c>
      <c r="O15" s="468">
        <f>M15</f>
        <v>0.96249999999999991</v>
      </c>
      <c r="P15" s="469" t="s">
        <v>2048</v>
      </c>
    </row>
    <row r="16" spans="1:25">
      <c r="A16" s="89"/>
      <c r="B16" s="56"/>
      <c r="C16" s="123" t="s">
        <v>2037</v>
      </c>
      <c r="D16" s="656">
        <v>4.8899999999999997</v>
      </c>
      <c r="E16" s="154" t="s">
        <v>2040</v>
      </c>
      <c r="F16" s="656">
        <v>4.8899999999999997</v>
      </c>
      <c r="G16" s="347" t="s">
        <v>2040</v>
      </c>
      <c r="H16" s="293"/>
      <c r="I16" s="293"/>
      <c r="K16" s="126"/>
      <c r="L16" s="133" t="s">
        <v>2064</v>
      </c>
      <c r="M16" s="667">
        <v>40</v>
      </c>
      <c r="N16" s="135" t="s">
        <v>2067</v>
      </c>
      <c r="O16" s="1096" t="s">
        <v>7643</v>
      </c>
      <c r="P16" s="1097"/>
    </row>
    <row r="17" spans="1:35">
      <c r="A17" s="89"/>
      <c r="B17" s="56"/>
      <c r="C17" s="123" t="s">
        <v>2038</v>
      </c>
      <c r="D17" s="656">
        <v>1.8149999999999999</v>
      </c>
      <c r="E17" s="134" t="s">
        <v>2040</v>
      </c>
      <c r="F17" s="656">
        <v>1.8</v>
      </c>
      <c r="G17" s="135" t="s">
        <v>2040</v>
      </c>
      <c r="H17" s="293"/>
      <c r="I17" s="293"/>
      <c r="K17" s="126"/>
      <c r="L17" s="133" t="s">
        <v>2065</v>
      </c>
      <c r="M17" s="667">
        <v>55</v>
      </c>
      <c r="N17" s="135" t="s">
        <v>2067</v>
      </c>
      <c r="O17" s="667">
        <v>89</v>
      </c>
      <c r="P17" s="135" t="s">
        <v>2061</v>
      </c>
    </row>
    <row r="18" spans="1:35">
      <c r="A18" s="89"/>
      <c r="B18" s="56"/>
      <c r="C18" s="123" t="s">
        <v>2039</v>
      </c>
      <c r="D18" s="656">
        <v>1.5349999999999999</v>
      </c>
      <c r="E18" s="134" t="s">
        <v>2040</v>
      </c>
      <c r="F18" s="656">
        <v>1.46</v>
      </c>
      <c r="G18" s="135" t="s">
        <v>2040</v>
      </c>
      <c r="H18" s="293"/>
      <c r="I18" s="293"/>
      <c r="K18" s="126"/>
      <c r="L18" s="133" t="s">
        <v>2066</v>
      </c>
      <c r="M18" s="668">
        <v>140</v>
      </c>
      <c r="N18" s="135" t="s">
        <v>2070</v>
      </c>
      <c r="O18" s="668"/>
      <c r="P18" s="135" t="s">
        <v>216</v>
      </c>
    </row>
    <row r="19" spans="1:35">
      <c r="A19" s="89"/>
      <c r="B19" s="56"/>
      <c r="C19" s="123" t="s">
        <v>2045</v>
      </c>
      <c r="D19" s="656">
        <v>4</v>
      </c>
      <c r="E19" s="134" t="s">
        <v>2046</v>
      </c>
      <c r="F19" s="656">
        <v>5</v>
      </c>
      <c r="G19" s="135" t="s">
        <v>2046</v>
      </c>
      <c r="H19" s="295"/>
      <c r="I19" s="295"/>
      <c r="K19" s="126"/>
      <c r="L19" s="133" t="s">
        <v>2068</v>
      </c>
      <c r="M19" s="668">
        <v>60</v>
      </c>
      <c r="N19" s="135" t="s">
        <v>2069</v>
      </c>
      <c r="O19" s="668"/>
      <c r="P19" s="135" t="s">
        <v>2069</v>
      </c>
    </row>
    <row r="20" spans="1:35">
      <c r="A20" s="89"/>
      <c r="B20" s="56"/>
      <c r="C20" s="123" t="s">
        <v>2042</v>
      </c>
      <c r="D20" s="657">
        <f>13.7/共通データ!C29</f>
        <v>152.39154616240268</v>
      </c>
      <c r="E20" s="438" t="s">
        <v>2047</v>
      </c>
      <c r="F20" s="667">
        <f>IFERROR(HLOOKUP(F14,T22:AI28,VLOOKUP(F15,R23:S28,2)),"")</f>
        <v>16.5</v>
      </c>
      <c r="G20" s="138" t="str">
        <f>"km/"&amp;VLOOKUP(F12,Color!O4:P8,2,FALSE)</f>
        <v>km/L</v>
      </c>
      <c r="H20" s="294"/>
      <c r="I20" s="294"/>
      <c r="K20" s="127"/>
      <c r="L20" s="133" t="s">
        <v>2071</v>
      </c>
      <c r="M20" s="668">
        <v>41.9</v>
      </c>
      <c r="N20" s="135" t="s">
        <v>2072</v>
      </c>
      <c r="O20" s="668"/>
      <c r="P20" s="135" t="s">
        <v>2048</v>
      </c>
    </row>
    <row r="21" spans="1:35">
      <c r="A21" s="89"/>
      <c r="B21" s="57"/>
      <c r="C21" s="123" t="s">
        <v>2043</v>
      </c>
      <c r="D21" s="656" t="s">
        <v>2044</v>
      </c>
      <c r="E21" s="136"/>
      <c r="F21" s="656" t="s">
        <v>2044</v>
      </c>
      <c r="G21" s="137"/>
      <c r="K21" s="471" t="s">
        <v>2030</v>
      </c>
      <c r="L21" s="472" t="s">
        <v>2031</v>
      </c>
      <c r="M21" s="1115">
        <v>1</v>
      </c>
      <c r="N21" s="1116"/>
      <c r="O21" s="1116"/>
      <c r="P21" s="473" t="s">
        <v>229</v>
      </c>
      <c r="R21" s="36" t="s">
        <v>7489</v>
      </c>
    </row>
    <row r="22" spans="1:35" ht="15" customHeight="1">
      <c r="A22" s="89"/>
      <c r="B22" s="55" t="s">
        <v>7621</v>
      </c>
      <c r="C22" s="124" t="s">
        <v>206</v>
      </c>
      <c r="D22" s="1137">
        <v>1</v>
      </c>
      <c r="E22" s="1138"/>
      <c r="F22" s="1138"/>
      <c r="G22" s="347" t="s">
        <v>209</v>
      </c>
      <c r="H22" s="298"/>
      <c r="I22" s="298"/>
      <c r="K22" s="56"/>
      <c r="L22" s="472" t="s">
        <v>2057</v>
      </c>
      <c r="M22" s="1117">
        <f>$M$14</f>
        <v>0.7</v>
      </c>
      <c r="N22" s="1118"/>
      <c r="O22" s="1118"/>
      <c r="P22" s="128" t="s">
        <v>228</v>
      </c>
      <c r="R22" s="346" t="s">
        <v>7473</v>
      </c>
      <c r="S22" s="346"/>
      <c r="T22" s="343" t="s">
        <v>7474</v>
      </c>
      <c r="U22" s="343" t="s">
        <v>7475</v>
      </c>
      <c r="V22" s="343" t="s">
        <v>7476</v>
      </c>
      <c r="W22" s="343" t="s">
        <v>7477</v>
      </c>
      <c r="X22" s="343" t="s">
        <v>7478</v>
      </c>
      <c r="Y22" s="343" t="s">
        <v>7479</v>
      </c>
      <c r="Z22" s="343" t="s">
        <v>7480</v>
      </c>
      <c r="AA22" s="344" t="s">
        <v>7481</v>
      </c>
      <c r="AB22" s="343" t="s">
        <v>7482</v>
      </c>
      <c r="AC22" s="344" t="s">
        <v>7472</v>
      </c>
      <c r="AD22" s="344" t="s">
        <v>7483</v>
      </c>
      <c r="AE22" s="344" t="s">
        <v>7484</v>
      </c>
      <c r="AF22" s="344" t="s">
        <v>7485</v>
      </c>
      <c r="AG22" s="344" t="s">
        <v>7486</v>
      </c>
      <c r="AH22" s="344" t="s">
        <v>7487</v>
      </c>
      <c r="AI22" s="343" t="s">
        <v>7488</v>
      </c>
    </row>
    <row r="23" spans="1:35">
      <c r="A23" s="89"/>
      <c r="B23" s="126"/>
      <c r="C23" s="124" t="s">
        <v>207</v>
      </c>
      <c r="D23" s="1139">
        <v>1</v>
      </c>
      <c r="E23" s="1140"/>
      <c r="F23" s="1140"/>
      <c r="G23" s="432" t="s">
        <v>7628</v>
      </c>
      <c r="K23" s="470"/>
      <c r="L23" s="472" t="s">
        <v>7648</v>
      </c>
      <c r="M23" s="1101">
        <f>M21*M22/$M$16*$M$17*3.6</f>
        <v>3.4649999999999999</v>
      </c>
      <c r="N23" s="1102"/>
      <c r="O23" s="1102"/>
      <c r="P23" s="474" t="s">
        <v>6942</v>
      </c>
      <c r="R23" s="346">
        <v>2015</v>
      </c>
      <c r="S23" s="346">
        <v>2</v>
      </c>
      <c r="T23" s="346">
        <v>22.5</v>
      </c>
      <c r="U23" s="346">
        <v>21.8</v>
      </c>
      <c r="V23" s="346">
        <v>21</v>
      </c>
      <c r="W23" s="346">
        <v>20.8</v>
      </c>
      <c r="X23" s="346">
        <v>20.5</v>
      </c>
      <c r="Y23" s="346">
        <v>18.7</v>
      </c>
      <c r="Z23" s="346">
        <v>17.2</v>
      </c>
      <c r="AA23" s="346">
        <v>15.8</v>
      </c>
      <c r="AB23" s="346">
        <v>14.4</v>
      </c>
      <c r="AC23" s="346">
        <v>13.2</v>
      </c>
      <c r="AD23" s="346">
        <v>12.2</v>
      </c>
      <c r="AE23" s="346">
        <v>11.1</v>
      </c>
      <c r="AF23" s="346">
        <v>10.199999999999999</v>
      </c>
      <c r="AG23" s="346">
        <v>9.4</v>
      </c>
      <c r="AH23" s="346">
        <v>8.6999999999999993</v>
      </c>
      <c r="AI23" s="346">
        <v>7.4</v>
      </c>
    </row>
    <row r="24" spans="1:35">
      <c r="A24" s="89"/>
      <c r="B24" s="55" t="s">
        <v>7631</v>
      </c>
      <c r="C24" s="124" t="s">
        <v>7629</v>
      </c>
      <c r="D24" s="442">
        <f>D23*D22/D20</f>
        <v>6.5620437956204376E-3</v>
      </c>
      <c r="E24" s="134" t="s">
        <v>7630</v>
      </c>
      <c r="F24" s="444">
        <f>D22*D23/F20</f>
        <v>6.0606060606060608E-2</v>
      </c>
      <c r="G24" s="423" t="str">
        <f>"["&amp;VLOOKUP(F12,Color!$O$4:$P$8,2,FALSE)&amp;"-"&amp;F12&amp;"]"</f>
        <v>[L-ガソリン]</v>
      </c>
      <c r="H24" s="296"/>
      <c r="I24" s="296"/>
      <c r="K24" s="55" t="s">
        <v>7631</v>
      </c>
      <c r="L24" s="123" t="s">
        <v>7646</v>
      </c>
      <c r="M24" s="164">
        <f>$M$21*$M$22/($M$16/100)*3.6/共通データ!E29</f>
        <v>0.58333333333333315</v>
      </c>
      <c r="N24" s="128" t="s">
        <v>7645</v>
      </c>
      <c r="O24" s="142">
        <f>M23/($O$17/100)</f>
        <v>3.893258426966292</v>
      </c>
      <c r="P24" s="134" t="s">
        <v>193</v>
      </c>
      <c r="R24" s="346">
        <v>2016</v>
      </c>
      <c r="S24" s="346">
        <v>3</v>
      </c>
      <c r="T24" s="346">
        <v>22.5</v>
      </c>
      <c r="U24" s="346">
        <v>22.36</v>
      </c>
      <c r="V24" s="346">
        <v>21.7</v>
      </c>
      <c r="W24" s="346">
        <v>21.38</v>
      </c>
      <c r="X24" s="346">
        <v>21.08</v>
      </c>
      <c r="Y24" s="346">
        <v>19.32</v>
      </c>
      <c r="Z24" s="346">
        <v>17.82</v>
      </c>
      <c r="AA24" s="346">
        <v>16.440000000000001</v>
      </c>
      <c r="AB24" s="346">
        <v>15.040000000000001</v>
      </c>
      <c r="AC24" s="346">
        <v>13.86</v>
      </c>
      <c r="AD24" s="346">
        <v>12.84</v>
      </c>
      <c r="AE24" s="346">
        <v>11.76</v>
      </c>
      <c r="AF24" s="346">
        <v>10.86</v>
      </c>
      <c r="AG24" s="346">
        <v>10.06</v>
      </c>
      <c r="AH24" s="346">
        <v>9.34</v>
      </c>
      <c r="AI24" s="346">
        <v>8.0400000000000009</v>
      </c>
    </row>
    <row r="25" spans="1:35">
      <c r="A25" s="89"/>
      <c r="B25" s="126"/>
      <c r="C25" s="124" t="s">
        <v>210</v>
      </c>
      <c r="D25" s="443">
        <f>IF('小計（製造から供給）'!F4="[kgCO2/MJH2]",'小計（製造から供給）'!E4,IF('小計（製造から供給）'!F4="[kgCO2/kgH2]",'小計（製造から供給）'!E4/共通データ!H29,'小計（製造から供給）'!E4/共通データ!E29))</f>
        <v>5.5031812483260716E-2</v>
      </c>
      <c r="E25" s="440" t="s">
        <v>7627</v>
      </c>
      <c r="F25" s="422">
        <f>ROUND(IF(F12="系統電力", 共通データ!O40,VLOOKUP(VLOOKUP(F12,$R$60:$S$63,2,FALSE),IDEAv2原単位!$A$3:$F$4021,6,FALSE)),3)</f>
        <v>8.3000000000000004E-2</v>
      </c>
      <c r="G25" s="423" t="s">
        <v>221</v>
      </c>
      <c r="H25" s="293"/>
      <c r="I25" s="293"/>
      <c r="K25" s="126"/>
      <c r="L25" s="123" t="s">
        <v>7712</v>
      </c>
      <c r="M25" s="475">
        <f>D25</f>
        <v>5.5031812483260716E-2</v>
      </c>
      <c r="N25" s="476" t="s">
        <v>7647</v>
      </c>
      <c r="O25" s="413">
        <f>IF(O13="系統電力", 共通データ!O40,VLOOKUP(VLOOKUP(O13,$R$60:$S$65,2,FALSE),IDEAv2原単位!$A$3:$F$4021,6,FALSE))</f>
        <v>6.1846373431362067E-2</v>
      </c>
      <c r="P25" s="134" t="s">
        <v>221</v>
      </c>
      <c r="R25" s="346">
        <v>2017</v>
      </c>
      <c r="S25" s="346">
        <v>4</v>
      </c>
      <c r="T25" s="346">
        <v>22.5</v>
      </c>
      <c r="U25" s="346">
        <v>22.919999999999998</v>
      </c>
      <c r="V25" s="346">
        <v>22.4</v>
      </c>
      <c r="W25" s="346">
        <v>21.959999999999997</v>
      </c>
      <c r="X25" s="346">
        <v>21.659999999999997</v>
      </c>
      <c r="Y25" s="346">
        <v>19.940000000000001</v>
      </c>
      <c r="Z25" s="346">
        <v>18.440000000000001</v>
      </c>
      <c r="AA25" s="346">
        <v>17.080000000000002</v>
      </c>
      <c r="AB25" s="346">
        <v>15.680000000000001</v>
      </c>
      <c r="AC25" s="346">
        <v>14.52</v>
      </c>
      <c r="AD25" s="346">
        <v>13.48</v>
      </c>
      <c r="AE25" s="346">
        <v>12.42</v>
      </c>
      <c r="AF25" s="346">
        <v>11.52</v>
      </c>
      <c r="AG25" s="346">
        <v>10.72</v>
      </c>
      <c r="AH25" s="346">
        <v>9.98</v>
      </c>
      <c r="AI25" s="346">
        <v>8.6800000000000015</v>
      </c>
    </row>
    <row r="26" spans="1:35">
      <c r="A26" s="89"/>
      <c r="B26" s="126"/>
      <c r="C26" s="124" t="s">
        <v>211</v>
      </c>
      <c r="D26" s="838">
        <f>D24*共通データ!$H$28*D25</f>
        <v>4.3334539640103399E-2</v>
      </c>
      <c r="E26" s="134" t="s">
        <v>222</v>
      </c>
      <c r="F26" s="837">
        <f>IF(F12="系統電力",F24*F25,F24*VLOOKUP(F12,共通データ!B3:F29,5,FALSE)*F25)</f>
        <v>0.17404848484848512</v>
      </c>
      <c r="G26" s="423" t="s">
        <v>222</v>
      </c>
      <c r="H26" s="293"/>
      <c r="I26" s="293"/>
      <c r="K26" s="126"/>
      <c r="L26" s="123" t="s">
        <v>7713</v>
      </c>
      <c r="M26" s="513">
        <f>M24*共通データ!$E$29*M25</f>
        <v>0.34670041864454237</v>
      </c>
      <c r="N26" s="130" t="s">
        <v>222</v>
      </c>
      <c r="O26" s="513">
        <f>O24*O25</f>
        <v>0.24078391453895456</v>
      </c>
      <c r="P26" s="425" t="s">
        <v>222</v>
      </c>
      <c r="R26" s="346">
        <v>2018</v>
      </c>
      <c r="S26" s="346">
        <v>5</v>
      </c>
      <c r="T26" s="346">
        <v>22.5</v>
      </c>
      <c r="U26" s="346">
        <v>23.479999999999997</v>
      </c>
      <c r="V26" s="346">
        <v>23.099999999999998</v>
      </c>
      <c r="W26" s="346">
        <v>22.539999999999996</v>
      </c>
      <c r="X26" s="346">
        <v>22.239999999999995</v>
      </c>
      <c r="Y26" s="346">
        <v>20.560000000000002</v>
      </c>
      <c r="Z26" s="346">
        <v>19.060000000000002</v>
      </c>
      <c r="AA26" s="346">
        <v>17.720000000000002</v>
      </c>
      <c r="AB26" s="346">
        <v>16.32</v>
      </c>
      <c r="AC26" s="346">
        <v>15.18</v>
      </c>
      <c r="AD26" s="346">
        <v>14.120000000000001</v>
      </c>
      <c r="AE26" s="346">
        <v>13.08</v>
      </c>
      <c r="AF26" s="346">
        <v>12.18</v>
      </c>
      <c r="AG26" s="346">
        <v>11.38</v>
      </c>
      <c r="AH26" s="346">
        <v>10.620000000000001</v>
      </c>
      <c r="AI26" s="346">
        <v>9.3200000000000021</v>
      </c>
    </row>
    <row r="27" spans="1:35">
      <c r="A27" s="89"/>
      <c r="B27" s="127"/>
      <c r="C27" s="463" t="s">
        <v>220</v>
      </c>
      <c r="D27" s="1111">
        <f>F26-D26</f>
        <v>0.13071394520838173</v>
      </c>
      <c r="E27" s="1112"/>
      <c r="F27" s="1112"/>
      <c r="G27" s="423" t="s">
        <v>222</v>
      </c>
      <c r="H27" s="293"/>
      <c r="I27" s="293"/>
      <c r="K27" s="126"/>
      <c r="L27" s="123" t="s">
        <v>7709</v>
      </c>
      <c r="M27" s="519"/>
      <c r="N27" s="134"/>
      <c r="O27" s="514">
        <f>$M$22*$M$21</f>
        <v>0.7</v>
      </c>
      <c r="P27" s="128" t="s">
        <v>47</v>
      </c>
      <c r="R27" s="346">
        <v>2019</v>
      </c>
      <c r="S27" s="346">
        <v>6</v>
      </c>
      <c r="T27" s="346">
        <v>22.5</v>
      </c>
      <c r="U27" s="346">
        <v>24.039999999999996</v>
      </c>
      <c r="V27" s="346">
        <v>23.799999999999997</v>
      </c>
      <c r="W27" s="346">
        <v>23.119999999999994</v>
      </c>
      <c r="X27" s="346">
        <v>22.819999999999993</v>
      </c>
      <c r="Y27" s="346">
        <v>21.180000000000003</v>
      </c>
      <c r="Z27" s="346">
        <v>19.680000000000003</v>
      </c>
      <c r="AA27" s="346">
        <v>18.360000000000003</v>
      </c>
      <c r="AB27" s="346">
        <v>16.96</v>
      </c>
      <c r="AC27" s="346">
        <v>15.84</v>
      </c>
      <c r="AD27" s="346">
        <v>14.760000000000002</v>
      </c>
      <c r="AE27" s="346">
        <v>13.74</v>
      </c>
      <c r="AF27" s="346">
        <v>12.84</v>
      </c>
      <c r="AG27" s="346">
        <v>12.040000000000001</v>
      </c>
      <c r="AH27" s="346">
        <v>11.260000000000002</v>
      </c>
      <c r="AI27" s="346">
        <v>9.9600000000000026</v>
      </c>
    </row>
    <row r="28" spans="1:35">
      <c r="A28" s="89"/>
      <c r="B28" s="89"/>
      <c r="C28" s="89"/>
      <c r="D28" s="89"/>
      <c r="E28" s="89"/>
      <c r="F28" s="89"/>
      <c r="G28" s="89"/>
      <c r="H28" s="294"/>
      <c r="I28" s="294"/>
      <c r="K28" s="126"/>
      <c r="L28" s="123" t="s">
        <v>7710</v>
      </c>
      <c r="M28" s="520"/>
      <c r="N28" s="134"/>
      <c r="O28" s="833">
        <f>共通データ!O40</f>
        <v>0.57899999999999996</v>
      </c>
      <c r="P28" s="134" t="s">
        <v>232</v>
      </c>
      <c r="R28" s="346">
        <v>2020</v>
      </c>
      <c r="S28" s="346">
        <v>7</v>
      </c>
      <c r="T28" s="346">
        <v>22.5</v>
      </c>
      <c r="U28" s="346">
        <v>24.6</v>
      </c>
      <c r="V28" s="346">
        <v>24.5</v>
      </c>
      <c r="W28" s="346">
        <v>23.7</v>
      </c>
      <c r="X28" s="346">
        <v>23.4</v>
      </c>
      <c r="Y28" s="346">
        <v>21.8</v>
      </c>
      <c r="Z28" s="346">
        <v>20.3</v>
      </c>
      <c r="AA28" s="346">
        <v>19</v>
      </c>
      <c r="AB28" s="346">
        <v>17.600000000000001</v>
      </c>
      <c r="AC28" s="346">
        <v>16.5</v>
      </c>
      <c r="AD28" s="346">
        <v>15.4</v>
      </c>
      <c r="AE28" s="346">
        <v>14.4</v>
      </c>
      <c r="AF28" s="346">
        <v>13.5</v>
      </c>
      <c r="AG28" s="346">
        <v>12.7</v>
      </c>
      <c r="AH28" s="346">
        <v>11.9</v>
      </c>
      <c r="AI28" s="346">
        <v>10.6</v>
      </c>
    </row>
    <row r="29" spans="1:35">
      <c r="A29" s="89"/>
      <c r="B29" s="89"/>
      <c r="C29" s="89"/>
      <c r="D29" s="89"/>
      <c r="E29" s="89"/>
      <c r="F29" s="89"/>
      <c r="G29" s="89"/>
      <c r="H29" s="293"/>
      <c r="I29" s="293"/>
      <c r="K29" s="126"/>
      <c r="L29" s="123" t="s">
        <v>7711</v>
      </c>
      <c r="M29" s="519"/>
      <c r="N29" s="425"/>
      <c r="O29" s="142">
        <f>O27*O28</f>
        <v>0.40529999999999994</v>
      </c>
      <c r="P29" s="425" t="s">
        <v>222</v>
      </c>
    </row>
    <row r="30" spans="1:35">
      <c r="A30" s="89"/>
      <c r="B30" s="989" t="s">
        <v>7633</v>
      </c>
      <c r="C30" s="1051"/>
      <c r="D30" s="1051"/>
      <c r="E30" s="1051"/>
      <c r="F30" s="1051"/>
      <c r="G30" s="1051"/>
      <c r="H30" s="293"/>
      <c r="I30" s="293"/>
      <c r="K30" s="448" t="s">
        <v>7644</v>
      </c>
      <c r="L30" s="449"/>
      <c r="M30" s="1109">
        <f>(O26+O29)-M26</f>
        <v>0.29938349589441215</v>
      </c>
      <c r="N30" s="1109"/>
      <c r="O30" s="1110"/>
      <c r="P30" s="425" t="s">
        <v>222</v>
      </c>
    </row>
    <row r="31" spans="1:35">
      <c r="A31" s="89"/>
      <c r="B31" s="89"/>
      <c r="C31" s="89"/>
      <c r="D31" s="89"/>
      <c r="E31" s="89"/>
      <c r="F31" s="89"/>
      <c r="G31" s="89"/>
      <c r="H31" s="293"/>
      <c r="I31" s="293"/>
      <c r="K31" s="157"/>
      <c r="L31" s="158"/>
      <c r="M31" s="299"/>
      <c r="N31" s="242"/>
      <c r="O31" s="294"/>
      <c r="P31" s="89"/>
    </row>
    <row r="32" spans="1:35">
      <c r="A32" s="89"/>
      <c r="B32" s="133" t="s">
        <v>2029</v>
      </c>
      <c r="C32" s="125"/>
      <c r="D32" s="1141" t="s">
        <v>7634</v>
      </c>
      <c r="E32" s="1142"/>
      <c r="F32" s="1145" t="s">
        <v>7635</v>
      </c>
      <c r="G32" s="1146"/>
      <c r="H32" s="293"/>
      <c r="I32" s="293"/>
      <c r="K32" s="989" t="s">
        <v>2074</v>
      </c>
      <c r="L32" s="989"/>
      <c r="M32" s="989"/>
      <c r="N32" s="989"/>
      <c r="O32" s="989"/>
      <c r="P32" s="989"/>
    </row>
    <row r="33" spans="1:25" ht="14.4" thickBot="1">
      <c r="A33" s="89"/>
      <c r="B33" s="1133" t="s">
        <v>7492</v>
      </c>
      <c r="C33" s="1134"/>
      <c r="D33" s="1113" t="str">
        <f>F33</f>
        <v>路線バス</v>
      </c>
      <c r="E33" s="1114"/>
      <c r="F33" s="1135" t="s">
        <v>7527</v>
      </c>
      <c r="G33" s="1136"/>
      <c r="H33" s="293"/>
      <c r="I33" s="293"/>
      <c r="M33" s="89"/>
      <c r="N33" s="89"/>
      <c r="O33" s="89"/>
      <c r="P33" s="89"/>
    </row>
    <row r="34" spans="1:25" ht="14.4" thickBot="1">
      <c r="A34" s="89"/>
      <c r="B34" s="462" t="s">
        <v>2033</v>
      </c>
      <c r="C34" s="87" t="s">
        <v>2041</v>
      </c>
      <c r="D34" s="139" t="s">
        <v>2049</v>
      </c>
      <c r="E34" s="140"/>
      <c r="F34" s="658" t="s">
        <v>106</v>
      </c>
      <c r="G34" s="352"/>
      <c r="H34" s="293"/>
      <c r="I34" s="293"/>
      <c r="K34" s="133" t="s">
        <v>2029</v>
      </c>
      <c r="L34" s="141"/>
      <c r="M34" s="1100" t="s">
        <v>2078</v>
      </c>
      <c r="N34" s="1100"/>
      <c r="O34" s="1091" t="s">
        <v>7642</v>
      </c>
      <c r="P34" s="1091"/>
    </row>
    <row r="35" spans="1:25" ht="14.4" thickBot="1">
      <c r="A35" s="89"/>
      <c r="B35" s="43"/>
      <c r="C35" s="123" t="s">
        <v>2034</v>
      </c>
      <c r="D35" s="661">
        <v>113</v>
      </c>
      <c r="E35" s="134" t="s">
        <v>2048</v>
      </c>
      <c r="F35" s="661">
        <v>105</v>
      </c>
      <c r="G35" s="347" t="s">
        <v>2048</v>
      </c>
      <c r="H35" s="295"/>
      <c r="I35" s="295"/>
      <c r="K35" s="133" t="s">
        <v>2041</v>
      </c>
      <c r="L35" s="141"/>
      <c r="M35" s="669" t="s">
        <v>2060</v>
      </c>
      <c r="N35" s="467"/>
      <c r="O35" s="1099" t="s">
        <v>2106</v>
      </c>
      <c r="P35" s="1099"/>
    </row>
    <row r="36" spans="1:25" ht="14.4" thickBot="1">
      <c r="A36" s="89"/>
      <c r="B36" s="56"/>
      <c r="C36" s="123" t="s">
        <v>2035</v>
      </c>
      <c r="D36" s="661"/>
      <c r="E36" s="134" t="s">
        <v>2036</v>
      </c>
      <c r="F36" s="658" t="s">
        <v>7572</v>
      </c>
      <c r="G36" s="135" t="s">
        <v>2036</v>
      </c>
      <c r="H36" s="294"/>
      <c r="I36" s="294"/>
      <c r="K36" s="55" t="s">
        <v>2033</v>
      </c>
      <c r="L36" s="133" t="s">
        <v>2062</v>
      </c>
      <c r="M36" s="669" t="s">
        <v>2075</v>
      </c>
      <c r="N36" s="467"/>
      <c r="O36" s="1100" t="s">
        <v>2076</v>
      </c>
      <c r="P36" s="1100"/>
    </row>
    <row r="37" spans="1:25">
      <c r="A37" s="89"/>
      <c r="B37" s="56"/>
      <c r="C37" s="123" t="s">
        <v>2037</v>
      </c>
      <c r="D37" s="661">
        <v>10.525</v>
      </c>
      <c r="E37" s="134" t="s">
        <v>2040</v>
      </c>
      <c r="F37" s="661">
        <v>10.43</v>
      </c>
      <c r="G37" s="135" t="s">
        <v>2040</v>
      </c>
      <c r="K37" s="126"/>
      <c r="L37" s="133" t="s">
        <v>2057</v>
      </c>
      <c r="M37" s="670">
        <v>5</v>
      </c>
      <c r="N37" s="469" t="s">
        <v>2048</v>
      </c>
      <c r="O37" s="670">
        <v>41.9</v>
      </c>
      <c r="P37" s="469" t="s">
        <v>2048</v>
      </c>
    </row>
    <row r="38" spans="1:25">
      <c r="A38" s="89"/>
      <c r="B38" s="56"/>
      <c r="C38" s="123" t="s">
        <v>2038</v>
      </c>
      <c r="D38" s="661">
        <v>2.4900000000000002</v>
      </c>
      <c r="E38" s="134" t="s">
        <v>2040</v>
      </c>
      <c r="F38" s="661">
        <v>2.4849999999999999</v>
      </c>
      <c r="G38" s="135" t="s">
        <v>2040</v>
      </c>
      <c r="H38" s="298"/>
      <c r="I38" s="298"/>
      <c r="K38" s="126"/>
      <c r="L38" s="133" t="s">
        <v>2063</v>
      </c>
      <c r="M38" s="835">
        <f>M37/M39*M40</f>
        <v>7.1794871794871788</v>
      </c>
      <c r="N38" s="469" t="s">
        <v>2048</v>
      </c>
      <c r="O38" s="835">
        <f>M38</f>
        <v>7.1794871794871788</v>
      </c>
      <c r="P38" s="469" t="s">
        <v>2048</v>
      </c>
    </row>
    <row r="39" spans="1:25">
      <c r="A39" s="89"/>
      <c r="B39" s="56"/>
      <c r="C39" s="123" t="s">
        <v>2039</v>
      </c>
      <c r="D39" s="661">
        <v>3.34</v>
      </c>
      <c r="E39" s="134" t="s">
        <v>2040</v>
      </c>
      <c r="F39" s="661">
        <v>3.0449999999999999</v>
      </c>
      <c r="G39" s="135" t="s">
        <v>2040</v>
      </c>
      <c r="K39" s="126"/>
      <c r="L39" s="133" t="s">
        <v>2064</v>
      </c>
      <c r="M39" s="671">
        <v>39</v>
      </c>
      <c r="N39" s="469" t="s">
        <v>2067</v>
      </c>
      <c r="O39" s="1098" t="s">
        <v>7643</v>
      </c>
      <c r="P39" s="1098"/>
    </row>
    <row r="40" spans="1:25">
      <c r="A40" s="89"/>
      <c r="B40" s="56"/>
      <c r="C40" s="123" t="s">
        <v>2045</v>
      </c>
      <c r="D40" s="661">
        <v>77</v>
      </c>
      <c r="E40" s="134" t="s">
        <v>2046</v>
      </c>
      <c r="F40" s="661">
        <v>79</v>
      </c>
      <c r="G40" s="135" t="s">
        <v>2046</v>
      </c>
      <c r="H40" s="296"/>
      <c r="I40" s="296"/>
      <c r="K40" s="126"/>
      <c r="L40" s="133" t="s">
        <v>2065</v>
      </c>
      <c r="M40" s="671">
        <v>56</v>
      </c>
      <c r="N40" s="469" t="s">
        <v>2067</v>
      </c>
      <c r="O40" s="672">
        <v>88</v>
      </c>
      <c r="P40" s="469" t="s">
        <v>2061</v>
      </c>
    </row>
    <row r="41" spans="1:25">
      <c r="A41" s="89"/>
      <c r="B41" s="56"/>
      <c r="C41" s="123" t="s">
        <v>2042</v>
      </c>
      <c r="D41" s="657">
        <v>70</v>
      </c>
      <c r="E41" s="134" t="s">
        <v>7611</v>
      </c>
      <c r="F41" s="667">
        <f>IFERROR(IF(F33="路線バス", HLOOKUP(F36,S45:W46,2,FALSE),HLOOKUP(F36,S47:Y48,2,FALSE)),"")</f>
        <v>6.3</v>
      </c>
      <c r="G41" s="138" t="str">
        <f>"km/"&amp;VLOOKUP(F34,Color!O4:P8,2,FALSE)</f>
        <v>km/L</v>
      </c>
      <c r="H41" s="293"/>
      <c r="I41" s="293"/>
      <c r="K41" s="471" t="s">
        <v>2030</v>
      </c>
      <c r="L41" s="472" t="s">
        <v>2031</v>
      </c>
      <c r="M41" s="1127">
        <v>60</v>
      </c>
      <c r="N41" s="1128"/>
      <c r="O41" s="1128"/>
      <c r="P41" s="477" t="s">
        <v>229</v>
      </c>
    </row>
    <row r="42" spans="1:25">
      <c r="A42" s="89"/>
      <c r="B42" s="57"/>
      <c r="C42" s="123" t="s">
        <v>2043</v>
      </c>
      <c r="D42" s="656" t="s">
        <v>2050</v>
      </c>
      <c r="E42" s="136"/>
      <c r="F42" s="656" t="s">
        <v>7612</v>
      </c>
      <c r="G42" s="137"/>
      <c r="H42" s="293"/>
      <c r="I42" s="293"/>
      <c r="K42" s="56"/>
      <c r="L42" s="472" t="s">
        <v>2057</v>
      </c>
      <c r="M42" s="1094">
        <f>M37</f>
        <v>5</v>
      </c>
      <c r="N42" s="1095"/>
      <c r="O42" s="1095"/>
      <c r="P42" s="469" t="s">
        <v>7649</v>
      </c>
    </row>
    <row r="43" spans="1:25">
      <c r="A43" s="89"/>
      <c r="B43" s="55" t="s">
        <v>2030</v>
      </c>
      <c r="C43" s="124" t="s">
        <v>206</v>
      </c>
      <c r="D43" s="1105">
        <v>1</v>
      </c>
      <c r="E43" s="1106"/>
      <c r="F43" s="1106"/>
      <c r="G43" s="446" t="s">
        <v>209</v>
      </c>
      <c r="H43" s="293"/>
      <c r="I43" s="293"/>
      <c r="K43" s="470"/>
      <c r="L43" s="472" t="s">
        <v>7648</v>
      </c>
      <c r="M43" s="1101">
        <f>M41*M42/M39*M40*3.6</f>
        <v>1550.7692307692307</v>
      </c>
      <c r="N43" s="1102"/>
      <c r="O43" s="1102"/>
      <c r="P43" s="128" t="s">
        <v>193</v>
      </c>
    </row>
    <row r="44" spans="1:25">
      <c r="A44" s="89"/>
      <c r="B44" s="127"/>
      <c r="C44" s="441" t="s">
        <v>207</v>
      </c>
      <c r="D44" s="1087">
        <v>50000</v>
      </c>
      <c r="E44" s="1088"/>
      <c r="F44" s="1088"/>
      <c r="G44" s="347" t="s">
        <v>208</v>
      </c>
      <c r="H44" s="294"/>
      <c r="I44" s="294"/>
      <c r="K44" s="55" t="s">
        <v>7631</v>
      </c>
      <c r="L44" s="123" t="s">
        <v>7646</v>
      </c>
      <c r="M44" s="164">
        <f>ROUND(M41*M37/(M39/100)/共通データ!$E$28,0)</f>
        <v>90</v>
      </c>
      <c r="N44" s="128" t="s">
        <v>7645</v>
      </c>
      <c r="O44" s="427">
        <f>M43/(O40/100)</f>
        <v>1762.2377622377621</v>
      </c>
      <c r="P44" s="426" t="s">
        <v>193</v>
      </c>
      <c r="R44" s="348" t="s">
        <v>7503</v>
      </c>
      <c r="S44" s="310" t="s">
        <v>7497</v>
      </c>
      <c r="T44" s="310" t="s">
        <v>7498</v>
      </c>
      <c r="U44" s="310" t="s">
        <v>7499</v>
      </c>
      <c r="V44" s="310" t="s">
        <v>7500</v>
      </c>
      <c r="W44" s="310" t="s">
        <v>7501</v>
      </c>
    </row>
    <row r="45" spans="1:25">
      <c r="A45" s="89"/>
      <c r="B45" s="131" t="s">
        <v>7631</v>
      </c>
      <c r="C45" s="447" t="s">
        <v>7629</v>
      </c>
      <c r="D45" s="451">
        <f>D43*D44/$D$41</f>
        <v>714.28571428571433</v>
      </c>
      <c r="E45" s="134" t="s">
        <v>7636</v>
      </c>
      <c r="F45" s="452">
        <f>D43*D44/F41</f>
        <v>7936.5079365079364</v>
      </c>
      <c r="G45" s="423" t="str">
        <f>"["&amp;VLOOKUP(F34,Color!$O$4:$P$8,2,FALSE)&amp;"-"&amp;F34&amp;"]"</f>
        <v>[L-ガソリン]</v>
      </c>
      <c r="H45" s="293"/>
      <c r="I45" s="293"/>
      <c r="K45" s="126"/>
      <c r="L45" s="123" t="s">
        <v>7712</v>
      </c>
      <c r="M45" s="475">
        <f>D25</f>
        <v>5.5031812483260716E-2</v>
      </c>
      <c r="N45" s="476" t="s">
        <v>7647</v>
      </c>
      <c r="O45" s="515">
        <f>IF(O35="系統電力", 共通データ!O40,VLOOKUP(VLOOKUP(O35,$R$60:$S$65,2,FALSE),IDEAv2原単位!$A$3:$F$4021,6,FALSE))</f>
        <v>0.57899999999999996</v>
      </c>
      <c r="P45" s="426" t="s">
        <v>221</v>
      </c>
      <c r="R45" s="36" t="s">
        <v>7490</v>
      </c>
      <c r="S45" s="310" t="s">
        <v>7504</v>
      </c>
      <c r="T45" s="310" t="s">
        <v>7494</v>
      </c>
      <c r="U45" s="310" t="s">
        <v>7496</v>
      </c>
      <c r="V45" s="310" t="s">
        <v>7495</v>
      </c>
      <c r="W45" s="310" t="s">
        <v>7493</v>
      </c>
    </row>
    <row r="46" spans="1:25">
      <c r="A46" s="89"/>
      <c r="B46" s="126"/>
      <c r="C46" s="124" t="s">
        <v>210</v>
      </c>
      <c r="D46" s="443">
        <f>D25</f>
        <v>5.5031812483260716E-2</v>
      </c>
      <c r="E46" s="438" t="s">
        <v>221</v>
      </c>
      <c r="F46" s="453">
        <f>IF(F34="系統電力",共通データ!O40,VLOOKUP(VLOOKUP(F34,$R$60:$S$63,2,FALSE),IDEAv2原単位!$A$3:$F$4021,6,FALSE))</f>
        <v>8.3254117259754984E-2</v>
      </c>
      <c r="G46" s="423" t="s">
        <v>7637</v>
      </c>
      <c r="H46" s="293"/>
      <c r="I46" s="293"/>
      <c r="K46" s="126"/>
      <c r="L46" s="123" t="s">
        <v>7713</v>
      </c>
      <c r="M46" s="142">
        <f>M44*共通データ!$E$29*M45</f>
        <v>53.490921733729422</v>
      </c>
      <c r="N46" s="130" t="s">
        <v>222</v>
      </c>
      <c r="O46" s="427">
        <f>O44*O45</f>
        <v>1020.3356643356642</v>
      </c>
      <c r="P46" s="428" t="s">
        <v>222</v>
      </c>
      <c r="R46" s="345" t="s">
        <v>7502</v>
      </c>
      <c r="S46" s="310">
        <v>6.97</v>
      </c>
      <c r="T46" s="310">
        <v>6.3</v>
      </c>
      <c r="U46" s="310">
        <v>5.77</v>
      </c>
      <c r="V46" s="310">
        <v>5.14</v>
      </c>
      <c r="W46" s="310">
        <v>4.2300000000000004</v>
      </c>
    </row>
    <row r="47" spans="1:25">
      <c r="A47" s="89"/>
      <c r="B47" s="126"/>
      <c r="C47" s="124" t="s">
        <v>211</v>
      </c>
      <c r="D47" s="169">
        <f>D45*共通データ!$H$28*D46</f>
        <v>4717.0124985652046</v>
      </c>
      <c r="E47" s="134" t="s">
        <v>222</v>
      </c>
      <c r="F47" s="424">
        <f>F45*VLOOKUP(F34,共通データ!B3:F29,4,FALSE)*F46</f>
        <v>21718.752653398016</v>
      </c>
      <c r="G47" s="423" t="s">
        <v>222</v>
      </c>
      <c r="H47" s="293"/>
      <c r="I47" s="293"/>
      <c r="K47" s="126"/>
      <c r="L47" s="123" t="s">
        <v>7709</v>
      </c>
      <c r="M47" s="142"/>
      <c r="N47" s="128"/>
      <c r="O47" s="164">
        <f>M41*M42</f>
        <v>300</v>
      </c>
      <c r="P47" s="128" t="s">
        <v>47</v>
      </c>
      <c r="R47" s="36" t="s">
        <v>7491</v>
      </c>
      <c r="S47" s="310" t="s">
        <v>7505</v>
      </c>
      <c r="T47" s="310" t="s">
        <v>7506</v>
      </c>
      <c r="U47" s="310" t="s">
        <v>7507</v>
      </c>
      <c r="V47" s="310" t="s">
        <v>7508</v>
      </c>
      <c r="W47" s="310" t="s">
        <v>7509</v>
      </c>
      <c r="X47" s="310" t="s">
        <v>7510</v>
      </c>
      <c r="Y47" s="310" t="s">
        <v>7511</v>
      </c>
    </row>
    <row r="48" spans="1:25">
      <c r="A48" s="89"/>
      <c r="B48" s="127"/>
      <c r="C48" s="463" t="s">
        <v>220</v>
      </c>
      <c r="D48" s="1121">
        <f>F47-D47</f>
        <v>17001.740154832813</v>
      </c>
      <c r="E48" s="1122"/>
      <c r="F48" s="1122"/>
      <c r="G48" s="423" t="s">
        <v>222</v>
      </c>
      <c r="H48" s="293"/>
      <c r="I48" s="293"/>
      <c r="K48" s="126"/>
      <c r="L48" s="123" t="s">
        <v>7710</v>
      </c>
      <c r="M48" s="353"/>
      <c r="N48" s="128"/>
      <c r="O48" s="834">
        <f>共通データ!O40</f>
        <v>0.57899999999999996</v>
      </c>
      <c r="P48" s="426" t="s">
        <v>232</v>
      </c>
      <c r="R48" s="345" t="s">
        <v>7502</v>
      </c>
      <c r="S48" s="310">
        <v>9.0399999999999991</v>
      </c>
      <c r="T48" s="310">
        <v>6.52</v>
      </c>
      <c r="U48" s="310">
        <v>6.37</v>
      </c>
      <c r="V48" s="310">
        <v>5.7</v>
      </c>
      <c r="W48" s="310">
        <v>5.21</v>
      </c>
      <c r="X48" s="310">
        <v>4.0599999999999996</v>
      </c>
      <c r="Y48" s="310">
        <v>3.57</v>
      </c>
    </row>
    <row r="49" spans="1:25">
      <c r="A49" s="89"/>
      <c r="B49" s="89"/>
      <c r="C49" s="89"/>
      <c r="D49" s="89"/>
      <c r="E49" s="89"/>
      <c r="F49" s="89"/>
      <c r="G49" s="89"/>
      <c r="H49" s="293"/>
      <c r="I49" s="293"/>
      <c r="K49" s="126"/>
      <c r="L49" s="123" t="s">
        <v>7711</v>
      </c>
      <c r="M49" s="142"/>
      <c r="N49" s="130"/>
      <c r="O49" s="427">
        <f>O47*O48</f>
        <v>173.7</v>
      </c>
      <c r="P49" s="428" t="s">
        <v>222</v>
      </c>
    </row>
    <row r="50" spans="1:25">
      <c r="A50" s="89"/>
      <c r="B50" s="989" t="s">
        <v>7638</v>
      </c>
      <c r="C50" s="1051"/>
      <c r="D50" s="1051"/>
      <c r="E50" s="1051"/>
      <c r="F50" s="1051"/>
      <c r="G50" s="1051"/>
      <c r="H50" s="293"/>
      <c r="I50" s="293"/>
      <c r="K50" s="127"/>
      <c r="L50" s="123" t="s">
        <v>233</v>
      </c>
      <c r="M50" s="1119">
        <f>(O46+O49)-M46</f>
        <v>1140.5447426019348</v>
      </c>
      <c r="N50" s="1120"/>
      <c r="O50" s="1120"/>
      <c r="P50" s="130" t="s">
        <v>222</v>
      </c>
    </row>
    <row r="51" spans="1:25">
      <c r="A51" s="89"/>
      <c r="B51" s="89"/>
      <c r="C51" s="89"/>
      <c r="D51" s="89"/>
      <c r="E51" s="89"/>
      <c r="F51" s="89"/>
      <c r="G51" s="89"/>
      <c r="K51" s="89"/>
      <c r="L51" s="89"/>
      <c r="M51" s="89"/>
      <c r="N51" s="89"/>
      <c r="O51" s="89"/>
      <c r="P51" s="89"/>
    </row>
    <row r="52" spans="1:25" ht="14.4" thickBot="1">
      <c r="A52" s="89"/>
      <c r="B52" s="133" t="s">
        <v>2029</v>
      </c>
      <c r="C52" s="125"/>
      <c r="D52" s="1125" t="s">
        <v>7639</v>
      </c>
      <c r="E52" s="1126"/>
      <c r="F52" s="1123" t="s">
        <v>7762</v>
      </c>
      <c r="G52" s="1124"/>
      <c r="K52" s="89"/>
      <c r="L52" s="89"/>
      <c r="M52" s="89"/>
      <c r="N52" s="89"/>
      <c r="O52" s="89"/>
      <c r="P52" s="89"/>
    </row>
    <row r="53" spans="1:25" ht="14.4" thickBot="1">
      <c r="A53" s="89"/>
      <c r="B53" s="87" t="s">
        <v>2041</v>
      </c>
      <c r="C53" s="88"/>
      <c r="D53" s="615" t="s">
        <v>2049</v>
      </c>
      <c r="E53" s="616"/>
      <c r="F53" s="1085" t="s">
        <v>2106</v>
      </c>
      <c r="G53" s="1086"/>
      <c r="K53" s="89"/>
      <c r="L53" s="89"/>
      <c r="M53" s="89"/>
      <c r="N53" s="89"/>
      <c r="O53" s="89"/>
      <c r="P53" s="89"/>
      <c r="R53" s="36" t="s">
        <v>7490</v>
      </c>
      <c r="S53" s="310" t="s">
        <v>7504</v>
      </c>
      <c r="T53" s="310" t="s">
        <v>7494</v>
      </c>
      <c r="U53" s="310" t="s">
        <v>7496</v>
      </c>
      <c r="V53" s="310" t="s">
        <v>7495</v>
      </c>
      <c r="W53" s="310" t="s">
        <v>7493</v>
      </c>
    </row>
    <row r="54" spans="1:25">
      <c r="A54" s="89"/>
      <c r="B54" s="55" t="s">
        <v>2033</v>
      </c>
      <c r="C54" s="123" t="s">
        <v>2051</v>
      </c>
      <c r="D54" s="663">
        <v>2.5</v>
      </c>
      <c r="E54" s="617" t="s">
        <v>2052</v>
      </c>
      <c r="F54" s="662">
        <v>2.5</v>
      </c>
      <c r="G54" s="347" t="s">
        <v>2052</v>
      </c>
      <c r="K54" s="89"/>
      <c r="L54" s="89"/>
      <c r="M54" s="89"/>
      <c r="N54" s="89"/>
      <c r="O54" s="89"/>
      <c r="P54" s="89"/>
      <c r="R54" s="36" t="s">
        <v>7491</v>
      </c>
      <c r="S54" s="310" t="s">
        <v>7505</v>
      </c>
      <c r="T54" s="310" t="s">
        <v>7506</v>
      </c>
      <c r="U54" s="310" t="s">
        <v>7507</v>
      </c>
      <c r="V54" s="310" t="s">
        <v>7508</v>
      </c>
      <c r="W54" s="310" t="s">
        <v>7509</v>
      </c>
      <c r="X54" s="310" t="s">
        <v>7510</v>
      </c>
      <c r="Y54" s="310" t="s">
        <v>7511</v>
      </c>
    </row>
    <row r="55" spans="1:25">
      <c r="A55" s="89"/>
      <c r="B55" s="126"/>
      <c r="C55" s="123" t="s">
        <v>2053</v>
      </c>
      <c r="D55" s="664"/>
      <c r="E55" s="617" t="s">
        <v>219</v>
      </c>
      <c r="F55" s="663">
        <v>3240</v>
      </c>
      <c r="G55" s="617" t="s">
        <v>219</v>
      </c>
      <c r="K55" s="89"/>
      <c r="L55" s="89"/>
      <c r="M55" s="89"/>
      <c r="N55" s="89"/>
      <c r="O55" s="89"/>
      <c r="P55" s="89"/>
    </row>
    <row r="56" spans="1:25">
      <c r="A56" s="89"/>
      <c r="B56" s="126"/>
      <c r="C56" s="123" t="s">
        <v>2037</v>
      </c>
      <c r="D56" s="664"/>
      <c r="E56" s="617" t="s">
        <v>2040</v>
      </c>
      <c r="F56" s="663">
        <v>3.34</v>
      </c>
      <c r="G56" s="617" t="s">
        <v>2040</v>
      </c>
      <c r="K56" s="89"/>
      <c r="L56" s="89"/>
      <c r="M56" s="89"/>
      <c r="N56" s="89"/>
      <c r="O56" s="89"/>
      <c r="P56" s="89"/>
    </row>
    <row r="57" spans="1:25">
      <c r="A57" s="89"/>
      <c r="B57" s="126"/>
      <c r="C57" s="123" t="s">
        <v>2038</v>
      </c>
      <c r="D57" s="664"/>
      <c r="E57" s="617" t="s">
        <v>2040</v>
      </c>
      <c r="F57" s="663">
        <v>1.1299999999999999</v>
      </c>
      <c r="G57" s="617" t="s">
        <v>2040</v>
      </c>
      <c r="K57" s="89"/>
      <c r="L57" s="89"/>
      <c r="M57" s="89"/>
      <c r="N57" s="89"/>
      <c r="O57" s="89"/>
      <c r="P57" s="89"/>
    </row>
    <row r="58" spans="1:25">
      <c r="B58" s="126"/>
      <c r="C58" s="123" t="s">
        <v>2039</v>
      </c>
      <c r="D58" s="664"/>
      <c r="E58" s="617" t="s">
        <v>2040</v>
      </c>
      <c r="F58" s="663">
        <v>1.9550000000000001</v>
      </c>
      <c r="G58" s="617" t="s">
        <v>2040</v>
      </c>
      <c r="K58" s="89"/>
      <c r="L58" s="89"/>
      <c r="M58" s="89"/>
      <c r="N58" s="89"/>
      <c r="O58" s="89"/>
      <c r="P58" s="89"/>
    </row>
    <row r="59" spans="1:25">
      <c r="B59" s="127"/>
      <c r="C59" s="123" t="s">
        <v>7714</v>
      </c>
      <c r="D59" s="831">
        <v>13.8</v>
      </c>
      <c r="E59" s="617" t="s">
        <v>7805</v>
      </c>
      <c r="F59" s="831">
        <f>VLOOKUP($F$53,$U$60:$W$62,2,FALSE)</f>
        <v>19.8</v>
      </c>
      <c r="G59" s="628" t="str">
        <f>VLOOKUP($F$53,$U$60:$W$62,3,FALSE)</f>
        <v>[kWh/8h]</v>
      </c>
      <c r="K59" s="89"/>
      <c r="L59" s="89"/>
      <c r="M59" s="89"/>
      <c r="N59" s="89"/>
      <c r="O59" s="89"/>
      <c r="P59" s="89"/>
      <c r="U59" s="626"/>
      <c r="V59" s="627" t="s">
        <v>7801</v>
      </c>
      <c r="W59" s="627" t="s">
        <v>7802</v>
      </c>
    </row>
    <row r="60" spans="1:25">
      <c r="B60" s="454" t="s">
        <v>2030</v>
      </c>
      <c r="C60" s="414" t="s">
        <v>206</v>
      </c>
      <c r="D60" s="1089">
        <v>1</v>
      </c>
      <c r="E60" s="1090"/>
      <c r="F60" s="1090"/>
      <c r="G60" s="617" t="s">
        <v>209</v>
      </c>
      <c r="K60" s="89"/>
      <c r="L60" s="89"/>
      <c r="M60" s="89"/>
      <c r="N60" s="89"/>
      <c r="O60" s="89"/>
      <c r="P60" s="89"/>
      <c r="R60" s="550" t="s">
        <v>212</v>
      </c>
      <c r="S60" s="551">
        <v>181111801</v>
      </c>
      <c r="U60" s="627" t="s">
        <v>7798</v>
      </c>
      <c r="V60" s="626">
        <v>18</v>
      </c>
      <c r="W60" s="626" t="s">
        <v>7803</v>
      </c>
    </row>
    <row r="61" spans="1:25">
      <c r="B61" s="455"/>
      <c r="C61" s="456" t="s">
        <v>2031</v>
      </c>
      <c r="D61" s="1087">
        <v>8</v>
      </c>
      <c r="E61" s="1088"/>
      <c r="F61" s="1088"/>
      <c r="G61" s="347" t="s">
        <v>229</v>
      </c>
      <c r="K61" s="89"/>
      <c r="L61" s="89"/>
      <c r="M61" s="89"/>
      <c r="N61" s="89"/>
      <c r="O61" s="89"/>
      <c r="P61" s="89"/>
      <c r="R61" s="550" t="s">
        <v>213</v>
      </c>
      <c r="S61" s="552">
        <v>181115801</v>
      </c>
      <c r="U61" s="627" t="s">
        <v>7799</v>
      </c>
      <c r="V61" s="626">
        <v>18</v>
      </c>
      <c r="W61" s="626" t="s">
        <v>7803</v>
      </c>
    </row>
    <row r="62" spans="1:25">
      <c r="B62" s="131" t="s">
        <v>7631</v>
      </c>
      <c r="C62" s="447" t="s">
        <v>7629</v>
      </c>
      <c r="D62" s="458">
        <f>$D$59/8*D61*D60</f>
        <v>13.8</v>
      </c>
      <c r="E62" s="154" t="str">
        <f>LEFT(E59,LEN(E59)-3)&amp;D60&amp;"台"&amp;"-"&amp;D61&amp;"h]"</f>
        <v>[Nm3/1台-8h]</v>
      </c>
      <c r="F62" s="618">
        <f>D61*F59/8*D60</f>
        <v>19.8</v>
      </c>
      <c r="G62" s="617" t="str">
        <f>LEFT(G59,LEN(G59)-3)&amp;D60&amp;"台"&amp;"-"&amp;D61&amp;"h]"</f>
        <v>[kWh/1台-8h]</v>
      </c>
      <c r="K62" s="89"/>
      <c r="L62" s="89"/>
      <c r="M62" s="89"/>
      <c r="N62" s="89"/>
      <c r="O62" s="89"/>
      <c r="P62" s="89"/>
      <c r="R62" s="553" t="s">
        <v>7595</v>
      </c>
      <c r="S62" s="552">
        <v>341111801</v>
      </c>
      <c r="U62" s="627" t="s">
        <v>7800</v>
      </c>
      <c r="V62" s="626">
        <v>19.8</v>
      </c>
      <c r="W62" s="627" t="s">
        <v>7804</v>
      </c>
    </row>
    <row r="63" spans="1:25">
      <c r="B63" s="126"/>
      <c r="C63" s="124" t="s">
        <v>210</v>
      </c>
      <c r="D63" s="619">
        <f>D25</f>
        <v>5.5031812483260716E-2</v>
      </c>
      <c r="E63" s="620" t="s">
        <v>7763</v>
      </c>
      <c r="F63" s="832">
        <f>IF(F53="系統電力",共通データ!O40,VLOOKUP(VLOOKUP(F53,$R$60:$S$63,2,FALSE),IDEAv2原単位!$A$3:$F$4021,6,FALSE))</f>
        <v>0.57899999999999996</v>
      </c>
      <c r="G63" s="617" t="str">
        <f>IF(F53="系統電力", "[kgCO2/kWh]", "[kgCO2/MJ]")</f>
        <v>[kgCO2/kWh]</v>
      </c>
      <c r="K63" s="89"/>
      <c r="L63" s="89"/>
      <c r="M63" s="89"/>
      <c r="N63" s="89"/>
      <c r="O63" s="89"/>
      <c r="P63" s="89"/>
      <c r="R63" s="554" t="s">
        <v>7596</v>
      </c>
      <c r="S63" s="552">
        <v>181124801</v>
      </c>
    </row>
    <row r="64" spans="1:25">
      <c r="B64" s="126"/>
      <c r="C64" s="124" t="s">
        <v>211</v>
      </c>
      <c r="D64" s="621">
        <f>D62*共通データ!E29*D63</f>
        <v>8.2019413325051787</v>
      </c>
      <c r="E64" s="620" t="s">
        <v>7764</v>
      </c>
      <c r="F64" s="622">
        <f>IF(F53="系統電力",F63*F62,IF(F53="ガソリン",F62*F63*共通データ!E9,F62*F63*共通データ!E11))</f>
        <v>11.4642</v>
      </c>
      <c r="G64" s="617" t="s">
        <v>7764</v>
      </c>
      <c r="K64" s="89"/>
      <c r="L64" s="89"/>
      <c r="M64" s="89"/>
      <c r="N64" s="89"/>
      <c r="O64" s="89"/>
      <c r="P64" s="89"/>
      <c r="R64" s="553" t="s">
        <v>7728</v>
      </c>
      <c r="S64" s="552">
        <v>181116801</v>
      </c>
    </row>
    <row r="65" spans="2:19">
      <c r="B65" s="127"/>
      <c r="C65" s="463" t="s">
        <v>220</v>
      </c>
      <c r="D65" s="1103">
        <f>F64-D64</f>
        <v>3.2622586674948213</v>
      </c>
      <c r="E65" s="1104"/>
      <c r="F65" s="1104"/>
      <c r="G65" s="617" t="s">
        <v>7764</v>
      </c>
      <c r="K65" s="89"/>
      <c r="L65" s="89"/>
      <c r="M65" s="89"/>
      <c r="N65" s="89"/>
      <c r="O65" s="89"/>
      <c r="P65" s="89"/>
      <c r="R65" s="555" t="s">
        <v>7729</v>
      </c>
      <c r="S65" s="552">
        <v>181114801</v>
      </c>
    </row>
    <row r="66" spans="2:19">
      <c r="B66" s="89"/>
      <c r="C66" s="89"/>
      <c r="D66" s="89"/>
      <c r="E66" s="89"/>
      <c r="F66" s="89"/>
      <c r="G66" s="89"/>
    </row>
    <row r="67" spans="2:19">
      <c r="B67" s="89"/>
      <c r="C67" s="89"/>
      <c r="D67" s="89"/>
      <c r="E67" s="89"/>
      <c r="F67" s="89"/>
      <c r="G67" s="89"/>
    </row>
    <row r="68" spans="2:19">
      <c r="B68" s="89"/>
      <c r="C68" s="89"/>
      <c r="D68" s="89"/>
      <c r="E68" s="89"/>
      <c r="F68" s="89"/>
      <c r="G68" s="89"/>
    </row>
    <row r="69" spans="2:19">
      <c r="B69" s="89"/>
      <c r="C69" s="89"/>
      <c r="D69" s="89"/>
      <c r="E69" s="89"/>
      <c r="F69" s="89"/>
      <c r="G69" s="89"/>
    </row>
    <row r="70" spans="2:19">
      <c r="B70" s="89"/>
      <c r="C70" s="89"/>
      <c r="D70" s="89"/>
      <c r="E70" s="89"/>
      <c r="F70" s="89"/>
      <c r="G70" s="89"/>
    </row>
    <row r="71" spans="2:19">
      <c r="B71" s="89"/>
      <c r="C71" s="89"/>
      <c r="D71" s="89"/>
      <c r="E71" s="89"/>
      <c r="F71" s="89"/>
      <c r="G71" s="89"/>
    </row>
    <row r="72" spans="2:19">
      <c r="B72" s="89"/>
      <c r="C72" s="89"/>
      <c r="D72" s="89"/>
      <c r="E72" s="89"/>
      <c r="F72" s="89"/>
      <c r="G72" s="89"/>
    </row>
    <row r="73" spans="2:19">
      <c r="B73" s="89"/>
      <c r="C73" s="89"/>
      <c r="D73" s="89"/>
      <c r="E73" s="89"/>
      <c r="F73" s="89"/>
      <c r="G73" s="89"/>
    </row>
  </sheetData>
  <sheetProtection sheet="1" objects="1" scenarios="1"/>
  <mergeCells count="45">
    <mergeCell ref="K1:L1"/>
    <mergeCell ref="B1:C1"/>
    <mergeCell ref="D11:E11"/>
    <mergeCell ref="B33:C33"/>
    <mergeCell ref="F33:G33"/>
    <mergeCell ref="K9:P9"/>
    <mergeCell ref="D22:F22"/>
    <mergeCell ref="D23:F23"/>
    <mergeCell ref="D32:E32"/>
    <mergeCell ref="F11:G11"/>
    <mergeCell ref="F32:G32"/>
    <mergeCell ref="B9:G9"/>
    <mergeCell ref="B30:G30"/>
    <mergeCell ref="F15:G15"/>
    <mergeCell ref="K32:P32"/>
    <mergeCell ref="O14:P14"/>
    <mergeCell ref="D65:F65"/>
    <mergeCell ref="D43:F43"/>
    <mergeCell ref="D44:F44"/>
    <mergeCell ref="D15:E15"/>
    <mergeCell ref="M30:O30"/>
    <mergeCell ref="D27:F27"/>
    <mergeCell ref="D33:E33"/>
    <mergeCell ref="M21:O21"/>
    <mergeCell ref="M22:O22"/>
    <mergeCell ref="M50:O50"/>
    <mergeCell ref="D48:F48"/>
    <mergeCell ref="F52:G52"/>
    <mergeCell ref="D52:E52"/>
    <mergeCell ref="B50:G50"/>
    <mergeCell ref="M43:O43"/>
    <mergeCell ref="M41:O41"/>
    <mergeCell ref="F53:G53"/>
    <mergeCell ref="D61:F61"/>
    <mergeCell ref="D60:F60"/>
    <mergeCell ref="O11:P11"/>
    <mergeCell ref="M11:N11"/>
    <mergeCell ref="M42:O42"/>
    <mergeCell ref="O16:P16"/>
    <mergeCell ref="O39:P39"/>
    <mergeCell ref="O35:P35"/>
    <mergeCell ref="O36:P36"/>
    <mergeCell ref="M23:O23"/>
    <mergeCell ref="O34:P34"/>
    <mergeCell ref="M34:N34"/>
  </mergeCells>
  <phoneticPr fontId="33"/>
  <conditionalFormatting sqref="K11:P30">
    <cfRule type="expression" dxfId="53" priority="299">
      <formula>$L$4="No"</formula>
    </cfRule>
  </conditionalFormatting>
  <conditionalFormatting sqref="B32:G48">
    <cfRule type="expression" dxfId="52" priority="316">
      <formula>$C$5="No"</formula>
    </cfRule>
  </conditionalFormatting>
  <conditionalFormatting sqref="K34:P50">
    <cfRule type="expression" dxfId="51" priority="323">
      <formula>$L$5="No"</formula>
    </cfRule>
  </conditionalFormatting>
  <conditionalFormatting sqref="B52:C65">
    <cfRule type="expression" dxfId="50" priority="74">
      <formula>$C$6="No"</formula>
    </cfRule>
  </conditionalFormatting>
  <conditionalFormatting sqref="B11:G27">
    <cfRule type="expression" dxfId="49" priority="64">
      <formula>$C$4="No"</formula>
    </cfRule>
  </conditionalFormatting>
  <conditionalFormatting sqref="B52:G65">
    <cfRule type="expression" dxfId="48" priority="2">
      <formula>$C$6="No"</formula>
    </cfRule>
  </conditionalFormatting>
  <conditionalFormatting sqref="D53:F53 D54:G64">
    <cfRule type="expression" dxfId="47" priority="1">
      <formula>$C$6="No"</formula>
    </cfRule>
  </conditionalFormatting>
  <dataValidations count="11">
    <dataValidation type="list" allowBlank="1" showInputMessage="1" showErrorMessage="1" sqref="C4:C6 L4:L5">
      <formula1>"Yes, No"</formula1>
    </dataValidation>
    <dataValidation type="list" allowBlank="1" showInputMessage="1" showErrorMessage="1" sqref="F14">
      <formula1>$T$22:$AI$22</formula1>
    </dataValidation>
    <dataValidation type="list" allowBlank="1" showInputMessage="1" showErrorMessage="1" sqref="F15">
      <formula1>$R$23:$R$28</formula1>
    </dataValidation>
    <dataValidation type="list" allowBlank="1" showInputMessage="1" showErrorMessage="1" sqref="F36">
      <formula1>INDIRECT($F$33)</formula1>
    </dataValidation>
    <dataValidation type="list" allowBlank="1" showInputMessage="1" showErrorMessage="1" sqref="F53:G53">
      <formula1>$U$60:$U$62</formula1>
    </dataValidation>
    <dataValidation allowBlank="1" showInputMessage="1" showErrorMessage="1" promptTitle="従来車：モード燃費" prompt="デフォルト値として、省エネ法に基づく燃費基準を設定しています。必要に応じて燃費を入力してください。" sqref="F20"/>
    <dataValidation allowBlank="1" showInputMessage="1" showErrorMessage="1" promptTitle="従来バス：モード燃費" prompt="デフォルト値として、省エネ法に基づく燃費基準を設定しています。必要に応じて燃費を入力してください。" sqref="F41"/>
    <dataValidation allowBlank="1" showInputMessage="1" showErrorMessage="1" promptTitle="燃費/電費" prompt="デフォルト値として仮の値を設定しています。必要に応じて値を入力してください。" sqref="F59"/>
    <dataValidation allowBlank="1" showInputMessage="1" showErrorMessage="1" promptTitle="電力の排出係数" prompt="デフォルト値として、地球温暖化対策推進法に基づく排出係数を設定しています。必要に応じて火力電源ベース等の排出係数を入力してください。なお、値を変更した場合は、別途その根拠と理由を示す必要があります。" sqref="F63 O48 O28"/>
    <dataValidation allowBlank="1" showInputMessage="1" showErrorMessage="1" promptTitle="熱回収効率" prompt="省エネ法に基づくガス給湯器の効率指標（強制循環式・屋外式）をデフォルト値として設定しています。" sqref="O17"/>
    <dataValidation allowBlank="1" showInputMessage="1" showErrorMessage="1" promptTitle="熱回収効率" prompt="ボイラーメーカーのカタログ値を参考にデフォルト値を設定しています。必要に応じて変更してください。" sqref="O40"/>
  </dataValidations>
  <printOptions horizontalCentered="1" verticalCentered="1"/>
  <pageMargins left="0.70866141732283472" right="0.70866141732283472" top="0.74803149606299213" bottom="0.74803149606299213" header="0.31496062992125984" footer="0.31496062992125984"/>
  <pageSetup paperSize="9" scale="53" orientation="landscape" r:id="rId1"/>
  <headerFooter scaleWithDoc="0">
    <oddHeader xml:space="preserve">&amp;R&amp;A </oddHeader>
    <oddFooter>&amp;C&amp;P/&amp;N</oddFooter>
  </headerFooter>
  <colBreaks count="1" manualBreakCount="1">
    <brk id="16" min="2" max="51"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Color!$O$4:$O$5</xm:f>
          </x14:formula1>
          <xm:sqref>F34</xm:sqref>
        </x14:dataValidation>
        <x14:dataValidation type="list" allowBlank="1" showInputMessage="1" showErrorMessage="1">
          <x14:formula1>
            <xm:f>Color!$Q$4:$Q$8</xm:f>
          </x14:formula1>
          <xm:sqref>O13 O35</xm:sqref>
        </x14:dataValidation>
        <x14:dataValidation type="list" allowBlank="1" showInputMessage="1" showErrorMessage="1">
          <x14:formula1>
            <xm:f>Color!$O$4:$O$5</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7" tint="0.59999389629810485"/>
    <pageSetUpPr fitToPage="1"/>
  </sheetPr>
  <dimension ref="A1:T47"/>
  <sheetViews>
    <sheetView view="pageBreakPreview" zoomScale="70" zoomScaleNormal="85" zoomScaleSheetLayoutView="70" workbookViewId="0">
      <selection activeCell="B2" sqref="B2:C2"/>
    </sheetView>
  </sheetViews>
  <sheetFormatPr defaultRowHeight="13.8"/>
  <cols>
    <col min="1" max="1" width="3.69921875" customWidth="1"/>
    <col min="2" max="2" width="14" bestFit="1" customWidth="1"/>
    <col min="3" max="5" width="15.69921875" customWidth="1"/>
    <col min="6" max="6" width="4.09765625" customWidth="1"/>
    <col min="7" max="7" width="11.3984375" customWidth="1"/>
    <col min="8" max="9" width="15.69921875" customWidth="1"/>
    <col min="10" max="10" width="17.8984375" bestFit="1" customWidth="1"/>
    <col min="12" max="13" width="8.69921875" customWidth="1"/>
    <col min="14" max="14" width="9.5" customWidth="1"/>
    <col min="15" max="18" width="8.69921875" customWidth="1"/>
    <col min="19" max="19" width="11.69921875" customWidth="1"/>
    <col min="20" max="20" width="8.69921875" customWidth="1"/>
  </cols>
  <sheetData>
    <row r="1" spans="1:20" ht="4.95" customHeight="1" thickBot="1">
      <c r="A1" s="89"/>
      <c r="B1" s="89"/>
      <c r="C1" s="89"/>
      <c r="D1" s="89"/>
      <c r="E1" s="89"/>
      <c r="F1" s="89"/>
      <c r="G1" s="89"/>
      <c r="H1" s="89"/>
      <c r="I1" s="89"/>
      <c r="J1" s="89"/>
    </row>
    <row r="2" spans="1:20" ht="15.6" thickTop="1" thickBot="1">
      <c r="A2" s="89"/>
      <c r="B2" s="1129" t="s">
        <v>2104</v>
      </c>
      <c r="C2" s="1130"/>
      <c r="D2" s="89"/>
      <c r="E2" s="89"/>
      <c r="F2" s="89"/>
      <c r="G2" s="89"/>
      <c r="H2" s="89"/>
      <c r="I2" s="89"/>
      <c r="J2" s="89"/>
    </row>
    <row r="3" spans="1:20" ht="14.4" thickTop="1">
      <c r="A3" s="89"/>
      <c r="B3" s="89"/>
      <c r="C3" s="89"/>
      <c r="D3" s="89"/>
      <c r="E3" s="89"/>
      <c r="F3" s="89"/>
      <c r="G3" s="89"/>
      <c r="H3" s="89"/>
      <c r="I3" s="89"/>
      <c r="J3" s="89"/>
    </row>
    <row r="4" spans="1:20">
      <c r="A4" s="89"/>
      <c r="B4" s="1153" t="str">
        <f>'利用(U)'!D11</f>
        <v>燃料電池車</v>
      </c>
      <c r="C4" s="1154"/>
      <c r="D4" s="1154"/>
      <c r="E4" s="1154"/>
      <c r="F4" s="89"/>
      <c r="G4" s="1153" t="s">
        <v>2055</v>
      </c>
      <c r="H4" s="1154"/>
      <c r="I4" s="1154"/>
      <c r="J4" s="1154"/>
    </row>
    <row r="5" spans="1:20">
      <c r="A5" s="89"/>
      <c r="B5" s="170" t="str">
        <f>'利用(U)'!B4</f>
        <v>燃料電池車</v>
      </c>
      <c r="C5" s="170" t="str">
        <f>'利用(U)'!C4</f>
        <v>Yes</v>
      </c>
      <c r="D5" s="160">
        <f>IF(C5="Yes",1,0)</f>
        <v>1</v>
      </c>
      <c r="E5" s="89"/>
      <c r="F5" s="89"/>
      <c r="G5" s="160" t="str">
        <f>'利用(U)'!K4</f>
        <v>家庭用燃料電池</v>
      </c>
      <c r="H5" s="160" t="str">
        <f>'利用(U)'!L4</f>
        <v>No</v>
      </c>
      <c r="I5" s="160">
        <f>IF(H5="Yes",1,0)</f>
        <v>0</v>
      </c>
      <c r="J5" s="89"/>
    </row>
    <row r="6" spans="1:20">
      <c r="A6" s="89"/>
      <c r="B6" s="300" t="s">
        <v>7070</v>
      </c>
      <c r="C6" s="301" t="str">
        <f>'利用(U)'!D11</f>
        <v>燃料電池車</v>
      </c>
      <c r="D6" s="302" t="str">
        <f>'利用(U)'!F11</f>
        <v>従来車</v>
      </c>
      <c r="E6" s="303" t="s">
        <v>2077</v>
      </c>
      <c r="F6" s="89"/>
      <c r="G6" s="300" t="s">
        <v>7070</v>
      </c>
      <c r="H6" s="301" t="str">
        <f>'利用(U)'!$M$11</f>
        <v>家庭用燃料電池</v>
      </c>
      <c r="I6" s="304" t="str">
        <f>"商用電力+"&amp;'利用(U)'!$O$12</f>
        <v>商用電力+潜熱回収型給湯器</v>
      </c>
      <c r="J6" s="303" t="s">
        <v>2077</v>
      </c>
      <c r="L6" t="str">
        <f>B4</f>
        <v>燃料電池車</v>
      </c>
      <c r="M6" t="str">
        <f>D6</f>
        <v>従来車</v>
      </c>
      <c r="N6" s="404">
        <f>IF('利用(U)'!C4="No","",C7)</f>
        <v>4.3334539640103399E-2</v>
      </c>
      <c r="O6" s="421">
        <f>D7</f>
        <v>0.17404848484848512</v>
      </c>
      <c r="P6">
        <v>1</v>
      </c>
      <c r="Q6" t="str">
        <f>IF(R6="","",INDEX($L$6:$L$10,MATCH(R6,$N$6:$N$10,0)))</f>
        <v>燃料電池車</v>
      </c>
      <c r="R6">
        <f>IFERROR(LARGE($N$6:$N$10,P6),"")</f>
        <v>4.3334539640103399E-2</v>
      </c>
      <c r="S6" t="str">
        <f>VLOOKUP(Q6,$L$6:$M$10,2,FALSE)</f>
        <v>従来車</v>
      </c>
      <c r="T6">
        <f>VLOOKUP(Q6,$L$6:$O$10,4,FALSE)</f>
        <v>0.17404848484848512</v>
      </c>
    </row>
    <row r="7" spans="1:20">
      <c r="A7" s="89"/>
      <c r="B7" s="434" t="s">
        <v>7460</v>
      </c>
      <c r="C7" s="737">
        <f>'利用(U)'!$D$26</f>
        <v>4.3334539640103399E-2</v>
      </c>
      <c r="D7" s="737">
        <f>'利用(U)'!$F$26</f>
        <v>0.17404848484848512</v>
      </c>
      <c r="E7" s="738">
        <f>IF('利用(U)'!$C$4="No","",D7-C7)</f>
        <v>0.13071394520838173</v>
      </c>
      <c r="F7" s="89"/>
      <c r="G7" s="434" t="str">
        <f t="shared" ref="G7" si="0">B7</f>
        <v>利用機器運用</v>
      </c>
      <c r="H7" s="737">
        <f>'利用(U)'!$M$26</f>
        <v>0.34670041864454237</v>
      </c>
      <c r="I7" s="737">
        <f>'利用(U)'!$O$26+'利用(U)'!$O$29</f>
        <v>0.64608391453895453</v>
      </c>
      <c r="J7" s="737" t="str">
        <f>IF('利用(U)'!$L$4="No","",I7-H7)</f>
        <v/>
      </c>
      <c r="L7" t="str">
        <f>B10</f>
        <v>燃料電池バス</v>
      </c>
      <c r="M7" t="str">
        <f>D12</f>
        <v>従来バス</v>
      </c>
      <c r="N7" s="404" t="str">
        <f>IF('利用(U)'!C5="No","",C13)</f>
        <v/>
      </c>
      <c r="O7" s="421">
        <f>D13</f>
        <v>21718.752653398016</v>
      </c>
      <c r="P7">
        <v>2</v>
      </c>
      <c r="Q7" t="str">
        <f>IF(R7="","",INDEX($L$6:$L$10,MATCH(R7,$N$6:$N$10,0)))</f>
        <v/>
      </c>
      <c r="R7" t="str">
        <f>IFERROR(LARGE($N$6:$N$10,P7),"")</f>
        <v/>
      </c>
      <c r="S7" t="e">
        <f t="shared" ref="S7:S10" si="1">VLOOKUP(Q7,$L$6:$M$10,2,FALSE)</f>
        <v>#N/A</v>
      </c>
      <c r="T7" t="e">
        <f t="shared" ref="T7:T10" si="2">VLOOKUP(Q7,$L$6:$O$10,4,FALSE)</f>
        <v>#N/A</v>
      </c>
    </row>
    <row r="8" spans="1:20">
      <c r="A8" s="89"/>
      <c r="C8" s="433"/>
      <c r="D8" s="433"/>
      <c r="E8" s="435" t="str">
        <f>IF('利用(U)'!C4="Yes","*機能単位："&amp;'利用(U)'!D22&amp;"台"&amp;'利用(U)'!D23&amp;"km走行","")</f>
        <v>*機能単位：1台1km走行</v>
      </c>
      <c r="F8" s="294"/>
      <c r="G8" s="158"/>
      <c r="H8" s="433"/>
      <c r="I8" s="433"/>
      <c r="J8" s="436" t="str">
        <f>IF('利用(U)'!L4="Yes","*機能単位：電力"&amp;'利用(U)'!M22&amp;"kWh, 熱"&amp;'利用(U)'!M23&amp;"MJを"&amp;'利用(U)'!M21&amp;"時間出力","")</f>
        <v/>
      </c>
      <c r="L8" t="str">
        <f>B16</f>
        <v>燃料電池フォークリフト</v>
      </c>
      <c r="M8" t="str">
        <f>D18</f>
        <v>従来フォークリフト</v>
      </c>
      <c r="N8" s="404" t="str">
        <f>IF('利用(U)'!C6="No","",C19)</f>
        <v/>
      </c>
      <c r="O8" s="421">
        <f>D19</f>
        <v>11.4642</v>
      </c>
      <c r="P8">
        <v>3</v>
      </c>
      <c r="Q8" t="str">
        <f>IF(R8="","",INDEX($L$6:$L$10,MATCH(R8,$N$6:$N$10,0)))</f>
        <v/>
      </c>
      <c r="R8" t="str">
        <f>IFERROR(LARGE($N$6:$N$10,P8),"")</f>
        <v/>
      </c>
      <c r="S8" t="e">
        <f t="shared" si="1"/>
        <v>#N/A</v>
      </c>
      <c r="T8" t="e">
        <f t="shared" si="2"/>
        <v>#N/A</v>
      </c>
    </row>
    <row r="9" spans="1:20">
      <c r="A9" s="89"/>
      <c r="B9" s="89"/>
      <c r="C9" s="89"/>
      <c r="D9" s="89"/>
      <c r="E9" s="89"/>
      <c r="F9" s="89"/>
      <c r="G9" s="89"/>
      <c r="H9" s="89"/>
      <c r="I9" s="89"/>
      <c r="J9" s="89"/>
      <c r="L9" t="str">
        <f>G4</f>
        <v>家庭用燃料電池</v>
      </c>
      <c r="M9" t="str">
        <f>I6</f>
        <v>商用電力+潜熱回収型給湯器</v>
      </c>
      <c r="N9" s="404" t="str">
        <f>IF('利用(U)'!L4="No","",H7)</f>
        <v/>
      </c>
      <c r="O9" s="421">
        <f>I7</f>
        <v>0.64608391453895453</v>
      </c>
      <c r="P9">
        <v>4</v>
      </c>
      <c r="Q9" t="str">
        <f>IF(R9="","",INDEX($L$6:$L$10,MATCH(R9,$N$6:$N$10,0)))</f>
        <v/>
      </c>
      <c r="R9" t="str">
        <f>IFERROR(LARGE($N$6:$N$10,P9),"")</f>
        <v/>
      </c>
      <c r="S9" t="e">
        <f t="shared" si="1"/>
        <v>#N/A</v>
      </c>
      <c r="T9" t="e">
        <f t="shared" si="2"/>
        <v>#N/A</v>
      </c>
    </row>
    <row r="10" spans="1:20">
      <c r="A10" s="89"/>
      <c r="B10" s="1155" t="str">
        <f>'利用(U)'!D32</f>
        <v>燃料電池バス</v>
      </c>
      <c r="C10" s="1154"/>
      <c r="D10" s="1154"/>
      <c r="E10" s="1154"/>
      <c r="F10" s="89"/>
      <c r="G10" s="1153" t="s">
        <v>2078</v>
      </c>
      <c r="H10" s="1154"/>
      <c r="I10" s="1154"/>
      <c r="J10" s="1154"/>
      <c r="L10" t="str">
        <f>G10</f>
        <v>業務用燃料電池</v>
      </c>
      <c r="M10" t="str">
        <f>I12</f>
        <v>商用電力+ボイラ</v>
      </c>
      <c r="N10" s="404" t="str">
        <f>IF('利用(U)'!L5="No","",H13)</f>
        <v/>
      </c>
      <c r="O10" s="421">
        <f>I13</f>
        <v>1194.0356643356643</v>
      </c>
      <c r="P10">
        <v>5</v>
      </c>
      <c r="Q10" t="str">
        <f>IF(R10="","",INDEX($L$6:$L$10,MATCH(R10,$N$6:$N$10,0)))</f>
        <v/>
      </c>
      <c r="R10" t="str">
        <f>IFERROR(LARGE($N$6:$N$10,P10),"")</f>
        <v/>
      </c>
      <c r="S10" t="e">
        <f t="shared" si="1"/>
        <v>#N/A</v>
      </c>
      <c r="T10" t="e">
        <f t="shared" si="2"/>
        <v>#N/A</v>
      </c>
    </row>
    <row r="11" spans="1:20">
      <c r="A11" s="89"/>
      <c r="B11" s="160" t="str">
        <f>'利用(U)'!B5</f>
        <v>燃料電池バス</v>
      </c>
      <c r="C11" s="160" t="str">
        <f>'利用(U)'!C5</f>
        <v>No</v>
      </c>
      <c r="D11" s="160">
        <f>IF(C11="Yes",1,0)</f>
        <v>0</v>
      </c>
      <c r="E11" s="89"/>
      <c r="F11" s="89"/>
      <c r="G11" s="160" t="str">
        <f>'利用(U)'!K5</f>
        <v>業務用燃料電池</v>
      </c>
      <c r="H11" s="160" t="str">
        <f>'利用(U)'!L5</f>
        <v>No</v>
      </c>
      <c r="I11" s="160">
        <f>IF(H11="Yes",1,0)</f>
        <v>0</v>
      </c>
      <c r="J11" s="89"/>
    </row>
    <row r="12" spans="1:20">
      <c r="A12" s="89"/>
      <c r="B12" s="300" t="s">
        <v>7071</v>
      </c>
      <c r="C12" s="306" t="str">
        <f>B10</f>
        <v>燃料電池バス</v>
      </c>
      <c r="D12" s="307" t="str">
        <f>'利用(U)'!$F$32</f>
        <v>従来バス</v>
      </c>
      <c r="E12" s="308" t="s">
        <v>2077</v>
      </c>
      <c r="F12" s="89"/>
      <c r="G12" s="300" t="s">
        <v>7072</v>
      </c>
      <c r="H12" s="306" t="str">
        <f>'利用(U)'!$M$34</f>
        <v>業務用燃料電池</v>
      </c>
      <c r="I12" s="309" t="str">
        <f>"商用電力+"&amp;'利用(U)'!$O$36</f>
        <v>商用電力+ボイラ</v>
      </c>
      <c r="J12" s="308" t="s">
        <v>2077</v>
      </c>
    </row>
    <row r="13" spans="1:20">
      <c r="A13" s="89"/>
      <c r="B13" s="305" t="str">
        <f>B7</f>
        <v>利用機器運用</v>
      </c>
      <c r="C13" s="739">
        <f>'利用(U)'!$D$47</f>
        <v>4717.0124985652046</v>
      </c>
      <c r="D13" s="739">
        <f>'利用(U)'!$F$47</f>
        <v>21718.752653398016</v>
      </c>
      <c r="E13" s="740" t="str">
        <f>IF('利用(U)'!$C$5="No","",D13-C13)</f>
        <v/>
      </c>
      <c r="F13" s="89"/>
      <c r="G13" s="305" t="str">
        <f>G7</f>
        <v>利用機器運用</v>
      </c>
      <c r="H13" s="739">
        <f>'利用(U)'!$M$46</f>
        <v>53.490921733729422</v>
      </c>
      <c r="I13" s="739">
        <f>'利用(U)'!$O$46+'利用(U)'!$O$49</f>
        <v>1194.0356643356643</v>
      </c>
      <c r="J13" s="740" t="str">
        <f>IF('利用(U)'!$L$5="No","",I13-H13)</f>
        <v/>
      </c>
    </row>
    <row r="14" spans="1:20">
      <c r="A14" s="89"/>
      <c r="B14" s="158"/>
      <c r="C14" s="433"/>
      <c r="D14" s="433"/>
      <c r="E14" s="436" t="str">
        <f>IF('利用(U)'!C5="Yes","*機能単位："&amp;'利用(U)'!D43&amp;"台"&amp;'利用(U)'!D44&amp;"km走行","")</f>
        <v/>
      </c>
      <c r="F14" s="89"/>
      <c r="G14" s="158"/>
      <c r="H14" s="433"/>
      <c r="I14" s="433"/>
      <c r="J14" s="436" t="str">
        <f>IF('利用(U)'!L5="Yes","*機能単位：電力"&amp;'利用(U)'!M37&amp;"kWh, 熱"&amp;ROUND('利用(U)'!M43,0)&amp;"MJを"&amp;'利用(U)'!M21&amp;"時間出力","")</f>
        <v/>
      </c>
    </row>
    <row r="15" spans="1:20">
      <c r="A15" s="89"/>
      <c r="B15" s="89"/>
      <c r="C15" s="89"/>
      <c r="D15" s="89"/>
      <c r="E15" s="89"/>
      <c r="F15" s="89"/>
      <c r="G15" s="89"/>
      <c r="H15" s="89"/>
      <c r="I15" s="89"/>
      <c r="J15" s="89"/>
    </row>
    <row r="16" spans="1:20">
      <c r="A16" s="89"/>
      <c r="B16" s="1153" t="str">
        <f>'利用(U)'!D52</f>
        <v>燃料電池フォークリフト</v>
      </c>
      <c r="C16" s="1154"/>
      <c r="D16" s="1154"/>
      <c r="E16" s="1154"/>
      <c r="F16" s="89"/>
      <c r="G16" s="1151" t="s">
        <v>2105</v>
      </c>
      <c r="H16" s="1152"/>
      <c r="I16" s="1152"/>
      <c r="J16" s="1152"/>
    </row>
    <row r="17" spans="1:10">
      <c r="A17" s="89"/>
      <c r="B17" s="160" t="str">
        <f>'利用(U)'!B6</f>
        <v>燃料電池フォークリフト</v>
      </c>
      <c r="C17" s="160" t="str">
        <f>'利用(U)'!C6</f>
        <v>No</v>
      </c>
      <c r="D17" s="160">
        <f>IF(C17="Yes",1,0)</f>
        <v>0</v>
      </c>
      <c r="E17" s="89"/>
      <c r="F17" s="89"/>
      <c r="G17" s="89"/>
      <c r="H17" s="89"/>
      <c r="I17" s="89"/>
      <c r="J17" s="89"/>
    </row>
    <row r="18" spans="1:10">
      <c r="A18" s="89"/>
      <c r="B18" s="300" t="s">
        <v>7072</v>
      </c>
      <c r="C18" s="518" t="str">
        <f>B16</f>
        <v>燃料電池フォークリフト</v>
      </c>
      <c r="D18" s="518" t="str">
        <f>'利用(U)'!$F$52</f>
        <v>従来フォークリフト</v>
      </c>
      <c r="E18" s="308" t="s">
        <v>2077</v>
      </c>
      <c r="F18" s="89"/>
      <c r="G18" s="300" t="s">
        <v>7073</v>
      </c>
      <c r="H18" s="308" t="s">
        <v>7622</v>
      </c>
      <c r="I18" s="309" t="s">
        <v>2059</v>
      </c>
      <c r="J18" s="308" t="s">
        <v>2077</v>
      </c>
    </row>
    <row r="19" spans="1:10">
      <c r="A19" s="89"/>
      <c r="B19" s="305" t="str">
        <f>B13</f>
        <v>利用機器運用</v>
      </c>
      <c r="C19" s="739">
        <f>'利用(U)'!$D$64</f>
        <v>8.2019413325051787</v>
      </c>
      <c r="D19" s="739">
        <f>'利用(U)'!$F$64</f>
        <v>11.4642</v>
      </c>
      <c r="E19" s="740" t="str">
        <f>IF('利用(U)'!$C$6="No","",D19-C19)</f>
        <v/>
      </c>
      <c r="F19" s="89"/>
      <c r="G19" s="305" t="str">
        <f>G13</f>
        <v>利用機器運用</v>
      </c>
      <c r="H19" s="741">
        <f>$C$7*$D$5+$C$13*$D$11+$C$19*$D$17+H7*$I$5+H13*$I$11</f>
        <v>4.3334539640103399E-2</v>
      </c>
      <c r="I19" s="741">
        <f>$D$7*$D$5+D13*$D$11+$D$19*$D$17+I7*$I$5+I13*$I$11</f>
        <v>0.17404848484848512</v>
      </c>
      <c r="J19" s="741">
        <f>I19-H19</f>
        <v>0.13071394520838173</v>
      </c>
    </row>
    <row r="20" spans="1:10">
      <c r="B20" s="89"/>
      <c r="C20" s="89"/>
      <c r="D20" s="89"/>
      <c r="E20" s="437" t="str">
        <f>IF('利用(U)'!C6="Yes","*機能単位："&amp;'利用(U)'!D60&amp;"台"&amp;'利用(U)'!D61&amp;"時間運転","")</f>
        <v/>
      </c>
      <c r="F20" s="89"/>
      <c r="G20" s="89"/>
      <c r="H20" s="89"/>
      <c r="I20" s="89"/>
      <c r="J20" s="521" t="s">
        <v>7727</v>
      </c>
    </row>
    <row r="21" spans="1:10">
      <c r="B21" s="89"/>
      <c r="C21" s="89"/>
      <c r="D21" s="89"/>
      <c r="E21" s="89"/>
      <c r="F21" s="89"/>
      <c r="G21" s="89"/>
      <c r="H21" s="89"/>
      <c r="I21" s="89"/>
      <c r="J21" s="89"/>
    </row>
    <row r="22" spans="1:10">
      <c r="B22" s="89"/>
      <c r="C22" s="89"/>
      <c r="D22" s="89"/>
      <c r="E22" s="89"/>
      <c r="F22" s="89"/>
      <c r="G22" s="89"/>
      <c r="H22" s="89"/>
      <c r="I22" s="89"/>
      <c r="J22" s="89"/>
    </row>
    <row r="23" spans="1:10">
      <c r="B23" s="89"/>
      <c r="C23" s="89"/>
      <c r="D23" s="89"/>
      <c r="E23" s="89"/>
      <c r="F23" s="89"/>
      <c r="G23" s="89"/>
      <c r="H23" s="89"/>
      <c r="I23" s="89"/>
      <c r="J23" s="89"/>
    </row>
    <row r="24" spans="1:10">
      <c r="B24" s="89"/>
      <c r="C24" s="89"/>
      <c r="D24" s="89"/>
      <c r="E24" s="89"/>
      <c r="F24" s="89"/>
      <c r="G24" s="89"/>
      <c r="H24" s="89"/>
      <c r="I24" s="89"/>
      <c r="J24" s="89"/>
    </row>
    <row r="25" spans="1:10">
      <c r="B25" s="89"/>
      <c r="C25" s="89"/>
      <c r="D25" s="89"/>
      <c r="E25" s="89"/>
      <c r="F25" s="89"/>
      <c r="G25" s="89"/>
      <c r="H25" s="89"/>
      <c r="I25" s="89"/>
      <c r="J25" s="89"/>
    </row>
    <row r="26" spans="1:10">
      <c r="B26" s="89"/>
      <c r="C26" s="89"/>
      <c r="D26" s="89"/>
      <c r="E26" s="89"/>
      <c r="F26" s="89"/>
      <c r="G26" s="89"/>
      <c r="H26" s="89"/>
      <c r="I26" s="89"/>
      <c r="J26" s="89"/>
    </row>
    <row r="27" spans="1:10">
      <c r="B27" s="89"/>
      <c r="C27" s="89"/>
      <c r="D27" s="89"/>
      <c r="E27" s="89"/>
      <c r="F27" s="89"/>
      <c r="G27" s="89"/>
      <c r="H27" s="89"/>
      <c r="I27" s="89"/>
      <c r="J27" s="89"/>
    </row>
    <row r="28" spans="1:10">
      <c r="B28" s="89"/>
      <c r="C28" s="89"/>
      <c r="D28" s="89"/>
      <c r="E28" s="89"/>
      <c r="F28" s="89"/>
      <c r="G28" s="89"/>
      <c r="H28" s="89"/>
      <c r="I28" s="89"/>
      <c r="J28" s="89"/>
    </row>
    <row r="29" spans="1:10">
      <c r="B29" s="89"/>
      <c r="C29" s="89"/>
      <c r="D29" s="89"/>
      <c r="E29" s="89"/>
      <c r="F29" s="89"/>
      <c r="G29" s="89"/>
      <c r="H29" s="89"/>
      <c r="I29" s="89"/>
      <c r="J29" s="89"/>
    </row>
    <row r="30" spans="1:10">
      <c r="B30" s="89"/>
      <c r="C30" s="89"/>
      <c r="D30" s="89"/>
      <c r="E30" s="89"/>
      <c r="F30" s="89"/>
      <c r="G30" s="89"/>
      <c r="H30" s="89"/>
      <c r="I30" s="89"/>
      <c r="J30" s="89"/>
    </row>
    <row r="31" spans="1:10">
      <c r="B31" s="89"/>
      <c r="C31" s="89"/>
      <c r="D31" s="89"/>
      <c r="E31" s="89"/>
      <c r="F31" s="89"/>
      <c r="G31" s="89"/>
      <c r="H31" s="89"/>
      <c r="I31" s="89"/>
      <c r="J31" s="89"/>
    </row>
    <row r="32" spans="1:10">
      <c r="B32" s="89"/>
      <c r="C32" s="89"/>
      <c r="D32" s="89"/>
      <c r="E32" s="89"/>
      <c r="F32" s="89"/>
      <c r="G32" s="89"/>
      <c r="H32" s="89"/>
      <c r="I32" s="89"/>
      <c r="J32" s="89"/>
    </row>
    <row r="33" spans="2:10">
      <c r="B33" s="89"/>
      <c r="C33" s="89"/>
      <c r="D33" s="89"/>
      <c r="E33" s="89"/>
      <c r="F33" s="89"/>
      <c r="G33" s="89"/>
      <c r="H33" s="89"/>
      <c r="I33" s="89"/>
      <c r="J33" s="89"/>
    </row>
    <row r="34" spans="2:10">
      <c r="B34" s="89"/>
      <c r="C34" s="89"/>
      <c r="D34" s="89"/>
      <c r="E34" s="89"/>
      <c r="F34" s="89"/>
      <c r="G34" s="89"/>
      <c r="H34" s="89"/>
      <c r="I34" s="89"/>
      <c r="J34" s="89"/>
    </row>
    <row r="35" spans="2:10">
      <c r="B35" s="89"/>
      <c r="C35" s="89"/>
      <c r="D35" s="89"/>
      <c r="E35" s="89"/>
      <c r="F35" s="89"/>
      <c r="G35" s="89"/>
      <c r="H35" s="89"/>
      <c r="I35" s="89"/>
      <c r="J35" s="89"/>
    </row>
    <row r="36" spans="2:10">
      <c r="B36" s="89"/>
      <c r="C36" s="89"/>
      <c r="D36" s="89"/>
      <c r="E36" s="89"/>
      <c r="F36" s="89"/>
      <c r="G36" s="89"/>
      <c r="H36" s="89"/>
      <c r="I36" s="89"/>
      <c r="J36" s="89"/>
    </row>
    <row r="37" spans="2:10">
      <c r="B37" s="89"/>
      <c r="C37" s="89"/>
      <c r="D37" s="89"/>
      <c r="E37" s="89"/>
      <c r="F37" s="89"/>
      <c r="G37" s="89"/>
      <c r="H37" s="89"/>
      <c r="I37" s="89"/>
      <c r="J37" s="89"/>
    </row>
    <row r="38" spans="2:10">
      <c r="B38" s="89"/>
      <c r="C38" s="89"/>
      <c r="D38" s="89"/>
      <c r="E38" s="89"/>
      <c r="F38" s="89"/>
      <c r="G38" s="89"/>
      <c r="H38" s="89"/>
      <c r="I38" s="89"/>
      <c r="J38" s="89"/>
    </row>
    <row r="39" spans="2:10">
      <c r="B39" s="89"/>
      <c r="C39" s="89"/>
      <c r="D39" s="89"/>
      <c r="E39" s="89"/>
      <c r="F39" s="89"/>
      <c r="G39" s="89"/>
      <c r="H39" s="89"/>
      <c r="I39" s="89"/>
      <c r="J39" s="89"/>
    </row>
    <row r="40" spans="2:10">
      <c r="B40" s="89"/>
      <c r="C40" s="89"/>
      <c r="D40" s="89"/>
      <c r="E40" s="89"/>
      <c r="F40" s="89"/>
      <c r="G40" s="89"/>
      <c r="H40" s="89"/>
      <c r="I40" s="89"/>
      <c r="J40" s="89"/>
    </row>
    <row r="41" spans="2:10">
      <c r="B41" s="89"/>
      <c r="C41" s="89"/>
      <c r="D41" s="89"/>
      <c r="E41" s="89"/>
      <c r="F41" s="89"/>
      <c r="G41" s="89"/>
      <c r="H41" s="89"/>
      <c r="I41" s="89"/>
      <c r="J41" s="89"/>
    </row>
    <row r="42" spans="2:10">
      <c r="B42" s="89"/>
      <c r="C42" s="89"/>
      <c r="D42" s="89"/>
      <c r="E42" s="89"/>
      <c r="F42" s="89"/>
      <c r="G42" s="89"/>
      <c r="H42" s="89"/>
      <c r="I42" s="89"/>
      <c r="J42" s="89"/>
    </row>
    <row r="43" spans="2:10">
      <c r="B43" s="89"/>
      <c r="C43" s="89"/>
      <c r="D43" s="89"/>
      <c r="E43" s="89"/>
      <c r="F43" s="89"/>
      <c r="G43" s="89"/>
      <c r="H43" s="89"/>
      <c r="I43" s="89"/>
      <c r="J43" s="89"/>
    </row>
    <row r="44" spans="2:10">
      <c r="B44" s="89"/>
      <c r="C44" s="89"/>
      <c r="D44" s="89"/>
      <c r="E44" s="89"/>
      <c r="F44" s="89"/>
      <c r="G44" s="89"/>
      <c r="H44" s="89"/>
      <c r="I44" s="89"/>
      <c r="J44" s="89"/>
    </row>
    <row r="45" spans="2:10">
      <c r="B45" s="89"/>
      <c r="C45" s="89"/>
      <c r="D45" s="89"/>
      <c r="E45" s="89"/>
      <c r="F45" s="89"/>
      <c r="G45" s="89"/>
      <c r="H45" s="89"/>
      <c r="I45" s="89"/>
      <c r="J45" s="89"/>
    </row>
    <row r="46" spans="2:10">
      <c r="B46" s="89"/>
      <c r="C46" s="89"/>
      <c r="D46" s="89"/>
      <c r="E46" s="89"/>
      <c r="F46" s="89"/>
      <c r="G46" s="89"/>
      <c r="H46" s="89"/>
      <c r="I46" s="89"/>
      <c r="J46" s="89"/>
    </row>
    <row r="47" spans="2:10">
      <c r="B47" s="89"/>
      <c r="C47" s="89"/>
      <c r="D47" s="89"/>
      <c r="E47" s="89"/>
      <c r="F47" s="89"/>
      <c r="G47" s="89"/>
      <c r="H47" s="89"/>
      <c r="I47" s="89"/>
      <c r="J47" s="89"/>
    </row>
  </sheetData>
  <sheetProtection sheet="1" objects="1" scenarios="1"/>
  <mergeCells count="7">
    <mergeCell ref="B2:C2"/>
    <mergeCell ref="G16:J16"/>
    <mergeCell ref="B4:E4"/>
    <mergeCell ref="B10:E10"/>
    <mergeCell ref="B16:E16"/>
    <mergeCell ref="G4:J4"/>
    <mergeCell ref="G10:J10"/>
  </mergeCells>
  <phoneticPr fontId="33"/>
  <conditionalFormatting sqref="G12:J13">
    <cfRule type="expression" dxfId="46" priority="14">
      <formula>$H$11="No"</formula>
    </cfRule>
  </conditionalFormatting>
  <conditionalFormatting sqref="G6:J7">
    <cfRule type="expression" dxfId="45" priority="13">
      <formula>$H$5="No"</formula>
    </cfRule>
  </conditionalFormatting>
  <conditionalFormatting sqref="B6:E7">
    <cfRule type="expression" dxfId="44" priority="12">
      <formula>$C$5="No"</formula>
    </cfRule>
  </conditionalFormatting>
  <conditionalFormatting sqref="B18:E19">
    <cfRule type="expression" dxfId="43" priority="11">
      <formula>$C$17="No"</formula>
    </cfRule>
  </conditionalFormatting>
  <conditionalFormatting sqref="B12:E13">
    <cfRule type="expression" dxfId="42" priority="1">
      <formula>$C$11="No"</formula>
    </cfRule>
  </conditionalFormatting>
  <printOptions horizontalCentered="1" verticalCentered="1"/>
  <pageMargins left="0.70866141732283472" right="0.70866141732283472" top="0.74803149606299213" bottom="0.74803149606299213" header="0.31496062992125984" footer="0.31496062992125984"/>
  <pageSetup paperSize="9" scale="76" orientation="landscape" r:id="rId1"/>
  <headerFooter scaleWithDoc="0">
    <oddHeader xml:space="preserve">&amp;R&amp;A </oddHeader>
    <oddFooter>&amp;C&amp;P/&amp;N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28"/>
  <sheetViews>
    <sheetView view="pageBreakPreview" zoomScale="85" zoomScaleNormal="100" zoomScaleSheetLayoutView="85" workbookViewId="0">
      <selection activeCell="B1" sqref="B1:C1"/>
    </sheetView>
  </sheetViews>
  <sheetFormatPr defaultColWidth="9" defaultRowHeight="13.2"/>
  <cols>
    <col min="1" max="1" width="9" style="603" customWidth="1"/>
    <col min="2" max="2" width="15.3984375" style="611" bestFit="1" customWidth="1"/>
    <col min="3" max="3" width="23.09765625" style="611" customWidth="1"/>
    <col min="4" max="4" width="45.3984375" style="612" customWidth="1"/>
    <col min="5" max="5" width="9" style="611"/>
    <col min="6" max="8" width="9" style="603"/>
    <col min="9" max="16384" width="9" style="611"/>
  </cols>
  <sheetData>
    <row r="1" spans="2:5" ht="15" thickBot="1">
      <c r="B1" s="1158" t="s">
        <v>7755</v>
      </c>
      <c r="C1" s="1159"/>
      <c r="D1" s="624"/>
      <c r="E1" s="603"/>
    </row>
    <row r="2" spans="2:5" ht="14.4">
      <c r="B2" s="623"/>
      <c r="C2" s="623"/>
      <c r="D2" s="624"/>
      <c r="E2" s="603"/>
    </row>
    <row r="3" spans="2:5" ht="14.4">
      <c r="B3" s="604" t="s">
        <v>7756</v>
      </c>
      <c r="C3" s="604" t="s">
        <v>7554</v>
      </c>
      <c r="D3" s="605" t="s">
        <v>7555</v>
      </c>
      <c r="E3" s="604" t="s">
        <v>7556</v>
      </c>
    </row>
    <row r="4" spans="2:5" ht="40.200000000000003" customHeight="1">
      <c r="B4" s="686" t="s">
        <v>7557</v>
      </c>
      <c r="C4" s="606" t="s">
        <v>7558</v>
      </c>
      <c r="D4" s="606" t="s">
        <v>7559</v>
      </c>
      <c r="E4" s="607"/>
    </row>
    <row r="5" spans="2:5" ht="40.200000000000003" customHeight="1">
      <c r="B5" s="687" t="s">
        <v>7821</v>
      </c>
      <c r="C5" s="606" t="s">
        <v>7558</v>
      </c>
      <c r="D5" s="606" t="s">
        <v>7560</v>
      </c>
      <c r="E5" s="607"/>
    </row>
    <row r="6" spans="2:5" s="603" customFormat="1" ht="40.200000000000003" customHeight="1">
      <c r="B6" s="687" t="s">
        <v>7821</v>
      </c>
      <c r="C6" s="606" t="s">
        <v>7558</v>
      </c>
      <c r="D6" s="606" t="s">
        <v>7757</v>
      </c>
      <c r="E6" s="607"/>
    </row>
    <row r="7" spans="2:5" s="603" customFormat="1" ht="40.200000000000003" customHeight="1">
      <c r="B7" s="687" t="s">
        <v>7821</v>
      </c>
      <c r="C7" s="608" t="s">
        <v>7613</v>
      </c>
      <c r="D7" s="635" t="s">
        <v>7823</v>
      </c>
      <c r="E7" s="607"/>
    </row>
    <row r="8" spans="2:5" ht="40.200000000000003" customHeight="1">
      <c r="B8" s="687" t="s">
        <v>7821</v>
      </c>
      <c r="C8" s="608" t="s">
        <v>7613</v>
      </c>
      <c r="D8" s="636" t="s">
        <v>7824</v>
      </c>
      <c r="E8" s="607"/>
    </row>
    <row r="9" spans="2:5" ht="40.200000000000003" customHeight="1">
      <c r="B9" s="687" t="s">
        <v>7821</v>
      </c>
      <c r="C9" s="606" t="s">
        <v>7565</v>
      </c>
      <c r="D9" s="606" t="s">
        <v>7758</v>
      </c>
      <c r="E9" s="607"/>
    </row>
    <row r="10" spans="2:5" ht="40.200000000000003" customHeight="1">
      <c r="B10" s="687" t="s">
        <v>7821</v>
      </c>
      <c r="C10" s="606" t="s">
        <v>7563</v>
      </c>
      <c r="D10" s="606" t="s">
        <v>7564</v>
      </c>
      <c r="E10" s="607"/>
    </row>
    <row r="11" spans="2:5" ht="40.200000000000003" customHeight="1">
      <c r="B11" s="687" t="s">
        <v>7821</v>
      </c>
      <c r="C11" s="606" t="s">
        <v>7567</v>
      </c>
      <c r="D11" s="606" t="s">
        <v>7568</v>
      </c>
      <c r="E11" s="607"/>
    </row>
    <row r="12" spans="2:5" ht="40.200000000000003" customHeight="1">
      <c r="B12" s="687" t="s">
        <v>7821</v>
      </c>
      <c r="C12" s="769" t="s">
        <v>7917</v>
      </c>
      <c r="D12" s="769" t="s">
        <v>7918</v>
      </c>
      <c r="E12" s="607"/>
    </row>
    <row r="13" spans="2:5" ht="40.200000000000003" customHeight="1">
      <c r="B13" s="686" t="s">
        <v>7822</v>
      </c>
      <c r="C13" s="606" t="s">
        <v>7569</v>
      </c>
      <c r="D13" s="609" t="s">
        <v>7759</v>
      </c>
      <c r="E13" s="607"/>
    </row>
    <row r="14" spans="2:5" ht="40.200000000000003" customHeight="1">
      <c r="B14" s="686" t="s">
        <v>7822</v>
      </c>
      <c r="C14" s="606" t="s">
        <v>7570</v>
      </c>
      <c r="D14" s="606" t="s">
        <v>7571</v>
      </c>
      <c r="E14" s="607"/>
    </row>
    <row r="15" spans="2:5" ht="40.200000000000003" customHeight="1">
      <c r="B15" s="686" t="s">
        <v>7561</v>
      </c>
      <c r="C15" s="606" t="s">
        <v>7558</v>
      </c>
      <c r="D15" s="606" t="s">
        <v>7562</v>
      </c>
      <c r="E15" s="607"/>
    </row>
    <row r="16" spans="2:5" ht="40.200000000000003" customHeight="1">
      <c r="B16" s="686" t="s">
        <v>7760</v>
      </c>
      <c r="C16" s="609" t="s">
        <v>7761</v>
      </c>
      <c r="D16" s="606" t="s">
        <v>7566</v>
      </c>
      <c r="E16" s="607"/>
    </row>
    <row r="17" spans="2:5" s="603" customFormat="1" ht="13.8" thickBot="1">
      <c r="D17" s="610"/>
    </row>
    <row r="18" spans="2:5" s="603" customFormat="1" ht="15" thickBot="1">
      <c r="B18" s="1158" t="s">
        <v>7927</v>
      </c>
      <c r="C18" s="1159"/>
      <c r="D18" s="610"/>
      <c r="E18" s="823"/>
    </row>
    <row r="19" spans="2:5" s="603" customFormat="1">
      <c r="B19" s="634"/>
    </row>
    <row r="20" spans="2:5" s="603" customFormat="1" ht="26.4" customHeight="1" thickBot="1">
      <c r="B20" s="604" t="s">
        <v>7825</v>
      </c>
      <c r="C20" s="604" t="s">
        <v>7928</v>
      </c>
      <c r="D20" s="827" t="s">
        <v>7826</v>
      </c>
      <c r="E20" s="822" t="s">
        <v>7940</v>
      </c>
    </row>
    <row r="21" spans="2:5" s="603" customFormat="1" ht="27" thickBot="1">
      <c r="B21" s="821" t="str">
        <f>IFERROR(IF(MAX(カットオフ候補の抽出!$F$2:$F$148)&lt;1,"",INDEX(カットオフ候補の抽出!$B$2:$B$148,MATCH(ROW(T1),カットオフ候補の抽出!$F$2:$F$148,0))),"")</f>
        <v/>
      </c>
      <c r="C21" s="825" t="str">
        <f>IFERROR(IF(MAX(カットオフ候補の抽出!$F$2:$F$148)&lt;1,"",INDEX(カットオフ候補の抽出!$C$2:$C$148,MATCH(ROW(T1),カットオフ候補の抽出!$F$2:$F$148,0))),"")</f>
        <v/>
      </c>
      <c r="D21" s="828" t="s">
        <v>7827</v>
      </c>
      <c r="E21" s="826" t="str">
        <f>IFERROR(IF(MAX(カットオフ候補の抽出!$F$2:$F$148)&lt;1,"",INDEX(カットオフ候補の抽出!$D$2:$D$148,MATCH(ROW(U1),カットオフ候補の抽出!$F$2:$F$148,0))),"")</f>
        <v/>
      </c>
    </row>
    <row r="22" spans="2:5" s="603" customFormat="1" ht="13.8" thickBot="1">
      <c r="B22" s="821" t="str">
        <f>IFERROR(IF(MAX(カットオフ候補の抽出!$F$2:$F$148)&lt;1,"",INDEX(カットオフ候補の抽出!$B$2:$B$148,MATCH(ROW(T2),カットオフ候補の抽出!$F$2:$F$148,0))),"")</f>
        <v/>
      </c>
      <c r="C22" s="825" t="str">
        <f>IFERROR(IF(MAX(カットオフ候補の抽出!$F$2:$F$148)&lt;1,"",INDEX(カットオフ候補の抽出!$C$2:$C$148,MATCH(ROW(T2),カットオフ候補の抽出!$F$2:$F$148,0))),"")</f>
        <v/>
      </c>
      <c r="D22" s="828"/>
      <c r="E22" s="826" t="str">
        <f>IFERROR(IF(MAX(カットオフ候補の抽出!$F$2:$F$148)&lt;1,"",INDEX(カットオフ候補の抽出!$D$2:$D$148,MATCH(ROW(U2),カットオフ候補の抽出!$F$2:$F$148,0))),"")</f>
        <v/>
      </c>
    </row>
    <row r="23" spans="2:5" s="603" customFormat="1" ht="13.8" thickBot="1">
      <c r="B23" s="821" t="str">
        <f>IFERROR(IF(MAX(カットオフ候補の抽出!$F$2:$F$148)&lt;1,"",INDEX(カットオフ候補の抽出!$B$2:$B$148,MATCH(ROW(T3),カットオフ候補の抽出!$F$2:$F$148,0))),"")</f>
        <v/>
      </c>
      <c r="C23" s="825" t="str">
        <f>IFERROR(IF(MAX(カットオフ候補の抽出!$F$2:$F$148)&lt;1,"",INDEX(カットオフ候補の抽出!$C$2:$C$148,MATCH(ROW(T3),カットオフ候補の抽出!$F$2:$F$148,0))),"")</f>
        <v/>
      </c>
      <c r="D23" s="828"/>
      <c r="E23" s="826" t="str">
        <f>IFERROR(IF(MAX(カットオフ候補の抽出!$F$2:$F$148)&lt;1,"",INDEX(カットオフ候補の抽出!$D$2:$D$148,MATCH(ROW(U3),カットオフ候補の抽出!$F$2:$F$148,0))),"")</f>
        <v/>
      </c>
    </row>
    <row r="24" spans="2:5" s="603" customFormat="1" ht="13.8" thickBot="1">
      <c r="B24" s="821" t="str">
        <f>IFERROR(IF(MAX(カットオフ候補の抽出!$F$2:$F$148)&lt;1,"",INDEX(カットオフ候補の抽出!$B$2:$B$148,MATCH(ROW(T4),カットオフ候補の抽出!$F$2:$F$148,0))),"")</f>
        <v/>
      </c>
      <c r="C24" s="825" t="str">
        <f>IFERROR(IF(MAX(カットオフ候補の抽出!$F$2:$F$148)&lt;1,"",INDEX(カットオフ候補の抽出!$C$2:$C$148,MATCH(ROW(T4),カットオフ候補の抽出!$F$2:$F$148,0))),"")</f>
        <v/>
      </c>
      <c r="D24" s="828"/>
      <c r="E24" s="826" t="str">
        <f>IFERROR(IF(MAX(カットオフ候補の抽出!$F$2:$F$148)&lt;1,"",INDEX(カットオフ候補の抽出!$D$2:$D$148,MATCH(ROW(U4),カットオフ候補の抽出!$F$2:$F$148,0))),"")</f>
        <v/>
      </c>
    </row>
    <row r="25" spans="2:5" s="603" customFormat="1" ht="13.8" thickBot="1">
      <c r="B25" s="821" t="str">
        <f>IFERROR(IF(MAX(カットオフ候補の抽出!$F$2:$F$148)&lt;1,"",INDEX(カットオフ候補の抽出!$B$2:$B$148,MATCH(ROW(T5),カットオフ候補の抽出!$F$2:$F$148,0))),"")</f>
        <v/>
      </c>
      <c r="C25" s="825" t="str">
        <f>IFERROR(IF(MAX(カットオフ候補の抽出!$F$2:$F$148)&lt;1,"",INDEX(カットオフ候補の抽出!$C$2:$C$148,MATCH(ROW(T5),カットオフ候補の抽出!$F$2:$F$148,0))),"")</f>
        <v/>
      </c>
      <c r="D25" s="828"/>
      <c r="E25" s="826" t="str">
        <f>IFERROR(IF(MAX(カットオフ候補の抽出!$F$2:$F$148)&lt;1,"",INDEX(カットオフ候補の抽出!$D$2:$D$148,MATCH(ROW(U5),カットオフ候補の抽出!$F$2:$F$148,0))),"")</f>
        <v/>
      </c>
    </row>
    <row r="26" spans="2:5" s="603" customFormat="1" ht="13.8" thickBot="1">
      <c r="B26" s="821" t="str">
        <f>IFERROR(IF(MAX(カットオフ候補の抽出!$F$2:$F$148)&lt;1,"",INDEX(カットオフ候補の抽出!$B$2:$B$148,MATCH(ROW(T6),カットオフ候補の抽出!$F$2:$F$148,0))),"")</f>
        <v/>
      </c>
      <c r="C26" s="825" t="str">
        <f>IFERROR(IF(MAX(カットオフ候補の抽出!$F$2:$F$148)&lt;1,"",INDEX(カットオフ候補の抽出!$C$2:$C$148,MATCH(ROW(T6),カットオフ候補の抽出!$F$2:$F$148,0))),"")</f>
        <v/>
      </c>
      <c r="D26" s="828"/>
      <c r="E26" s="826" t="str">
        <f>IFERROR(IF(MAX(カットオフ候補の抽出!$F$2:$F$148)&lt;1,"",INDEX(カットオフ候補の抽出!$D$2:$D$148,MATCH(ROW(U6),カットオフ候補の抽出!$F$2:$F$148,0))),"")</f>
        <v/>
      </c>
    </row>
    <row r="27" spans="2:5" s="603" customFormat="1">
      <c r="B27" s="1156" t="s">
        <v>7939</v>
      </c>
      <c r="C27" s="1156"/>
      <c r="D27" s="1157"/>
      <c r="E27" s="824">
        <f>SUM(E21:E26)</f>
        <v>0</v>
      </c>
    </row>
    <row r="28" spans="2:5" s="603" customFormat="1">
      <c r="D28" s="610"/>
    </row>
  </sheetData>
  <sheetProtection sheet="1" objects="1" scenarios="1"/>
  <mergeCells count="3">
    <mergeCell ref="B27:D27"/>
    <mergeCell ref="B1:C1"/>
    <mergeCell ref="B18:C18"/>
  </mergeCells>
  <phoneticPr fontId="33"/>
  <dataValidations count="1">
    <dataValidation allowBlank="1" showInputMessage="1" showErrorMessage="1" promptTitle="寄与率" prompt="サプライチェーン全体への寄与率" sqref="E20"/>
  </dataValidations>
  <hyperlinks>
    <hyperlink ref="B4" location="'事業情報 '!A1" display="事業情報"/>
    <hyperlink ref="B13" location="'利用(U)'!A1" display="利用"/>
    <hyperlink ref="B14" location="'利用(U)'!A1" display="利用"/>
    <hyperlink ref="B15" location="資本財!A1" display="資本財"/>
    <hyperlink ref="B16" location="補助ﾘｽﾄ!A1" display="補助リスト"/>
    <hyperlink ref="B5" location="'製造(P)'!A1" display="'製造(P)'!A1"/>
    <hyperlink ref="B6" location="'製造(P)'!A1" display="'製造(P)'!A1"/>
    <hyperlink ref="B7" location="'製造(P)'!A1" display="'製造(P)'!A1"/>
    <hyperlink ref="B8" location="'製造(P)'!A1" display="'製造(P)'!A1"/>
    <hyperlink ref="B9" location="'製造(P)'!A1" display="'製造(P)'!A1"/>
    <hyperlink ref="B10" location="'製造(P)'!A1" display="'製造(P)'!A1"/>
    <hyperlink ref="B12" location="'製造(P)'!A1" display="'製造(P)'!A1"/>
    <hyperlink ref="B11" location="'製造(P)'!A1" display="'製造(P)'!A1"/>
  </hyperlinks>
  <pageMargins left="0.7" right="0.7" top="0.75" bottom="0.75" header="0.3" footer="0.3"/>
  <pageSetup paperSize="9" scale="73" orientation="portrait"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4</xdr:col>
                    <xdr:colOff>259080</xdr:colOff>
                    <xdr:row>3</xdr:row>
                    <xdr:rowOff>175260</xdr:rowOff>
                  </from>
                  <to>
                    <xdr:col>4</xdr:col>
                    <xdr:colOff>487680</xdr:colOff>
                    <xdr:row>3</xdr:row>
                    <xdr:rowOff>365760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4</xdr:col>
                    <xdr:colOff>259080</xdr:colOff>
                    <xdr:row>4</xdr:row>
                    <xdr:rowOff>175260</xdr:rowOff>
                  </from>
                  <to>
                    <xdr:col>4</xdr:col>
                    <xdr:colOff>487680</xdr:colOff>
                    <xdr:row>4</xdr:row>
                    <xdr:rowOff>365760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4</xdr:col>
                    <xdr:colOff>259080</xdr:colOff>
                    <xdr:row>5</xdr:row>
                    <xdr:rowOff>175260</xdr:rowOff>
                  </from>
                  <to>
                    <xdr:col>4</xdr:col>
                    <xdr:colOff>487680</xdr:colOff>
                    <xdr:row>5</xdr:row>
                    <xdr:rowOff>365760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4</xdr:col>
                    <xdr:colOff>259080</xdr:colOff>
                    <xdr:row>6</xdr:row>
                    <xdr:rowOff>175260</xdr:rowOff>
                  </from>
                  <to>
                    <xdr:col>4</xdr:col>
                    <xdr:colOff>487680</xdr:colOff>
                    <xdr:row>6</xdr:row>
                    <xdr:rowOff>365760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4</xdr:col>
                    <xdr:colOff>259080</xdr:colOff>
                    <xdr:row>8</xdr:row>
                    <xdr:rowOff>175260</xdr:rowOff>
                  </from>
                  <to>
                    <xdr:col>4</xdr:col>
                    <xdr:colOff>487680</xdr:colOff>
                    <xdr:row>8</xdr:row>
                    <xdr:rowOff>365760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4</xdr:col>
                    <xdr:colOff>259080</xdr:colOff>
                    <xdr:row>9</xdr:row>
                    <xdr:rowOff>175260</xdr:rowOff>
                  </from>
                  <to>
                    <xdr:col>4</xdr:col>
                    <xdr:colOff>487680</xdr:colOff>
                    <xdr:row>9</xdr:row>
                    <xdr:rowOff>365760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4</xdr:col>
                    <xdr:colOff>259080</xdr:colOff>
                    <xdr:row>11</xdr:row>
                    <xdr:rowOff>175260</xdr:rowOff>
                  </from>
                  <to>
                    <xdr:col>4</xdr:col>
                    <xdr:colOff>487680</xdr:colOff>
                    <xdr:row>11</xdr:row>
                    <xdr:rowOff>365760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4</xdr:col>
                    <xdr:colOff>259080</xdr:colOff>
                    <xdr:row>12</xdr:row>
                    <xdr:rowOff>175260</xdr:rowOff>
                  </from>
                  <to>
                    <xdr:col>4</xdr:col>
                    <xdr:colOff>487680</xdr:colOff>
                    <xdr:row>12</xdr:row>
                    <xdr:rowOff>365760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4</xdr:col>
                    <xdr:colOff>259080</xdr:colOff>
                    <xdr:row>13</xdr:row>
                    <xdr:rowOff>160020</xdr:rowOff>
                  </from>
                  <to>
                    <xdr:col>4</xdr:col>
                    <xdr:colOff>487680</xdr:colOff>
                    <xdr:row>13</xdr:row>
                    <xdr:rowOff>365760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4</xdr:col>
                    <xdr:colOff>259080</xdr:colOff>
                    <xdr:row>14</xdr:row>
                    <xdr:rowOff>160020</xdr:rowOff>
                  </from>
                  <to>
                    <xdr:col>4</xdr:col>
                    <xdr:colOff>487680</xdr:colOff>
                    <xdr:row>14</xdr:row>
                    <xdr:rowOff>365760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4</xdr:col>
                    <xdr:colOff>259080</xdr:colOff>
                    <xdr:row>15</xdr:row>
                    <xdr:rowOff>160020</xdr:rowOff>
                  </from>
                  <to>
                    <xdr:col>4</xdr:col>
                    <xdr:colOff>487680</xdr:colOff>
                    <xdr:row>15</xdr:row>
                    <xdr:rowOff>365760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4</xdr:col>
                    <xdr:colOff>259080</xdr:colOff>
                    <xdr:row>7</xdr:row>
                    <xdr:rowOff>175260</xdr:rowOff>
                  </from>
                  <to>
                    <xdr:col>4</xdr:col>
                    <xdr:colOff>487680</xdr:colOff>
                    <xdr:row>7</xdr:row>
                    <xdr:rowOff>365760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4</xdr:col>
                    <xdr:colOff>259080</xdr:colOff>
                    <xdr:row>10</xdr:row>
                    <xdr:rowOff>175260</xdr:rowOff>
                  </from>
                  <to>
                    <xdr:col>4</xdr:col>
                    <xdr:colOff>487680</xdr:colOff>
                    <xdr:row>10</xdr:row>
                    <xdr:rowOff>365760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47A877F275724888E1A4F3AE73DED1" ma:contentTypeVersion="1" ma:contentTypeDescription="Create a new document." ma:contentTypeScope="" ma:versionID="a1a91c63032f92adda049a2e569155de">
  <xsd:schema xmlns:xsd="http://www.w3.org/2001/XMLSchema" xmlns:xs="http://www.w3.org/2001/XMLSchema" xmlns:p="http://schemas.microsoft.com/office/2006/metadata/properties" xmlns:ns2="b48942bd-71a3-4f9f-b02b-4cb508bf9c37" targetNamespace="http://schemas.microsoft.com/office/2006/metadata/properties" ma:root="true" ma:fieldsID="893412b19039dc7b86a3056a9c8d2122" ns2:_="">
    <xsd:import namespace="b48942bd-71a3-4f9f-b02b-4cb508bf9c3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942bd-71a3-4f9f-b02b-4cb508bf9c3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8406A6-7EA5-4181-A35F-E05B1924F46A}"/>
</file>

<file path=customXml/itemProps2.xml><?xml version="1.0" encoding="utf-8"?>
<ds:datastoreItem xmlns:ds="http://schemas.openxmlformats.org/officeDocument/2006/customXml" ds:itemID="{C5D9DBBD-E944-49F1-A5A8-8553B8776E40}"/>
</file>

<file path=customXml/itemProps3.xml><?xml version="1.0" encoding="utf-8"?>
<ds:datastoreItem xmlns:ds="http://schemas.openxmlformats.org/officeDocument/2006/customXml" ds:itemID="{97CB1A15-7C25-46AD-AA6A-D61430F2BB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【参考】目次</vt:lpstr>
      <vt:lpstr>事業情報 </vt:lpstr>
      <vt:lpstr>製造(P)</vt:lpstr>
      <vt:lpstr>貯蔵・輸送(ST)</vt:lpstr>
      <vt:lpstr>供給(D)</vt:lpstr>
      <vt:lpstr>小計（製造から供給）</vt:lpstr>
      <vt:lpstr>利用(U)</vt:lpstr>
      <vt:lpstr>利用集計</vt:lpstr>
      <vt:lpstr>確認項目</vt:lpstr>
      <vt:lpstr>資本財</vt:lpstr>
      <vt:lpstr>補助ﾘｽﾄ</vt:lpstr>
      <vt:lpstr>カットオフ候補の抽出</vt:lpstr>
      <vt:lpstr>その他原単位</vt:lpstr>
      <vt:lpstr>IDEAGLIO補助ﾘｽﾄ</vt:lpstr>
      <vt:lpstr>製品単位換算2</vt:lpstr>
      <vt:lpstr>共通データ</vt:lpstr>
      <vt:lpstr>IDEAv2</vt:lpstr>
      <vt:lpstr>IDEAv2原単位</vt:lpstr>
      <vt:lpstr>Color</vt:lpstr>
      <vt:lpstr>GLIO</vt:lpstr>
      <vt:lpstr>GWP</vt:lpstr>
      <vt:lpstr>輸送算定用</vt:lpstr>
      <vt:lpstr>【参考】目次!Print_Area</vt:lpstr>
      <vt:lpstr>確認項目!Print_Area</vt:lpstr>
      <vt:lpstr>'供給(D)'!Print_Area</vt:lpstr>
      <vt:lpstr>共通データ!Print_Area</vt:lpstr>
      <vt:lpstr>資本財!Print_Area</vt:lpstr>
      <vt:lpstr>'事業情報 '!Print_Area</vt:lpstr>
      <vt:lpstr>'小計（製造から供給）'!Print_Area</vt:lpstr>
      <vt:lpstr>'製造(P)'!Print_Area</vt:lpstr>
      <vt:lpstr>'貯蔵・輸送(ST)'!Print_Area</vt:lpstr>
      <vt:lpstr>補助ﾘｽﾄ!Print_Area</vt:lpstr>
      <vt:lpstr>'利用(U)'!Print_Area</vt:lpstr>
      <vt:lpstr>利用集計!Print_Area</vt:lpstr>
      <vt:lpstr>一般バス</vt:lpstr>
      <vt:lpstr>使用タイプ</vt:lpstr>
      <vt:lpstr>路線バス</vt:lpstr>
    </vt:vector>
  </TitlesOfParts>
  <Company>DTC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和田口 達也</cp:lastModifiedBy>
  <cp:lastPrinted>2017-05-11T04:14:05Z</cp:lastPrinted>
  <dcterms:created xsi:type="dcterms:W3CDTF">2012-10-12T06:46:26Z</dcterms:created>
  <dcterms:modified xsi:type="dcterms:W3CDTF">2017-05-11T04:14:16Z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y fmtid="{D5CDD505-2E9C-101B-9397-08002B2CF9AE}" pid="3" name="ContentTypeId">
    <vt:lpwstr>0x010100BF47A877F275724888E1A4F3AE73DED1</vt:lpwstr>
  </property>
</Properties>
</file>