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810" windowHeight="12480" activeTab="1"/>
  </bookViews>
  <sheets>
    <sheet name="水質測定結果" sheetId="1" r:id="rId1"/>
    <sheet name="底質測定結果" sheetId="2" r:id="rId2"/>
    <sheet name="水生生物測定結果" sheetId="3" r:id="rId3"/>
  </sheets>
  <definedNames>
    <definedName name="_xlnm.Print_Area" localSheetId="0">'水質測定結果'!$A$1:$P$59</definedName>
    <definedName name="_xlnm.Print_Area" localSheetId="2">'水生生物測定結果'!$A$1:$Q$216</definedName>
    <definedName name="_xlnm.Print_Area" localSheetId="1">'底質測定結果'!$A$1:$U$56</definedName>
    <definedName name="_xlnm.Print_Titles" localSheetId="0">'水質測定結果'!$1:$4</definedName>
  </definedNames>
  <calcPr fullCalcOnLoad="1"/>
</workbook>
</file>

<file path=xl/sharedStrings.xml><?xml version="1.0" encoding="utf-8"?>
<sst xmlns="http://schemas.openxmlformats.org/spreadsheetml/2006/main" count="2239" uniqueCount="667">
  <si>
    <t>IL</t>
  </si>
  <si>
    <t>地点</t>
  </si>
  <si>
    <t>緯度</t>
  </si>
  <si>
    <t>経度</t>
  </si>
  <si>
    <t>粒度組成</t>
  </si>
  <si>
    <t>pH</t>
  </si>
  <si>
    <t>酸化還元電位</t>
  </si>
  <si>
    <t>含水率</t>
  </si>
  <si>
    <t>TOC</t>
  </si>
  <si>
    <t>土粒子の密度</t>
  </si>
  <si>
    <t>礫</t>
  </si>
  <si>
    <t>粗砂</t>
  </si>
  <si>
    <t>中砂</t>
  </si>
  <si>
    <t>細砂</t>
  </si>
  <si>
    <t>シルト</t>
  </si>
  <si>
    <t>粘土</t>
  </si>
  <si>
    <t>中央粒径</t>
  </si>
  <si>
    <t>最大粒径</t>
  </si>
  <si>
    <t>Cs-134</t>
  </si>
  <si>
    <t>Cs-137</t>
  </si>
  <si>
    <t>Sr-90</t>
  </si>
  <si>
    <r>
      <t>E</t>
    </r>
    <r>
      <rPr>
        <vertAlign val="subscript"/>
        <sz val="10"/>
        <rFont val="ＭＳ 明朝"/>
        <family val="1"/>
      </rPr>
      <t>N.H.E</t>
    </r>
  </si>
  <si>
    <t>(2～75mm)</t>
  </si>
  <si>
    <t>(0.85～2mm)</t>
  </si>
  <si>
    <t>(0.25～0.85mm)</t>
  </si>
  <si>
    <t>(0.075～0.25mm)</t>
  </si>
  <si>
    <t>(0.005～0.075mm)</t>
  </si>
  <si>
    <t>(0.005mm未満)</t>
  </si>
  <si>
    <t>（mV）</t>
  </si>
  <si>
    <t>（％）</t>
  </si>
  <si>
    <r>
      <t>（g/cm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）</t>
    </r>
  </si>
  <si>
    <t>（mm）</t>
  </si>
  <si>
    <t>A-1</t>
  </si>
  <si>
    <t>新田川</t>
  </si>
  <si>
    <t>B-1</t>
  </si>
  <si>
    <t>B-3</t>
  </si>
  <si>
    <t>真野川</t>
  </si>
  <si>
    <t>太田川</t>
  </si>
  <si>
    <t>宇多川</t>
  </si>
  <si>
    <t>秋元湖</t>
  </si>
  <si>
    <t>猪苗代湖</t>
  </si>
  <si>
    <t>pH</t>
  </si>
  <si>
    <t>BOD</t>
  </si>
  <si>
    <t>COD</t>
  </si>
  <si>
    <t>DO</t>
  </si>
  <si>
    <t>TOC</t>
  </si>
  <si>
    <t>SS</t>
  </si>
  <si>
    <t>電気伝導率</t>
  </si>
  <si>
    <t>塩分</t>
  </si>
  <si>
    <t>濁度</t>
  </si>
  <si>
    <t>Sr-90</t>
  </si>
  <si>
    <t>（mg/L）</t>
  </si>
  <si>
    <t>（mS/m）</t>
  </si>
  <si>
    <t>（度）</t>
  </si>
  <si>
    <t>Cs-134</t>
  </si>
  <si>
    <t>Cs-137</t>
  </si>
  <si>
    <t>A-1(表層)</t>
  </si>
  <si>
    <t>D-2</t>
  </si>
  <si>
    <t>阿武隈川水系</t>
  </si>
  <si>
    <t>○ 水質測定結果</t>
  </si>
  <si>
    <t>○ 底質測定結果</t>
  </si>
  <si>
    <t>A-2</t>
  </si>
  <si>
    <t>B-1</t>
  </si>
  <si>
    <t>B-2</t>
  </si>
  <si>
    <t>B-3</t>
  </si>
  <si>
    <t>C-1</t>
  </si>
  <si>
    <t>C-2</t>
  </si>
  <si>
    <t>D-1</t>
  </si>
  <si>
    <t>D-2</t>
  </si>
  <si>
    <t>D-3</t>
  </si>
  <si>
    <t>D-4 a</t>
  </si>
  <si>
    <t>D-5</t>
  </si>
  <si>
    <t>G-1</t>
  </si>
  <si>
    <t>G-2</t>
  </si>
  <si>
    <t>G-3</t>
  </si>
  <si>
    <t>G-4</t>
  </si>
  <si>
    <t>G-5</t>
  </si>
  <si>
    <t>E-1</t>
  </si>
  <si>
    <t>E-2 a</t>
  </si>
  <si>
    <t>E-3</t>
  </si>
  <si>
    <t>E-4</t>
  </si>
  <si>
    <t>E-5</t>
  </si>
  <si>
    <t>F-1</t>
  </si>
  <si>
    <t>F-2</t>
  </si>
  <si>
    <t>F-3</t>
  </si>
  <si>
    <t>F-4</t>
  </si>
  <si>
    <t>F-5</t>
  </si>
  <si>
    <t>H-1</t>
  </si>
  <si>
    <t>H-2</t>
  </si>
  <si>
    <t>H-3</t>
  </si>
  <si>
    <t>H-5</t>
  </si>
  <si>
    <t>I-1</t>
  </si>
  <si>
    <t>I-2</t>
  </si>
  <si>
    <t>J-1</t>
  </si>
  <si>
    <t>L-1</t>
  </si>
  <si>
    <t>L-2</t>
  </si>
  <si>
    <t>L-3</t>
  </si>
  <si>
    <t>H-4</t>
  </si>
  <si>
    <t>I-3</t>
  </si>
  <si>
    <t>I-4</t>
  </si>
  <si>
    <t>A-2</t>
  </si>
  <si>
    <t>B-2</t>
  </si>
  <si>
    <t>C-1</t>
  </si>
  <si>
    <t>C-2</t>
  </si>
  <si>
    <t>C-3</t>
  </si>
  <si>
    <t>C-4</t>
  </si>
  <si>
    <t>C-5</t>
  </si>
  <si>
    <t>C-6</t>
  </si>
  <si>
    <t>D-1</t>
  </si>
  <si>
    <t>D-3</t>
  </si>
  <si>
    <t>D-4 a</t>
  </si>
  <si>
    <t>D-4 b</t>
  </si>
  <si>
    <t>D-5</t>
  </si>
  <si>
    <t>L-2</t>
  </si>
  <si>
    <t>L-3</t>
  </si>
  <si>
    <t>E-1</t>
  </si>
  <si>
    <t>E-2 a</t>
  </si>
  <si>
    <t>E-2 b</t>
  </si>
  <si>
    <t>E-3</t>
  </si>
  <si>
    <t>E-4</t>
  </si>
  <si>
    <t>E-5</t>
  </si>
  <si>
    <t>F-1</t>
  </si>
  <si>
    <t>F-2</t>
  </si>
  <si>
    <t>F-3</t>
  </si>
  <si>
    <t>F-4</t>
  </si>
  <si>
    <t>F-5</t>
  </si>
  <si>
    <t>F-6</t>
  </si>
  <si>
    <t>H-1(表層)</t>
  </si>
  <si>
    <t>H-1(下層)</t>
  </si>
  <si>
    <t>H-3(表層)</t>
  </si>
  <si>
    <t>H-5(表層)</t>
  </si>
  <si>
    <t>H-5(下層)</t>
  </si>
  <si>
    <t>I-1(表層)</t>
  </si>
  <si>
    <t>I-1(下層)</t>
  </si>
  <si>
    <t>J-1(表層)</t>
  </si>
  <si>
    <t>J-1(下層)</t>
  </si>
  <si>
    <t>I-3(表層)</t>
  </si>
  <si>
    <t>I-3(下層)</t>
  </si>
  <si>
    <t>G-1(表層)</t>
  </si>
  <si>
    <t>G-1(下層)</t>
  </si>
  <si>
    <t>G-3(下層)</t>
  </si>
  <si>
    <t>G-3(表層)</t>
  </si>
  <si>
    <t>G-5(表層)</t>
  </si>
  <si>
    <t>G-5(下層)</t>
  </si>
  <si>
    <t>H-3(下層)</t>
  </si>
  <si>
    <t>A-1(下層)</t>
  </si>
  <si>
    <t>C-5</t>
  </si>
  <si>
    <t>C-6</t>
  </si>
  <si>
    <t>はやま湖
（真野ダム）</t>
  </si>
  <si>
    <t>いわき市沖
（久之浜）</t>
  </si>
  <si>
    <t>相馬市沖
（松川浦）</t>
  </si>
  <si>
    <t>阿武隈川河口沖
（亘理町沖）</t>
  </si>
  <si>
    <t>相馬市沖
（松川浦）</t>
  </si>
  <si>
    <t>M-2(表層)</t>
  </si>
  <si>
    <t>M-2(下層)</t>
  </si>
  <si>
    <t>K-1</t>
  </si>
  <si>
    <t>K-2</t>
  </si>
  <si>
    <t>K-3</t>
  </si>
  <si>
    <t>M-1</t>
  </si>
  <si>
    <t>M-2</t>
  </si>
  <si>
    <t>M-3</t>
  </si>
  <si>
    <t>&lt;0.5</t>
  </si>
  <si>
    <t>&lt;0.5</t>
  </si>
  <si>
    <t>&lt;0.5</t>
  </si>
  <si>
    <t>&lt;1</t>
  </si>
  <si>
    <t>&lt;1</t>
  </si>
  <si>
    <t>&lt;1</t>
  </si>
  <si>
    <t xml:space="preserve"> 37.764550°</t>
  </si>
  <si>
    <t xml:space="preserve"> 37.776450°</t>
  </si>
  <si>
    <t xml:space="preserve"> 37.733217°</t>
  </si>
  <si>
    <t xml:space="preserve"> 37.704950°</t>
  </si>
  <si>
    <t>140.911500°</t>
  </si>
  <si>
    <t xml:space="preserve"> 37.597483°</t>
  </si>
  <si>
    <t xml:space="preserve"> 37.657533°</t>
  </si>
  <si>
    <t>140.126433°</t>
  </si>
  <si>
    <t xml:space="preserve"> 37.665333°</t>
  </si>
  <si>
    <t>140.132933°</t>
  </si>
  <si>
    <t xml:space="preserve"> 37.652333°</t>
  </si>
  <si>
    <t>140.156833°</t>
  </si>
  <si>
    <t xml:space="preserve"> 37.504683°</t>
  </si>
  <si>
    <t>140.114333°</t>
  </si>
  <si>
    <t xml:space="preserve"> 37.507700°</t>
  </si>
  <si>
    <t>140.026250°</t>
  </si>
  <si>
    <t xml:space="preserve"> 37.420333°</t>
  </si>
  <si>
    <t>140.100833°</t>
  </si>
  <si>
    <t xml:space="preserve"> 37.621167°</t>
  </si>
  <si>
    <t>140.522083°</t>
  </si>
  <si>
    <t xml:space="preserve"> 37.565450°</t>
  </si>
  <si>
    <t>140.394383°</t>
  </si>
  <si>
    <t xml:space="preserve"> 37.784150°</t>
  </si>
  <si>
    <t>140.492083°</t>
  </si>
  <si>
    <t xml:space="preserve"> 37.812000°</t>
  </si>
  <si>
    <t>140.505800°</t>
  </si>
  <si>
    <t xml:space="preserve"> 37.816350°</t>
  </si>
  <si>
    <t>140.471933°</t>
  </si>
  <si>
    <t xml:space="preserve"> 37.795467°</t>
  </si>
  <si>
    <t>140.745783°</t>
  </si>
  <si>
    <t xml:space="preserve"> 37.771000°</t>
  </si>
  <si>
    <t>140.727667°</t>
  </si>
  <si>
    <t xml:space="preserve"> 37.769250°</t>
  </si>
  <si>
    <t>140.844233°</t>
  </si>
  <si>
    <t>140.860267°</t>
  </si>
  <si>
    <t>140.887483°</t>
  </si>
  <si>
    <t>140.925233°</t>
  </si>
  <si>
    <t xml:space="preserve"> 37.709450°</t>
  </si>
  <si>
    <t>140.944783°</t>
  </si>
  <si>
    <t>140.962083°</t>
  </si>
  <si>
    <t xml:space="preserve"> 37.730883°</t>
  </si>
  <si>
    <t>140.907717°</t>
  </si>
  <si>
    <t xml:space="preserve"> 37.721733°</t>
  </si>
  <si>
    <t>140.889850°</t>
  </si>
  <si>
    <t xml:space="preserve"> 37.661500°</t>
  </si>
  <si>
    <t xml:space="preserve"> 37.664283°</t>
  </si>
  <si>
    <t>140.945433°</t>
  </si>
  <si>
    <t xml:space="preserve"> 37.644733°</t>
  </si>
  <si>
    <t>141.001533°</t>
  </si>
  <si>
    <t>140.965817°</t>
  </si>
  <si>
    <t xml:space="preserve"> 37.665150°</t>
  </si>
  <si>
    <t>140.917533°</t>
  </si>
  <si>
    <t>140.924900°</t>
  </si>
  <si>
    <t xml:space="preserve"> 37.601500°</t>
  </si>
  <si>
    <t>140.943633°</t>
  </si>
  <si>
    <t xml:space="preserve"> 37.604517°</t>
  </si>
  <si>
    <t>140.964100°</t>
  </si>
  <si>
    <t xml:space="preserve"> 37.606967°</t>
  </si>
  <si>
    <t>140.972033°</t>
  </si>
  <si>
    <t xml:space="preserve"> 37.602200°</t>
  </si>
  <si>
    <t>140.987367°</t>
  </si>
  <si>
    <t xml:space="preserve"> 37.734190°</t>
  </si>
  <si>
    <t>140.809720°</t>
  </si>
  <si>
    <t xml:space="preserve"> 37.725833°</t>
  </si>
  <si>
    <t>140.821383°</t>
  </si>
  <si>
    <t xml:space="preserve"> 37.729433°</t>
  </si>
  <si>
    <t>140.831667°</t>
  </si>
  <si>
    <t xml:space="preserve"> 37.738200°</t>
  </si>
  <si>
    <t>140.803450°</t>
  </si>
  <si>
    <t xml:space="preserve"> 37.733660°</t>
  </si>
  <si>
    <t>140.808110°</t>
  </si>
  <si>
    <t xml:space="preserve"> 37.661550°</t>
  </si>
  <si>
    <t>140.122550°</t>
  </si>
  <si>
    <t xml:space="preserve"> 37.655067°</t>
  </si>
  <si>
    <t>140.118050°</t>
  </si>
  <si>
    <t xml:space="preserve"> 37.499467°</t>
  </si>
  <si>
    <t>140.140883°</t>
  </si>
  <si>
    <t xml:space="preserve"> 37.515967°</t>
  </si>
  <si>
    <t>140.109167°</t>
  </si>
  <si>
    <t xml:space="preserve"> 38.045717°</t>
  </si>
  <si>
    <t>140.930000°</t>
  </si>
  <si>
    <t xml:space="preserve"> 38.045867°</t>
  </si>
  <si>
    <t>140.940067°</t>
  </si>
  <si>
    <t xml:space="preserve"> 38.045517°</t>
  </si>
  <si>
    <t>140.952117°</t>
  </si>
  <si>
    <t xml:space="preserve"> 37.820950°</t>
  </si>
  <si>
    <t>140.961067°</t>
  </si>
  <si>
    <t xml:space="preserve"> 37.815483°</t>
  </si>
  <si>
    <t>140.976400°</t>
  </si>
  <si>
    <t xml:space="preserve"> 37.821650°</t>
  </si>
  <si>
    <t>140.976383°</t>
  </si>
  <si>
    <t xml:space="preserve"> 37.173567°</t>
  </si>
  <si>
    <t>141.078833°</t>
  </si>
  <si>
    <t xml:space="preserve"> 37.199467°</t>
  </si>
  <si>
    <t>141.085667°</t>
  </si>
  <si>
    <t xml:space="preserve"> 37.232550°</t>
  </si>
  <si>
    <t>141.093717°</t>
  </si>
  <si>
    <t>－</t>
  </si>
  <si>
    <t>－</t>
  </si>
  <si>
    <t>&lt;0.5</t>
  </si>
  <si>
    <t xml:space="preserve"> 37.779100°</t>
  </si>
  <si>
    <t>140.804100°</t>
  </si>
  <si>
    <t xml:space="preserve"> 37.731133°</t>
  </si>
  <si>
    <t>140.909500°</t>
  </si>
  <si>
    <t xml:space="preserve"> 37.664033°</t>
  </si>
  <si>
    <t>140.945867°</t>
  </si>
  <si>
    <t xml:space="preserve"> 37.646267°</t>
  </si>
  <si>
    <t xml:space="preserve"> 37.734190°</t>
  </si>
  <si>
    <t xml:space="preserve"> 37.729433°</t>
  </si>
  <si>
    <t xml:space="preserve"> 37.733660°</t>
  </si>
  <si>
    <t>140.809720°</t>
  </si>
  <si>
    <t>140.831667°</t>
  </si>
  <si>
    <t>140.808110°</t>
  </si>
  <si>
    <t xml:space="preserve"> 37.595283°</t>
  </si>
  <si>
    <t>141.012733°</t>
  </si>
  <si>
    <t>採取日</t>
  </si>
  <si>
    <t>個体数</t>
  </si>
  <si>
    <t>採取重量
(kg-wet)</t>
  </si>
  <si>
    <t>成長段階</t>
  </si>
  <si>
    <t>放射性セシウム(Bq/kg-wet)</t>
  </si>
  <si>
    <t>胃内容物</t>
  </si>
  <si>
    <t>計</t>
  </si>
  <si>
    <t>Cs-134</t>
  </si>
  <si>
    <t>付着藻類等</t>
  </si>
  <si>
    <t>水生昆虫</t>
  </si>
  <si>
    <t>Stenopsyche marmorata</t>
  </si>
  <si>
    <t>ﾋｹﾞﾅｶﾞｶﾜﾄﾋﾞｹﾗ</t>
  </si>
  <si>
    <t>幼虫</t>
  </si>
  <si>
    <t>Stenopsyche sauteri</t>
  </si>
  <si>
    <t>Anax parthenope julius</t>
  </si>
  <si>
    <t>Asiagomphus melaenops</t>
  </si>
  <si>
    <t>Davidius nanus</t>
  </si>
  <si>
    <t>Onychogomphus viridicostus</t>
  </si>
  <si>
    <t>Sieboldius albardae</t>
  </si>
  <si>
    <t>Anotogaster sieboldii</t>
  </si>
  <si>
    <t>Macromia amphigena amphigena</t>
  </si>
  <si>
    <t>ｶﾜﾘﾇﾏｴﾋﾞ属</t>
  </si>
  <si>
    <t>成体</t>
  </si>
  <si>
    <t>3歳魚</t>
  </si>
  <si>
    <t xml:space="preserve">Tribolodon hakonensis </t>
  </si>
  <si>
    <t>2歳魚</t>
  </si>
  <si>
    <t>内容物あり（詳細は不明）</t>
  </si>
  <si>
    <t xml:space="preserve">Oncorhynchus masou </t>
  </si>
  <si>
    <t>1歳魚</t>
  </si>
  <si>
    <t>ｶｴﾙ類(ｵﾀﾏｼﾞｬｸｼ)</t>
  </si>
  <si>
    <t>幼生</t>
  </si>
  <si>
    <t>Cynops pyrrhogaster</t>
  </si>
  <si>
    <t>ｱｶﾊﾗｲﾓﾘ</t>
  </si>
  <si>
    <t>若齢幼虫</t>
  </si>
  <si>
    <t>最終齢幼虫</t>
  </si>
  <si>
    <t>Protohermes grandis</t>
  </si>
  <si>
    <t>ﾍﾋﾞﾄﾝﾎﾞ</t>
  </si>
  <si>
    <t>ﾀｲﾘｸｸﾛｽｼﾞﾍﾋﾞﾄﾝﾎﾞ</t>
  </si>
  <si>
    <r>
      <t xml:space="preserve">Davidius </t>
    </r>
    <r>
      <rPr>
        <sz val="10"/>
        <rFont val="ＭＳ 明朝"/>
        <family val="1"/>
      </rPr>
      <t>sp.</t>
    </r>
  </si>
  <si>
    <t>ｵﾅｶﾞｻﾅｴ</t>
  </si>
  <si>
    <t>Sinogomphus flavolimbatus</t>
  </si>
  <si>
    <t>ﾋﾒｻﾅｴ</t>
  </si>
  <si>
    <t>ｺﾔﾏﾄﾝﾎﾞ</t>
  </si>
  <si>
    <t>CPOM(水底落葉等)</t>
  </si>
  <si>
    <t>5歳魚</t>
  </si>
  <si>
    <t>Cs-137</t>
  </si>
  <si>
    <t>ﾁｬﾊﾞﾈﾋｹﾞﾅｶﾞｶﾜﾄﾋﾞｹﾗ</t>
  </si>
  <si>
    <t>ｷﾞﾝﾔﾝﾏ</t>
  </si>
  <si>
    <t>ﾔﾏｻﾅｴ</t>
  </si>
  <si>
    <t>ﾀﾞﾋﾞﾄﾞｻﾅｴ</t>
  </si>
  <si>
    <t>ﾀﾞﾋﾞﾄﾞｻﾅｴ属</t>
  </si>
  <si>
    <t>ｺｵﾆﾔﾝﾏ</t>
  </si>
  <si>
    <t>ｵﾆﾔﾝﾏ</t>
  </si>
  <si>
    <r>
      <t xml:space="preserve">Neocaridina </t>
    </r>
    <r>
      <rPr>
        <sz val="10"/>
        <rFont val="ＭＳ 明朝"/>
        <family val="1"/>
      </rPr>
      <t>sp.</t>
    </r>
  </si>
  <si>
    <t>Semisulcospira libertina</t>
  </si>
  <si>
    <t>ｶﾜﾆﾅ</t>
  </si>
  <si>
    <t>Misgurnus anguillicaudatus</t>
  </si>
  <si>
    <t>ﾄﾞｼﾞｮｳ</t>
  </si>
  <si>
    <t>Phoxinus lagowskii steindachneri</t>
  </si>
  <si>
    <t>ｱﾌﾞﾗﾊﾔ</t>
  </si>
  <si>
    <t>ｳｸﾞｲ</t>
  </si>
  <si>
    <t>ﾔﾏﾒ</t>
  </si>
  <si>
    <t>Parachauliodes continentalis</t>
  </si>
  <si>
    <t xml:space="preserve">Tribolodon hakonensis </t>
  </si>
  <si>
    <t>Hemibarbus barbus</t>
  </si>
  <si>
    <t>ﾆｺﾞｲ</t>
  </si>
  <si>
    <t>新田川</t>
  </si>
  <si>
    <t>ﾋｹﾞﾅｶﾞｶﾜﾄﾋﾞｹﾗ</t>
  </si>
  <si>
    <t>Kamimuria tibialis</t>
  </si>
  <si>
    <t>ﾀﾞﾋﾞﾄﾞｻﾅｴ属</t>
  </si>
  <si>
    <t>Stylogomphus suzukii</t>
  </si>
  <si>
    <t>ｵｼﾞﾛｻﾅｴ</t>
  </si>
  <si>
    <t>Atyidae</t>
  </si>
  <si>
    <t>ﾇﾏｴﾋﾞ科</t>
  </si>
  <si>
    <t>4歳魚</t>
  </si>
  <si>
    <t>ｶﾐﾑﾗｶﾜｹﾞﾗ</t>
  </si>
  <si>
    <r>
      <t xml:space="preserve">Neoperla </t>
    </r>
    <r>
      <rPr>
        <sz val="10"/>
        <rFont val="ＭＳ 明朝"/>
        <family val="1"/>
      </rPr>
      <t>sp.</t>
    </r>
  </si>
  <si>
    <t>ﾌﾀﾂﾒｶﾜｹﾞﾗ属</t>
  </si>
  <si>
    <t>Eriocheir japonica</t>
  </si>
  <si>
    <t>ﾓｸｽﾞｶﾞﾆ</t>
  </si>
  <si>
    <t xml:space="preserve">Carassius auratus </t>
  </si>
  <si>
    <t>ｷﾞﾝﾌﾞﾅ</t>
  </si>
  <si>
    <t>Cyprinus carpio</t>
  </si>
  <si>
    <t>ｺｲ</t>
  </si>
  <si>
    <t>真野川</t>
  </si>
  <si>
    <r>
      <t xml:space="preserve">Spirogyra </t>
    </r>
    <r>
      <rPr>
        <sz val="10"/>
        <rFont val="ＭＳ 明朝"/>
        <family val="1"/>
      </rPr>
      <t>sp.</t>
    </r>
  </si>
  <si>
    <t>ｱｵﾐﾄﾞﾛ属</t>
  </si>
  <si>
    <t>Phragmites australis</t>
  </si>
  <si>
    <t>ﾖｼ</t>
  </si>
  <si>
    <t>Boyeria maclachlani</t>
  </si>
  <si>
    <t>ｺｼﾎﾞｿﾔﾝﾏ</t>
  </si>
  <si>
    <t>Anisogomphus maacki</t>
  </si>
  <si>
    <t>ﾐﾔﾏｻﾅｴ</t>
  </si>
  <si>
    <t>Nihonogomphus viridis</t>
  </si>
  <si>
    <t>ｱｵｻﾅｴ</t>
  </si>
  <si>
    <t>Crocothemis servilia mariannae</t>
  </si>
  <si>
    <t>ｼｮｳｼﾞｮｳﾄﾝﾎﾞ</t>
  </si>
  <si>
    <t>Orthetrum albistylum speciosum</t>
  </si>
  <si>
    <t>ｼｵｶﾗﾄﾝﾎﾞ</t>
  </si>
  <si>
    <r>
      <t xml:space="preserve">Rhinogobius </t>
    </r>
    <r>
      <rPr>
        <sz val="10"/>
        <rFont val="ＭＳ 明朝"/>
        <family val="1"/>
      </rPr>
      <t>sp.</t>
    </r>
  </si>
  <si>
    <t>ｼﾏﾖｼﾉﾎﾞﾘ</t>
  </si>
  <si>
    <t>成魚</t>
  </si>
  <si>
    <t xml:space="preserve">Zacco platypus </t>
  </si>
  <si>
    <t>ｵｲｶﾜ</t>
  </si>
  <si>
    <t>Rana catesbeiana</t>
  </si>
  <si>
    <t>ｳｼｶﾞｴﾙ(ｵﾀﾏｼﾞｬｸｼ)</t>
  </si>
  <si>
    <t>太田川</t>
  </si>
  <si>
    <t>ﾖｼﾉﾎﾞﾘ属</t>
  </si>
  <si>
    <t>当歳魚</t>
  </si>
  <si>
    <t>Rhinogobius</t>
  </si>
  <si>
    <t>宇多川</t>
  </si>
  <si>
    <t>ﾔﾏｻﾅｴ</t>
  </si>
  <si>
    <t>ｵﾅｶﾞｻﾅｴ</t>
  </si>
  <si>
    <t>ｺｵﾆﾔﾝﾏ</t>
  </si>
  <si>
    <t>Nipponocypris temminckii</t>
  </si>
  <si>
    <t>ｶﾜﾑﾂ</t>
  </si>
  <si>
    <t>秋元湖</t>
  </si>
  <si>
    <t>浮遊藻類等</t>
  </si>
  <si>
    <t>Elodea nuttallii</t>
  </si>
  <si>
    <t>ｺｶﾅﾀﾞﾓ</t>
  </si>
  <si>
    <t>Pacifastacus leniusculus trowbridgii</t>
  </si>
  <si>
    <t>ｳﾁﾀﾞｻﾞﾘｶﾞﾆ</t>
  </si>
  <si>
    <t>6歳魚</t>
  </si>
  <si>
    <t>Cyprinus carpio</t>
  </si>
  <si>
    <t>ｺｲ</t>
  </si>
  <si>
    <t>7歳魚</t>
  </si>
  <si>
    <t>ﾄﾞｼﾞｮｳ</t>
  </si>
  <si>
    <t>ｱｶｶﾞｴﾙ科</t>
  </si>
  <si>
    <t>Carassius auratus</t>
  </si>
  <si>
    <t>内容物あり（詳細は不明）</t>
  </si>
  <si>
    <t xml:space="preserve">Hemibarbus barbus </t>
  </si>
  <si>
    <t>なし</t>
  </si>
  <si>
    <t>Oncorhynchus masou</t>
  </si>
  <si>
    <t>ｻｸﾗﾏｽ</t>
  </si>
  <si>
    <t>Salvelinus leucomaenis</t>
  </si>
  <si>
    <t>ｲﾜﾅ</t>
  </si>
  <si>
    <t xml:space="preserve">Micropterus dolomieu </t>
  </si>
  <si>
    <t>ｺｸﾁﾊﾞｽ</t>
  </si>
  <si>
    <t xml:space="preserve">Hypomesus nipponensis </t>
  </si>
  <si>
    <t>ﾜｶｻｷﾞ</t>
  </si>
  <si>
    <t>Cynops pyrrhogaster</t>
  </si>
  <si>
    <t>ｱｶﾊﾗｲﾓﾘ</t>
  </si>
  <si>
    <t xml:space="preserve">Bellamya japonica </t>
  </si>
  <si>
    <t>ｵｵﾀﾆｼ</t>
  </si>
  <si>
    <t>Ranidae</t>
  </si>
  <si>
    <t>はやま湖</t>
  </si>
  <si>
    <t>浮遊藻類等</t>
  </si>
  <si>
    <t>Davidius fujiama</t>
  </si>
  <si>
    <t>Rhinogobius flumineus</t>
  </si>
  <si>
    <t>ｶﾜﾖｼﾉﾎﾞﾘ</t>
  </si>
  <si>
    <t>ｳｸﾞｲ(小型個体)</t>
  </si>
  <si>
    <t>ｳｸﾞｲ(大型個体)</t>
  </si>
  <si>
    <t>2歳魚</t>
  </si>
  <si>
    <t>ｸﾛｻﾅｴ</t>
  </si>
  <si>
    <t xml:space="preserve">Oncorhynchus masou </t>
  </si>
  <si>
    <t>Oncorhynchus mykiss</t>
  </si>
  <si>
    <t>ﾆｼﾞﾏｽ</t>
  </si>
  <si>
    <t>いわき市沖</t>
  </si>
  <si>
    <t>Glyptocidaris crenularis</t>
  </si>
  <si>
    <t>ﾂｶﾞﾙｳﾆ</t>
  </si>
  <si>
    <t>Lateolabrax japonicus</t>
  </si>
  <si>
    <t>ｽｽﾞｷ</t>
  </si>
  <si>
    <t>小型魚類</t>
  </si>
  <si>
    <t xml:space="preserve">Hexagrammos otakii </t>
  </si>
  <si>
    <t>ｱｲﾅﾒ</t>
  </si>
  <si>
    <t>小型魚類、甲殻類片</t>
  </si>
  <si>
    <t>Paralichthys olivaceus</t>
  </si>
  <si>
    <t>ﾋﾗﾒ</t>
  </si>
  <si>
    <t>Pleuronectes yokohamae</t>
  </si>
  <si>
    <t>ﾏｺｶﾞﾚｲ</t>
  </si>
  <si>
    <t>環形動物</t>
  </si>
  <si>
    <t>Pseudopleuronectes herzensteini</t>
  </si>
  <si>
    <t>ﾏｶﾞﾚｲ</t>
  </si>
  <si>
    <t>Eopsetta grigorjewi</t>
  </si>
  <si>
    <t>ﾑｼｶﾞﾚｲ</t>
  </si>
  <si>
    <t>甲殻類片</t>
  </si>
  <si>
    <t xml:space="preserve">Okamejei kenojei </t>
  </si>
  <si>
    <t>ｺﾓﾝｶｽﾍﾞ</t>
  </si>
  <si>
    <t xml:space="preserve">Mustelus manazo </t>
  </si>
  <si>
    <t>ﾎｼｻﾞﾒ</t>
  </si>
  <si>
    <t>Eisenia bicyclis</t>
  </si>
  <si>
    <t>ｱﾗﾒ</t>
  </si>
  <si>
    <t xml:space="preserve">Strongylocentrotus nudus  </t>
  </si>
  <si>
    <t>ｷﾀﾑﾗｻｷｳﾆ</t>
  </si>
  <si>
    <t>Haliotis discus</t>
  </si>
  <si>
    <t>ｱﾜﾋﾞ(軟体部)</t>
  </si>
  <si>
    <t xml:space="preserve">Evynnis japonica </t>
  </si>
  <si>
    <t>ﾁﾀﾞｲ</t>
  </si>
  <si>
    <t>相馬市沖</t>
  </si>
  <si>
    <t>Ulva pertusa</t>
  </si>
  <si>
    <t>ｱﾅｱｵｻ</t>
  </si>
  <si>
    <t>ｱﾏﾓ</t>
  </si>
  <si>
    <t>Mysidae</t>
  </si>
  <si>
    <t>ｱﾐ科</t>
  </si>
  <si>
    <t>多数</t>
  </si>
  <si>
    <t>ｲｿｶﾞﾆ属</t>
  </si>
  <si>
    <t>ﾏｶﾞｷ(軟体部)</t>
  </si>
  <si>
    <t>ｱｻﾘ(軟体部)</t>
  </si>
  <si>
    <t>亘理町沖</t>
  </si>
  <si>
    <t xml:space="preserve">Ovalipes punctatus </t>
  </si>
  <si>
    <t>ﾋﾗﾂﾒｶﾞﾆ</t>
  </si>
  <si>
    <t>Zostera marina</t>
  </si>
  <si>
    <t>Hemigrapsus</t>
  </si>
  <si>
    <t>Crassostrea gigas</t>
  </si>
  <si>
    <t>Ruditapes philippinarum</t>
  </si>
  <si>
    <t xml:space="preserve">Sebastes schlegeli </t>
  </si>
  <si>
    <t>ｸﾛｿｲ</t>
  </si>
  <si>
    <t>Thamnaconus modestus</t>
  </si>
  <si>
    <t>ｳﾏﾂﾞﾗﾊｷﾞ</t>
  </si>
  <si>
    <t>Kareius bicoloratus</t>
  </si>
  <si>
    <t>ｲｼｶﾞﾚｲ</t>
  </si>
  <si>
    <t>門</t>
  </si>
  <si>
    <t>綱</t>
  </si>
  <si>
    <t>目</t>
  </si>
  <si>
    <t>科</t>
  </si>
  <si>
    <t>種名</t>
  </si>
  <si>
    <t>和名</t>
  </si>
  <si>
    <t>特記事項</t>
  </si>
  <si>
    <t>Sr-90
(Bq/kg-wet)</t>
  </si>
  <si>
    <t>N.D.</t>
  </si>
  <si>
    <t>藻類・植物</t>
  </si>
  <si>
    <t>－</t>
  </si>
  <si>
    <t>節足動物</t>
  </si>
  <si>
    <t>昆虫</t>
  </si>
  <si>
    <t>ﾄﾋﾞｹﾗ</t>
  </si>
  <si>
    <t>ﾄﾋﾞｹﾗ</t>
  </si>
  <si>
    <t>ﾋｹﾞﾅｶﾞｶﾜﾄﾋﾞｹﾗ</t>
  </si>
  <si>
    <t>ﾄﾝﾎﾞ</t>
  </si>
  <si>
    <t>ﾔﾝﾏ</t>
  </si>
  <si>
    <t>ﾄﾝﾎﾞ</t>
  </si>
  <si>
    <t>ｻﾅｴﾄﾝﾎﾞ</t>
  </si>
  <si>
    <t>ｻﾅｴﾄﾝﾎﾞ</t>
  </si>
  <si>
    <t>ｵﾆﾔﾝﾏ</t>
  </si>
  <si>
    <t>ｴｿﾞﾄﾝﾎﾞ</t>
  </si>
  <si>
    <t>ｴｿﾞﾄﾝﾎﾞ</t>
  </si>
  <si>
    <t>軟甲</t>
  </si>
  <si>
    <t>十脚</t>
  </si>
  <si>
    <t>ﾇﾏｴﾋﾞ</t>
  </si>
  <si>
    <t>軟体動物</t>
  </si>
  <si>
    <t>腹足</t>
  </si>
  <si>
    <t>吸腔</t>
  </si>
  <si>
    <t>脊椎動物</t>
  </si>
  <si>
    <t>硬骨魚</t>
  </si>
  <si>
    <t>ｻｹ</t>
  </si>
  <si>
    <t>ｺｲ</t>
  </si>
  <si>
    <t>両生</t>
  </si>
  <si>
    <t>無尾</t>
  </si>
  <si>
    <t>有尾</t>
  </si>
  <si>
    <t>ｲﾓﾘ</t>
  </si>
  <si>
    <t>ﾍﾋﾞﾄﾝﾎﾞ</t>
  </si>
  <si>
    <t>ﾍﾋﾞﾄﾝﾎﾞ</t>
  </si>
  <si>
    <t>ﾄﾝﾎﾞ</t>
  </si>
  <si>
    <t>ｻﾅｴﾄﾝﾎﾞ</t>
  </si>
  <si>
    <t>硬骨魚</t>
  </si>
  <si>
    <t>粗粒状有機物</t>
  </si>
  <si>
    <t>ﾇﾏｴﾋﾞ</t>
  </si>
  <si>
    <t>ﾓｸｽﾞｶﾞﾆ</t>
  </si>
  <si>
    <t>－</t>
  </si>
  <si>
    <t>ｽﾄﾚﾌﾟﾄ植物</t>
  </si>
  <si>
    <t>接合藻</t>
  </si>
  <si>
    <t>ﾎｼﾐﾄﾞﾛ</t>
  </si>
  <si>
    <t>ﾔﾝﾏ</t>
  </si>
  <si>
    <t>ﾄﾝﾎﾞ</t>
  </si>
  <si>
    <t>ｻﾅｴﾄﾝﾎﾞ</t>
  </si>
  <si>
    <t>ﾄﾝﾎﾞ</t>
  </si>
  <si>
    <t>ﾄﾝﾎﾞ</t>
  </si>
  <si>
    <t>ｴｿﾞﾄﾝﾎﾞ</t>
  </si>
  <si>
    <t>ｽｽﾞｷ</t>
  </si>
  <si>
    <t>ﾊｾﾞ</t>
  </si>
  <si>
    <t>両生類</t>
  </si>
  <si>
    <t>ｱｶｶﾞｴﾙ</t>
  </si>
  <si>
    <t>ｽｽﾞｷ</t>
  </si>
  <si>
    <t>ﾊｾﾞ</t>
  </si>
  <si>
    <t>－</t>
  </si>
  <si>
    <t>ﾍﾋﾞﾄﾝﾎﾞ</t>
  </si>
  <si>
    <t>ﾍﾋﾞﾄﾝﾎﾞ</t>
  </si>
  <si>
    <t>ﾄﾝﾎﾞ</t>
  </si>
  <si>
    <t>ｻﾅｴﾄﾝﾎﾞ</t>
  </si>
  <si>
    <t>ｺｲ</t>
  </si>
  <si>
    <t>節足動物</t>
  </si>
  <si>
    <t>ｻﾞﾘｶﾞﾆ</t>
  </si>
  <si>
    <t>ｺｲ</t>
  </si>
  <si>
    <t>ｻｹ</t>
  </si>
  <si>
    <t>ｻﾝﾌｨｯｼｭ</t>
  </si>
  <si>
    <t>ｻﾝﾌｨｯｼｭ</t>
  </si>
  <si>
    <t>ｷｭｳﾘｳｵ</t>
  </si>
  <si>
    <t>ｲﾓﾘ</t>
  </si>
  <si>
    <t>軟体動物</t>
  </si>
  <si>
    <t>原始紐舌</t>
  </si>
  <si>
    <t>ﾀﾆｼ</t>
  </si>
  <si>
    <t>ﾄﾞｼﾞｮｳ</t>
  </si>
  <si>
    <t>ﾄﾝﾎﾞ</t>
  </si>
  <si>
    <t>ｻﾅｴﾄﾝﾎﾞ</t>
  </si>
  <si>
    <t>ｴｿﾞﾄﾝﾎﾞ</t>
  </si>
  <si>
    <t>ｽｽﾞｷ</t>
  </si>
  <si>
    <t>ﾀｲ</t>
  </si>
  <si>
    <t>ｶﾚｲ</t>
  </si>
  <si>
    <t>ｶﾚｲ</t>
  </si>
  <si>
    <t>ﾋﾗﾒ</t>
  </si>
  <si>
    <t>軟骨魚</t>
  </si>
  <si>
    <t>ｶﾞﾝｷﾞｴｲ</t>
  </si>
  <si>
    <t>ｶｻｺﾞ</t>
  </si>
  <si>
    <t>ｱｲﾅﾒ</t>
  </si>
  <si>
    <t>ﾒｼﾞﾛｻﾞﾒ</t>
  </si>
  <si>
    <t>ﾄﾞﾁｻﾞﾒ</t>
  </si>
  <si>
    <t>棘皮動物</t>
  </si>
  <si>
    <t>ｳﾆ</t>
  </si>
  <si>
    <t>ﾎﾝｳﾆﾓﾄﾞｷ</t>
  </si>
  <si>
    <t>褐藻植物</t>
  </si>
  <si>
    <t>褐藻</t>
  </si>
  <si>
    <t>ｺﾝﾌﾞ</t>
  </si>
  <si>
    <t>ｳﾆ</t>
  </si>
  <si>
    <t>ﾎﾝｳﾆ</t>
  </si>
  <si>
    <t>ｵｵﾊﾞﾌﾝｳﾆ</t>
  </si>
  <si>
    <t>腹足</t>
  </si>
  <si>
    <t>原始腹足</t>
  </si>
  <si>
    <t>ﾐﾐｶﾞｲ</t>
  </si>
  <si>
    <t>緑藻植物</t>
  </si>
  <si>
    <t>ｱｵｻ藻</t>
  </si>
  <si>
    <t>ｱｵｻ</t>
  </si>
  <si>
    <t>被子植物</t>
  </si>
  <si>
    <t>単子葉植物</t>
  </si>
  <si>
    <t>ｲﾊﾞﾗﾓ</t>
  </si>
  <si>
    <t>ｱﾏﾓ</t>
  </si>
  <si>
    <t>ｱﾐ</t>
  </si>
  <si>
    <t>ﾓｸｽﾞｶﾞﾆ</t>
  </si>
  <si>
    <t>二枚貝</t>
  </si>
  <si>
    <t>ｳｸﾞｲｽｶﾞｲ</t>
  </si>
  <si>
    <t>ｲﾀﾎﾞｶﾞｷ</t>
  </si>
  <si>
    <t>ﾏﾙｽﾀﾞﾚｶﾞｲ</t>
  </si>
  <si>
    <t>ﾊｾﾞ</t>
  </si>
  <si>
    <t>ﾜﾀﾘｶﾞﾆ</t>
  </si>
  <si>
    <t>A-2
(原瀬川)</t>
  </si>
  <si>
    <t>B-3
(摺上川)</t>
  </si>
  <si>
    <t>B-2</t>
  </si>
  <si>
    <t>E-1
E-2a
E-2b</t>
  </si>
  <si>
    <t>D-4a
D-4b</t>
  </si>
  <si>
    <t>F-1</t>
  </si>
  <si>
    <t>C-6</t>
  </si>
  <si>
    <t>H-1
H-2
H-3</t>
  </si>
  <si>
    <t>I-1、I-2(北岸)</t>
  </si>
  <si>
    <t>J-1
(南岸)</t>
  </si>
  <si>
    <t>G-4</t>
  </si>
  <si>
    <t>G-1
G-2
G-3</t>
  </si>
  <si>
    <t>M-1
M-2
M-3
(久之浜)</t>
  </si>
  <si>
    <t>M-4
(久之浜)</t>
  </si>
  <si>
    <t>L-1
L-2
L-3
(松川浦)</t>
  </si>
  <si>
    <t>K-1
K-2
K-3
(阿武隈川河口沖)</t>
  </si>
  <si>
    <t>注）N.D.は、検出下限値未満であることを示す。</t>
  </si>
  <si>
    <t>ﾒﾊﾞﾙ</t>
  </si>
  <si>
    <t>ｶﾜﾊｷﾞ</t>
  </si>
  <si>
    <t>ﾌｸﾞ</t>
  </si>
  <si>
    <t>ｶﾜｹﾞﾗ</t>
  </si>
  <si>
    <t>ｲﾈ</t>
  </si>
  <si>
    <t>被子植物</t>
  </si>
  <si>
    <t>N.D.</t>
  </si>
  <si>
    <t>N.D.(&lt;0.55)</t>
  </si>
  <si>
    <t>N.D.(&lt;1.1)</t>
  </si>
  <si>
    <t>N.D.(&lt;1.2)</t>
  </si>
  <si>
    <t>N.D.(&lt;0.32)</t>
  </si>
  <si>
    <t>N.D.(&lt;0.34)</t>
  </si>
  <si>
    <t>N.D.(&lt;0.82)</t>
  </si>
  <si>
    <t>N.D.(&lt;0.80)</t>
  </si>
  <si>
    <t>N.D.(&lt;1.6)</t>
  </si>
  <si>
    <t>N.D.(&lt;1.4)</t>
  </si>
  <si>
    <t>N.D.(&lt;0.019)</t>
  </si>
  <si>
    <t>N.D.(&lt;0.017)</t>
  </si>
  <si>
    <t>Cs-134</t>
  </si>
  <si>
    <t>Cs-137</t>
  </si>
  <si>
    <t>N.D.(&lt;0.0022)</t>
  </si>
  <si>
    <t>(Bq/L)</t>
  </si>
  <si>
    <t>(mg/g-dry)</t>
  </si>
  <si>
    <t>(Bq/kg-dry)</t>
  </si>
  <si>
    <t>N.D.(&lt;0.16)</t>
  </si>
  <si>
    <t>N.D.(&lt;0.17)</t>
  </si>
  <si>
    <t>N.D.(&lt;0.24)</t>
  </si>
  <si>
    <t>N.D.(&lt;0.20)</t>
  </si>
  <si>
    <t>N.D.(&lt;0.19)</t>
  </si>
  <si>
    <t>平成25年度12月調査</t>
  </si>
  <si>
    <t>N.D.(&lt;0.19)</t>
  </si>
  <si>
    <t>K-2(表層)</t>
  </si>
  <si>
    <t>K-2(下層)</t>
  </si>
  <si>
    <t>－</t>
  </si>
  <si>
    <t>H-4（堰堤付近）</t>
  </si>
  <si>
    <t>－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</si>
</sst>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 "/>
    <numFmt numFmtId="178" formatCode="#,##0.00_ "/>
    <numFmt numFmtId="179" formatCode="#,##0.0_ "/>
    <numFmt numFmtId="180" formatCode="#,##0.000_ "/>
    <numFmt numFmtId="181" formatCode="0.00_ "/>
    <numFmt numFmtId="182" formatCode="0.0_ "/>
    <numFmt numFmtId="183" formatCode="0_ "/>
    <numFmt numFmtId="184" formatCode="0.000_ "/>
    <numFmt numFmtId="185" formatCode="0.00_);[Red]\(0.00\)"/>
    <numFmt numFmtId="186" formatCode="0.0_);[Red]\(0.0\)"/>
    <numFmt numFmtId="187" formatCode="#,##0_);[Red]\(#,##0\)"/>
    <numFmt numFmtId="188" formatCode="#,##0.00_);[Red]\(#,##0.00\)"/>
    <numFmt numFmtId="189" formatCode="0.000_);[Red]\(0.000\)"/>
    <numFmt numFmtId="190" formatCode="0.0000_);[Red]\(0.0000\)"/>
    <numFmt numFmtId="191" formatCode="0_);[Red]\(0\)"/>
    <numFmt numFmtId="192" formatCode="#,##0.0000_ "/>
    <numFmt numFmtId="193" formatCode="#,##0.0_);[Red]\(#,##0.0\)"/>
    <numFmt numFmtId="194" formatCode="#,##0.000_);[Red]\(#,##0.0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_ "/>
    <numFmt numFmtId="200" formatCode="m/d"/>
    <numFmt numFmtId="201" formatCode="m/d;@"/>
    <numFmt numFmtId="202" formatCode="0;_耄"/>
    <numFmt numFmtId="203" formatCode="0;_怄"/>
    <numFmt numFmtId="204" formatCode="0.0;_怄"/>
    <numFmt numFmtId="205" formatCode="0.00;_怄"/>
    <numFmt numFmtId="206" formatCode="0.0;_䐀"/>
    <numFmt numFmtId="207" formatCode="0.0;_ࠀ"/>
    <numFmt numFmtId="208" formatCode="0.0"/>
    <numFmt numFmtId="209" formatCode="0.000"/>
    <numFmt numFmtId="210" formatCode="hh:mm\ AM/PM"/>
    <numFmt numFmtId="211" formatCode="0.0%"/>
    <numFmt numFmtId="212" formatCode="m&quot;月&quot;d&quot;日&quot;;@"/>
    <numFmt numFmtId="213" formatCode="0.000000"/>
    <numFmt numFmtId="214" formatCode="\&lt;0.0"/>
    <numFmt numFmtId="215" formatCode="\&lt;0"/>
    <numFmt numFmtId="216" formatCode="yyyy&quot;年&quot;m&quot;月&quot;d&quot;日&quot;;@"/>
    <numFmt numFmtId="217" formatCode="[$-F800]dddd\,\ mmmm\ dd\,\ yyyy"/>
    <numFmt numFmtId="218" formatCode="mmm\-yyyy"/>
    <numFmt numFmtId="219" formatCode="0.00000_ "/>
    <numFmt numFmtId="220" formatCode="[&lt;=999]0.000;[&lt;=9999]000\-00;000\-0000"/>
    <numFmt numFmtId="221" formatCode="[&lt;=999]0.0;[&lt;=9999]000\-00;000\-0000"/>
    <numFmt numFmtId="222" formatCode="[&lt;=999]00.0;[&lt;=9999]000\-00;000\-0000"/>
    <numFmt numFmtId="223" formatCode="0.0000"/>
    <numFmt numFmtId="224" formatCode="m/d\ h:mm"/>
    <numFmt numFmtId="225" formatCode="#,##0.0000_);[Red]\(#,##0.0000\)"/>
    <numFmt numFmtId="226" formatCode="#,##0.00000_ "/>
    <numFmt numFmtId="227" formatCode="0.00000_);[Red]\(0.00000\)"/>
    <numFmt numFmtId="228" formatCode="0.000000_ 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9.9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vertAlign val="subscript"/>
      <sz val="10"/>
      <name val="ＭＳ 明朝"/>
      <family val="1"/>
    </font>
    <font>
      <vertAlign val="superscript"/>
      <sz val="10"/>
      <name val="ＭＳ 明朝"/>
      <family val="1"/>
    </font>
    <font>
      <sz val="11"/>
      <name val="ＭＳ 明朝"/>
      <family val="1"/>
    </font>
    <font>
      <u val="single"/>
      <sz val="10"/>
      <name val="ＭＳ 明朝"/>
      <family val="1"/>
    </font>
    <font>
      <i/>
      <sz val="10"/>
      <name val="ＭＳ 明朝"/>
      <family val="1"/>
    </font>
    <font>
      <i/>
      <sz val="11"/>
      <name val="ＭＳ Ｐゴシック"/>
      <family val="3"/>
    </font>
    <font>
      <sz val="16"/>
      <name val="ＭＳ 明朝"/>
      <family val="1"/>
    </font>
    <font>
      <sz val="10"/>
      <color indexed="8"/>
      <name val="ＭＳ 明朝"/>
      <family val="1"/>
    </font>
    <font>
      <sz val="10"/>
      <color indexed="10"/>
      <name val="ＭＳ 明朝"/>
      <family val="1"/>
    </font>
    <font>
      <sz val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992">
    <xf numFmtId="0" fontId="0" fillId="0" borderId="0" xfId="0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0" xfId="62" applyFont="1" applyBorder="1">
      <alignment/>
      <protection/>
    </xf>
    <xf numFmtId="185" fontId="22" fillId="0" borderId="0" xfId="0" applyNumberFormat="1" applyFont="1" applyFill="1" applyAlignment="1">
      <alignment vertical="center"/>
    </xf>
    <xf numFmtId="0" fontId="22" fillId="0" borderId="0" xfId="63" applyFont="1">
      <alignment/>
      <protection/>
    </xf>
    <xf numFmtId="0" fontId="22" fillId="0" borderId="11" xfId="63" applyFont="1" applyFill="1" applyBorder="1" applyAlignment="1">
      <alignment horizontal="center" vertical="center"/>
      <protection/>
    </xf>
    <xf numFmtId="0" fontId="22" fillId="0" borderId="11" xfId="61" applyFont="1" applyFill="1" applyBorder="1" applyAlignment="1">
      <alignment horizontal="center" vertical="center" shrinkToFit="1"/>
      <protection/>
    </xf>
    <xf numFmtId="0" fontId="22" fillId="0" borderId="12" xfId="61" applyFont="1" applyFill="1" applyBorder="1" applyAlignment="1">
      <alignment horizontal="center" vertical="center"/>
      <protection/>
    </xf>
    <xf numFmtId="0" fontId="22" fillId="0" borderId="13" xfId="61" applyFont="1" applyFill="1" applyBorder="1" applyAlignment="1">
      <alignment horizontal="center" vertical="center"/>
      <protection/>
    </xf>
    <xf numFmtId="0" fontId="22" fillId="0" borderId="14" xfId="61" applyFont="1" applyFill="1" applyBorder="1" applyAlignment="1">
      <alignment horizontal="center" vertical="center"/>
      <protection/>
    </xf>
    <xf numFmtId="0" fontId="22" fillId="0" borderId="15" xfId="61" applyFont="1" applyFill="1" applyBorder="1" applyAlignment="1">
      <alignment horizontal="center" vertical="center"/>
      <protection/>
    </xf>
    <xf numFmtId="0" fontId="22" fillId="0" borderId="16" xfId="61" applyFont="1" applyFill="1" applyBorder="1" applyAlignment="1">
      <alignment horizontal="center" vertical="center"/>
      <protection/>
    </xf>
    <xf numFmtId="0" fontId="22" fillId="0" borderId="17" xfId="61" applyFont="1" applyFill="1" applyBorder="1" applyAlignment="1">
      <alignment horizontal="center" vertical="center" shrinkToFit="1"/>
      <protection/>
    </xf>
    <xf numFmtId="0" fontId="22" fillId="0" borderId="18" xfId="61" applyFont="1" applyFill="1" applyBorder="1" applyAlignment="1">
      <alignment horizontal="center" vertical="center" shrinkToFit="1"/>
      <protection/>
    </xf>
    <xf numFmtId="0" fontId="22" fillId="0" borderId="19" xfId="61" applyFont="1" applyFill="1" applyBorder="1" applyAlignment="1">
      <alignment horizontal="center" vertical="center" shrinkToFit="1"/>
      <protection/>
    </xf>
    <xf numFmtId="0" fontId="22" fillId="0" borderId="11" xfId="61" applyFont="1" applyFill="1" applyBorder="1" applyAlignment="1">
      <alignment horizontal="center" vertical="center"/>
      <protection/>
    </xf>
    <xf numFmtId="0" fontId="22" fillId="0" borderId="0" xfId="61" applyFont="1" applyFill="1" applyBorder="1" applyAlignment="1">
      <alignment horizontal="center" vertical="center"/>
      <protection/>
    </xf>
    <xf numFmtId="185" fontId="22" fillId="0" borderId="11" xfId="62" applyNumberFormat="1" applyFont="1" applyFill="1" applyBorder="1" applyAlignment="1">
      <alignment horizontal="center" vertical="center"/>
      <protection/>
    </xf>
    <xf numFmtId="0" fontId="22" fillId="0" borderId="20" xfId="63" applyFont="1" applyFill="1" applyBorder="1" applyAlignment="1">
      <alignment horizontal="center" vertical="center"/>
      <protection/>
    </xf>
    <xf numFmtId="185" fontId="22" fillId="0" borderId="21" xfId="62" applyNumberFormat="1" applyFont="1" applyFill="1" applyBorder="1" applyAlignment="1">
      <alignment horizontal="center" vertical="center"/>
      <protection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193" fontId="22" fillId="0" borderId="23" xfId="0" applyNumberFormat="1" applyFont="1" applyFill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193" fontId="22" fillId="0" borderId="24" xfId="0" applyNumberFormat="1" applyFont="1" applyFill="1" applyBorder="1" applyAlignment="1">
      <alignment vertical="center"/>
    </xf>
    <xf numFmtId="185" fontId="22" fillId="0" borderId="24" xfId="62" applyNumberFormat="1" applyFont="1" applyFill="1" applyBorder="1" applyAlignment="1">
      <alignment horizontal="center"/>
      <protection/>
    </xf>
    <xf numFmtId="185" fontId="22" fillId="0" borderId="25" xfId="62" applyNumberFormat="1" applyFont="1" applyFill="1" applyBorder="1" applyAlignment="1">
      <alignment horizontal="center"/>
      <protection/>
    </xf>
    <xf numFmtId="0" fontId="22" fillId="0" borderId="23" xfId="0" applyFont="1" applyFill="1" applyBorder="1" applyAlignment="1">
      <alignment horizontal="center" vertical="center"/>
    </xf>
    <xf numFmtId="193" fontId="22" fillId="0" borderId="26" xfId="0" applyNumberFormat="1" applyFont="1" applyFill="1" applyBorder="1" applyAlignment="1">
      <alignment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193" fontId="22" fillId="0" borderId="27" xfId="0" applyNumberFormat="1" applyFont="1" applyFill="1" applyBorder="1" applyAlignment="1">
      <alignment vertical="center"/>
    </xf>
    <xf numFmtId="185" fontId="22" fillId="0" borderId="27" xfId="62" applyNumberFormat="1" applyFont="1" applyFill="1" applyBorder="1" applyAlignment="1">
      <alignment horizontal="center"/>
      <protection/>
    </xf>
    <xf numFmtId="0" fontId="22" fillId="0" borderId="22" xfId="0" applyFont="1" applyFill="1" applyBorder="1" applyAlignment="1">
      <alignment horizontal="center" vertical="center"/>
    </xf>
    <xf numFmtId="193" fontId="22" fillId="0" borderId="22" xfId="0" applyNumberFormat="1" applyFont="1" applyFill="1" applyBorder="1" applyAlignment="1">
      <alignment vertical="center"/>
    </xf>
    <xf numFmtId="186" fontId="22" fillId="0" borderId="23" xfId="62" applyNumberFormat="1" applyFont="1" applyFill="1" applyBorder="1" applyAlignment="1">
      <alignment horizontal="right"/>
      <protection/>
    </xf>
    <xf numFmtId="185" fontId="22" fillId="0" borderId="23" xfId="62" applyNumberFormat="1" applyFont="1" applyFill="1" applyBorder="1" applyAlignment="1">
      <alignment horizontal="center"/>
      <protection/>
    </xf>
    <xf numFmtId="186" fontId="22" fillId="0" borderId="24" xfId="62" applyNumberFormat="1" applyFont="1" applyFill="1" applyBorder="1" applyAlignment="1">
      <alignment/>
      <protection/>
    </xf>
    <xf numFmtId="0" fontId="22" fillId="0" borderId="11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77" fontId="22" fillId="0" borderId="24" xfId="62" applyNumberFormat="1" applyFont="1" applyFill="1" applyBorder="1" applyAlignment="1">
      <alignment horizontal="center"/>
      <protection/>
    </xf>
    <xf numFmtId="177" fontId="22" fillId="0" borderId="23" xfId="62" applyNumberFormat="1" applyFont="1" applyFill="1" applyBorder="1" applyAlignment="1">
      <alignment horizontal="center"/>
      <protection/>
    </xf>
    <xf numFmtId="177" fontId="22" fillId="0" borderId="27" xfId="62" applyNumberFormat="1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 horizontal="center" vertical="center"/>
    </xf>
    <xf numFmtId="0" fontId="22" fillId="0" borderId="0" xfId="62" applyFont="1">
      <alignment/>
      <protection/>
    </xf>
    <xf numFmtId="0" fontId="22" fillId="0" borderId="0" xfId="63" applyFont="1" applyFill="1">
      <alignment/>
      <protection/>
    </xf>
    <xf numFmtId="177" fontId="22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185" fontId="22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22" fillId="0" borderId="15" xfId="62" applyFont="1" applyFill="1" applyBorder="1" applyAlignment="1">
      <alignment horizontal="center" vertical="center"/>
      <protection/>
    </xf>
    <xf numFmtId="0" fontId="22" fillId="0" borderId="15" xfId="62" applyFont="1" applyFill="1" applyBorder="1" applyAlignment="1">
      <alignment horizontal="center" vertical="center" shrinkToFit="1"/>
      <protection/>
    </xf>
    <xf numFmtId="190" fontId="22" fillId="0" borderId="15" xfId="62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 vertical="center"/>
    </xf>
    <xf numFmtId="0" fontId="22" fillId="0" borderId="21" xfId="62" applyFont="1" applyFill="1" applyBorder="1" applyAlignment="1">
      <alignment horizontal="center" vertical="center"/>
      <protection/>
    </xf>
    <xf numFmtId="190" fontId="22" fillId="0" borderId="21" xfId="62" applyNumberFormat="1" applyFont="1" applyFill="1" applyBorder="1" applyAlignment="1">
      <alignment horizontal="center" vertical="center"/>
      <protection/>
    </xf>
    <xf numFmtId="193" fontId="22" fillId="0" borderId="23" xfId="62" applyNumberFormat="1" applyFont="1" applyFill="1" applyBorder="1" applyAlignment="1">
      <alignment horizontal="right"/>
      <protection/>
    </xf>
    <xf numFmtId="181" fontId="22" fillId="0" borderId="23" xfId="62" applyNumberFormat="1" applyFont="1" applyFill="1" applyBorder="1" applyAlignment="1">
      <alignment horizontal="right"/>
      <protection/>
    </xf>
    <xf numFmtId="183" fontId="22" fillId="0" borderId="23" xfId="62" applyNumberFormat="1" applyFont="1" applyFill="1" applyBorder="1" applyAlignment="1">
      <alignment horizontal="right"/>
      <protection/>
    </xf>
    <xf numFmtId="193" fontId="22" fillId="0" borderId="22" xfId="62" applyNumberFormat="1" applyFont="1" applyFill="1" applyBorder="1" applyAlignment="1">
      <alignment horizontal="right"/>
      <protection/>
    </xf>
    <xf numFmtId="181" fontId="22" fillId="0" borderId="22" xfId="62" applyNumberFormat="1" applyFont="1" applyFill="1" applyBorder="1" applyAlignment="1">
      <alignment horizontal="right"/>
      <protection/>
    </xf>
    <xf numFmtId="186" fontId="22" fillId="0" borderId="22" xfId="62" applyNumberFormat="1" applyFont="1" applyFill="1" applyBorder="1" applyAlignment="1">
      <alignment horizontal="right"/>
      <protection/>
    </xf>
    <xf numFmtId="183" fontId="22" fillId="0" borderId="22" xfId="62" applyNumberFormat="1" applyFont="1" applyFill="1" applyBorder="1" applyAlignment="1">
      <alignment horizontal="right"/>
      <protection/>
    </xf>
    <xf numFmtId="190" fontId="22" fillId="0" borderId="24" xfId="62" applyNumberFormat="1" applyFont="1" applyFill="1" applyBorder="1" applyAlignment="1">
      <alignment horizontal="center"/>
      <protection/>
    </xf>
    <xf numFmtId="193" fontId="22" fillId="0" borderId="24" xfId="62" applyNumberFormat="1" applyFont="1" applyFill="1" applyBorder="1" applyAlignment="1">
      <alignment horizontal="right"/>
      <protection/>
    </xf>
    <xf numFmtId="181" fontId="22" fillId="0" borderId="24" xfId="62" applyNumberFormat="1" applyFont="1" applyFill="1" applyBorder="1" applyAlignment="1">
      <alignment horizontal="right"/>
      <protection/>
    </xf>
    <xf numFmtId="186" fontId="22" fillId="0" borderId="24" xfId="62" applyNumberFormat="1" applyFont="1" applyFill="1" applyBorder="1" applyAlignment="1">
      <alignment horizontal="right"/>
      <protection/>
    </xf>
    <xf numFmtId="183" fontId="22" fillId="0" borderId="24" xfId="62" applyNumberFormat="1" applyFont="1" applyFill="1" applyBorder="1" applyAlignment="1">
      <alignment horizontal="right"/>
      <protection/>
    </xf>
    <xf numFmtId="193" fontId="22" fillId="0" borderId="27" xfId="62" applyNumberFormat="1" applyFont="1" applyFill="1" applyBorder="1" applyAlignment="1">
      <alignment horizontal="right"/>
      <protection/>
    </xf>
    <xf numFmtId="181" fontId="22" fillId="0" borderId="27" xfId="62" applyNumberFormat="1" applyFont="1" applyFill="1" applyBorder="1" applyAlignment="1">
      <alignment horizontal="right"/>
      <protection/>
    </xf>
    <xf numFmtId="186" fontId="22" fillId="0" borderId="27" xfId="62" applyNumberFormat="1" applyFont="1" applyFill="1" applyBorder="1" applyAlignment="1">
      <alignment horizontal="right"/>
      <protection/>
    </xf>
    <xf numFmtId="183" fontId="22" fillId="0" borderId="27" xfId="62" applyNumberFormat="1" applyFont="1" applyFill="1" applyBorder="1" applyAlignment="1">
      <alignment horizontal="right"/>
      <protection/>
    </xf>
    <xf numFmtId="190" fontId="22" fillId="0" borderId="27" xfId="62" applyNumberFormat="1" applyFont="1" applyFill="1" applyBorder="1" applyAlignment="1">
      <alignment horizontal="center"/>
      <protection/>
    </xf>
    <xf numFmtId="193" fontId="22" fillId="0" borderId="23" xfId="62" applyNumberFormat="1" applyFont="1" applyFill="1" applyBorder="1" applyAlignment="1">
      <alignment/>
      <protection/>
    </xf>
    <xf numFmtId="186" fontId="22" fillId="0" borderId="23" xfId="62" applyNumberFormat="1" applyFont="1" applyFill="1" applyBorder="1" applyAlignment="1">
      <alignment/>
      <protection/>
    </xf>
    <xf numFmtId="193" fontId="22" fillId="0" borderId="24" xfId="62" applyNumberFormat="1" applyFont="1" applyFill="1" applyBorder="1" applyAlignment="1">
      <alignment/>
      <protection/>
    </xf>
    <xf numFmtId="181" fontId="22" fillId="0" borderId="24" xfId="62" applyNumberFormat="1" applyFont="1" applyFill="1" applyBorder="1" applyAlignment="1">
      <alignment/>
      <protection/>
    </xf>
    <xf numFmtId="193" fontId="22" fillId="0" borderId="27" xfId="62" applyNumberFormat="1" applyFont="1" applyFill="1" applyBorder="1" applyAlignment="1">
      <alignment/>
      <protection/>
    </xf>
    <xf numFmtId="181" fontId="22" fillId="0" borderId="27" xfId="62" applyNumberFormat="1" applyFont="1" applyFill="1" applyBorder="1" applyAlignment="1">
      <alignment/>
      <protection/>
    </xf>
    <xf numFmtId="186" fontId="22" fillId="0" borderId="27" xfId="62" applyNumberFormat="1" applyFont="1" applyFill="1" applyBorder="1" applyAlignment="1">
      <alignment/>
      <protection/>
    </xf>
    <xf numFmtId="190" fontId="22" fillId="0" borderId="23" xfId="62" applyNumberFormat="1" applyFont="1" applyFill="1" applyBorder="1" applyAlignment="1">
      <alignment horizontal="center"/>
      <protection/>
    </xf>
    <xf numFmtId="190" fontId="22" fillId="0" borderId="22" xfId="62" applyNumberFormat="1" applyFont="1" applyFill="1" applyBorder="1" applyAlignment="1">
      <alignment horizontal="center"/>
      <protection/>
    </xf>
    <xf numFmtId="183" fontId="22" fillId="0" borderId="24" xfId="62" applyNumberFormat="1" applyFont="1" applyFill="1" applyBorder="1" applyAlignment="1">
      <alignment/>
      <protection/>
    </xf>
    <xf numFmtId="193" fontId="22" fillId="0" borderId="25" xfId="62" applyNumberFormat="1" applyFont="1" applyFill="1" applyBorder="1" applyAlignment="1">
      <alignment horizontal="right"/>
      <protection/>
    </xf>
    <xf numFmtId="181" fontId="22" fillId="0" borderId="25" xfId="62" applyNumberFormat="1" applyFont="1" applyFill="1" applyBorder="1" applyAlignment="1">
      <alignment horizontal="right"/>
      <protection/>
    </xf>
    <xf numFmtId="186" fontId="22" fillId="0" borderId="25" xfId="62" applyNumberFormat="1" applyFont="1" applyFill="1" applyBorder="1" applyAlignment="1">
      <alignment horizontal="right"/>
      <protection/>
    </xf>
    <xf numFmtId="183" fontId="22" fillId="0" borderId="25" xfId="62" applyNumberFormat="1" applyFont="1" applyFill="1" applyBorder="1" applyAlignment="1">
      <alignment horizontal="right"/>
      <protection/>
    </xf>
    <xf numFmtId="190" fontId="22" fillId="0" borderId="25" xfId="62" applyNumberFormat="1" applyFont="1" applyFill="1" applyBorder="1" applyAlignment="1">
      <alignment horizontal="center"/>
      <protection/>
    </xf>
    <xf numFmtId="0" fontId="22" fillId="0" borderId="21" xfId="0" applyFont="1" applyFill="1" applyBorder="1" applyAlignment="1">
      <alignment horizontal="center" vertical="center"/>
    </xf>
    <xf numFmtId="181" fontId="22" fillId="0" borderId="23" xfId="62" applyNumberFormat="1" applyFont="1" applyFill="1" applyBorder="1" applyAlignment="1">
      <alignment/>
      <protection/>
    </xf>
    <xf numFmtId="183" fontId="22" fillId="0" borderId="23" xfId="62" applyNumberFormat="1" applyFont="1" applyFill="1" applyBorder="1" applyAlignment="1">
      <alignment/>
      <protection/>
    </xf>
    <xf numFmtId="183" fontId="22" fillId="0" borderId="27" xfId="62" applyNumberFormat="1" applyFont="1" applyFill="1" applyBorder="1" applyAlignment="1">
      <alignment/>
      <protection/>
    </xf>
    <xf numFmtId="0" fontId="22" fillId="0" borderId="0" xfId="62" applyFont="1" applyFill="1" applyAlignment="1">
      <alignment/>
      <protection/>
    </xf>
    <xf numFmtId="190" fontId="22" fillId="0" borderId="0" xfId="62" applyNumberFormat="1" applyFont="1">
      <alignment/>
      <protection/>
    </xf>
    <xf numFmtId="0" fontId="22" fillId="0" borderId="0" xfId="62" applyFont="1" applyAlignment="1">
      <alignment/>
      <protection/>
    </xf>
    <xf numFmtId="187" fontId="22" fillId="0" borderId="24" xfId="0" applyNumberFormat="1" applyFont="1" applyFill="1" applyBorder="1" applyAlignment="1">
      <alignment vertical="center"/>
    </xf>
    <xf numFmtId="187" fontId="22" fillId="0" borderId="27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91" fontId="22" fillId="0" borderId="0" xfId="0" applyNumberFormat="1" applyFont="1" applyFill="1" applyBorder="1" applyAlignment="1">
      <alignment vertical="center"/>
    </xf>
    <xf numFmtId="185" fontId="22" fillId="0" borderId="0" xfId="0" applyNumberFormat="1" applyFont="1" applyFill="1" applyBorder="1" applyAlignment="1">
      <alignment vertical="center"/>
    </xf>
    <xf numFmtId="186" fontId="22" fillId="0" borderId="0" xfId="0" applyNumberFormat="1" applyFont="1" applyFill="1" applyBorder="1" applyAlignment="1">
      <alignment horizontal="center" vertical="center"/>
    </xf>
    <xf numFmtId="187" fontId="22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176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191" fontId="22" fillId="0" borderId="0" xfId="0" applyNumberFormat="1" applyFont="1" applyAlignment="1">
      <alignment vertical="center"/>
    </xf>
    <xf numFmtId="178" fontId="22" fillId="0" borderId="0" xfId="0" applyNumberFormat="1" applyFont="1" applyAlignment="1">
      <alignment vertical="center"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/>
    </xf>
    <xf numFmtId="185" fontId="22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6" fillId="0" borderId="0" xfId="62" applyFont="1">
      <alignment/>
      <protection/>
    </xf>
    <xf numFmtId="0" fontId="22" fillId="0" borderId="29" xfId="62" applyFont="1" applyFill="1" applyBorder="1" applyAlignment="1">
      <alignment horizontal="center" vertical="center"/>
      <protection/>
    </xf>
    <xf numFmtId="0" fontId="22" fillId="0" borderId="1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190" fontId="22" fillId="0" borderId="30" xfId="62" applyNumberFormat="1" applyFont="1" applyFill="1" applyBorder="1" applyAlignment="1">
      <alignment horizontal="center" vertical="center"/>
      <protection/>
    </xf>
    <xf numFmtId="187" fontId="22" fillId="0" borderId="29" xfId="62" applyNumberFormat="1" applyFont="1" applyFill="1" applyBorder="1" applyAlignment="1">
      <alignment horizontal="center" vertical="center"/>
      <protection/>
    </xf>
    <xf numFmtId="187" fontId="22" fillId="0" borderId="31" xfId="62" applyNumberFormat="1" applyFont="1" applyFill="1" applyBorder="1" applyAlignment="1">
      <alignment horizontal="center" vertical="center"/>
      <protection/>
    </xf>
    <xf numFmtId="187" fontId="0" fillId="0" borderId="31" xfId="0" applyNumberFormat="1" applyBorder="1" applyAlignment="1">
      <alignment horizontal="center" vertical="center"/>
    </xf>
    <xf numFmtId="185" fontId="22" fillId="0" borderId="30" xfId="62" applyNumberFormat="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86" fontId="22" fillId="0" borderId="22" xfId="62" applyNumberFormat="1" applyFont="1" applyFill="1" applyBorder="1" applyAlignment="1">
      <alignment/>
      <protection/>
    </xf>
    <xf numFmtId="187" fontId="22" fillId="0" borderId="27" xfId="49" applyNumberFormat="1" applyFont="1" applyFill="1" applyBorder="1" applyAlignment="1">
      <alignment/>
    </xf>
    <xf numFmtId="0" fontId="22" fillId="0" borderId="0" xfId="0" applyFont="1" applyBorder="1" applyAlignment="1">
      <alignment horizontal="left" vertical="center"/>
    </xf>
    <xf numFmtId="0" fontId="22" fillId="0" borderId="10" xfId="62" applyFont="1" applyFill="1" applyBorder="1">
      <alignment/>
      <protection/>
    </xf>
    <xf numFmtId="186" fontId="22" fillId="0" borderId="10" xfId="0" applyNumberFormat="1" applyFont="1" applyFill="1" applyBorder="1" applyAlignment="1">
      <alignment vertical="center"/>
    </xf>
    <xf numFmtId="186" fontId="22" fillId="0" borderId="10" xfId="0" applyNumberFormat="1" applyFont="1" applyFill="1" applyBorder="1" applyAlignment="1">
      <alignment vertical="center"/>
    </xf>
    <xf numFmtId="0" fontId="22" fillId="0" borderId="10" xfId="63" applyFont="1" applyFill="1" applyBorder="1">
      <alignment/>
      <protection/>
    </xf>
    <xf numFmtId="0" fontId="0" fillId="0" borderId="10" xfId="0" applyFill="1" applyBorder="1" applyAlignment="1">
      <alignment vertical="center"/>
    </xf>
    <xf numFmtId="186" fontId="22" fillId="0" borderId="11" xfId="63" applyNumberFormat="1" applyFont="1" applyFill="1" applyBorder="1" applyAlignment="1">
      <alignment vertical="center"/>
      <protection/>
    </xf>
    <xf numFmtId="186" fontId="22" fillId="0" borderId="28" xfId="63" applyNumberFormat="1" applyFont="1" applyFill="1" applyBorder="1" applyAlignment="1">
      <alignment horizontal="center" vertical="center"/>
      <protection/>
    </xf>
    <xf numFmtId="186" fontId="22" fillId="0" borderId="11" xfId="63" applyNumberFormat="1" applyFont="1" applyFill="1" applyBorder="1" applyAlignment="1">
      <alignment horizontal="center" vertical="center"/>
      <protection/>
    </xf>
    <xf numFmtId="186" fontId="22" fillId="0" borderId="28" xfId="63" applyNumberFormat="1" applyFont="1" applyFill="1" applyBorder="1" applyAlignment="1">
      <alignment horizontal="center" vertical="center" shrinkToFit="1"/>
      <protection/>
    </xf>
    <xf numFmtId="187" fontId="0" fillId="0" borderId="31" xfId="0" applyNumberFormat="1" applyFill="1" applyBorder="1" applyAlignment="1">
      <alignment horizontal="center" vertical="center"/>
    </xf>
    <xf numFmtId="186" fontId="22" fillId="0" borderId="21" xfId="63" applyNumberFormat="1" applyFont="1" applyFill="1" applyBorder="1" applyAlignment="1">
      <alignment vertical="center"/>
      <protection/>
    </xf>
    <xf numFmtId="186" fontId="22" fillId="0" borderId="20" xfId="63" applyNumberFormat="1" applyFont="1" applyFill="1" applyBorder="1" applyAlignment="1">
      <alignment horizontal="center" vertical="center"/>
      <protection/>
    </xf>
    <xf numFmtId="0" fontId="22" fillId="0" borderId="21" xfId="61" applyFont="1" applyFill="1" applyBorder="1" applyAlignment="1">
      <alignment horizontal="center" vertical="center"/>
      <protection/>
    </xf>
    <xf numFmtId="0" fontId="22" fillId="0" borderId="32" xfId="63" applyFont="1" applyFill="1" applyBorder="1" applyAlignment="1">
      <alignment horizontal="center" vertical="center"/>
      <protection/>
    </xf>
    <xf numFmtId="0" fontId="22" fillId="0" borderId="33" xfId="63" applyFont="1" applyFill="1" applyBorder="1" applyAlignment="1">
      <alignment horizontal="center" vertical="center"/>
      <protection/>
    </xf>
    <xf numFmtId="0" fontId="22" fillId="0" borderId="34" xfId="63" applyFont="1" applyFill="1" applyBorder="1" applyAlignment="1">
      <alignment horizontal="center" vertical="center"/>
      <protection/>
    </xf>
    <xf numFmtId="0" fontId="22" fillId="0" borderId="10" xfId="61" applyFont="1" applyFill="1" applyBorder="1" applyAlignment="1">
      <alignment horizontal="center" vertical="center"/>
      <protection/>
    </xf>
    <xf numFmtId="0" fontId="22" fillId="0" borderId="0" xfId="62" applyFont="1" applyFill="1">
      <alignment/>
      <protection/>
    </xf>
    <xf numFmtId="186" fontId="22" fillId="0" borderId="0" xfId="0" applyNumberFormat="1" applyFont="1" applyFill="1" applyBorder="1" applyAlignment="1">
      <alignment vertical="center"/>
    </xf>
    <xf numFmtId="186" fontId="2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93" fontId="22" fillId="0" borderId="0" xfId="63" applyNumberFormat="1" applyFont="1" applyFill="1">
      <alignment/>
      <protection/>
    </xf>
    <xf numFmtId="186" fontId="22" fillId="0" borderId="0" xfId="63" applyNumberFormat="1" applyFont="1" applyFill="1" applyAlignment="1">
      <alignment/>
      <protection/>
    </xf>
    <xf numFmtId="186" fontId="22" fillId="0" borderId="0" xfId="63" applyNumberFormat="1" applyFont="1" applyFill="1">
      <alignment/>
      <protection/>
    </xf>
    <xf numFmtId="186" fontId="22" fillId="0" borderId="0" xfId="0" applyNumberFormat="1" applyFont="1" applyFill="1" applyBorder="1" applyAlignment="1">
      <alignment vertical="center"/>
    </xf>
    <xf numFmtId="186" fontId="22" fillId="0" borderId="0" xfId="0" applyNumberFormat="1" applyFont="1" applyFill="1" applyAlignment="1">
      <alignment vertical="center"/>
    </xf>
    <xf numFmtId="0" fontId="22" fillId="0" borderId="0" xfId="63" applyFont="1" applyAlignment="1">
      <alignment horizontal="left"/>
      <protection/>
    </xf>
    <xf numFmtId="0" fontId="28" fillId="0" borderId="0" xfId="0" applyFont="1" applyFill="1" applyBorder="1" applyAlignment="1">
      <alignment vertical="center"/>
    </xf>
    <xf numFmtId="193" fontId="22" fillId="0" borderId="22" xfId="62" applyNumberFormat="1" applyFont="1" applyFill="1" applyBorder="1" applyAlignment="1">
      <alignment/>
      <protection/>
    </xf>
    <xf numFmtId="187" fontId="22" fillId="0" borderId="22" xfId="49" applyNumberFormat="1" applyFont="1" applyFill="1" applyBorder="1" applyAlignment="1">
      <alignment/>
    </xf>
    <xf numFmtId="181" fontId="22" fillId="0" borderId="22" xfId="62" applyNumberFormat="1" applyFont="1" applyFill="1" applyBorder="1" applyAlignment="1">
      <alignment/>
      <protection/>
    </xf>
    <xf numFmtId="183" fontId="22" fillId="0" borderId="22" xfId="62" applyNumberFormat="1" applyFont="1" applyFill="1" applyBorder="1" applyAlignment="1">
      <alignment/>
      <protection/>
    </xf>
    <xf numFmtId="187" fontId="22" fillId="0" borderId="23" xfId="49" applyNumberFormat="1" applyFont="1" applyFill="1" applyBorder="1" applyAlignment="1">
      <alignment/>
    </xf>
    <xf numFmtId="56" fontId="22" fillId="0" borderId="23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188" fontId="22" fillId="0" borderId="0" xfId="0" applyNumberFormat="1" applyFont="1" applyFill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2" fillId="0" borderId="0" xfId="62" applyFont="1" applyAlignment="1">
      <alignment horizontal="center"/>
      <protection/>
    </xf>
    <xf numFmtId="177" fontId="22" fillId="0" borderId="22" xfId="62" applyNumberFormat="1" applyFont="1" applyFill="1" applyBorder="1" applyAlignment="1">
      <alignment horizontal="center"/>
      <protection/>
    </xf>
    <xf numFmtId="0" fontId="18" fillId="0" borderId="0" xfId="62" applyFont="1" applyAlignment="1">
      <alignment horizontal="left"/>
      <protection/>
    </xf>
    <xf numFmtId="185" fontId="22" fillId="0" borderId="35" xfId="62" applyNumberFormat="1" applyFont="1" applyFill="1" applyBorder="1" applyAlignment="1">
      <alignment vertical="center"/>
      <protection/>
    </xf>
    <xf numFmtId="185" fontId="22" fillId="0" borderId="36" xfId="62" applyNumberFormat="1" applyFont="1" applyFill="1" applyBorder="1" applyAlignment="1">
      <alignment vertical="center"/>
      <protection/>
    </xf>
    <xf numFmtId="189" fontId="22" fillId="0" borderId="36" xfId="62" applyNumberFormat="1" applyFont="1" applyFill="1" applyBorder="1" applyAlignment="1">
      <alignment vertical="center"/>
      <protection/>
    </xf>
    <xf numFmtId="185" fontId="22" fillId="0" borderId="37" xfId="62" applyNumberFormat="1" applyFont="1" applyFill="1" applyBorder="1" applyAlignment="1">
      <alignment vertical="center"/>
      <protection/>
    </xf>
    <xf numFmtId="189" fontId="22" fillId="0" borderId="35" xfId="62" applyNumberFormat="1" applyFont="1" applyFill="1" applyBorder="1" applyAlignment="1">
      <alignment vertical="center"/>
      <protection/>
    </xf>
    <xf numFmtId="189" fontId="22" fillId="0" borderId="37" xfId="62" applyNumberFormat="1" applyFont="1" applyFill="1" applyBorder="1" applyAlignment="1">
      <alignment vertical="center"/>
      <protection/>
    </xf>
    <xf numFmtId="189" fontId="22" fillId="0" borderId="38" xfId="62" applyNumberFormat="1" applyFont="1" applyFill="1" applyBorder="1" applyAlignment="1">
      <alignment vertical="center"/>
      <protection/>
    </xf>
    <xf numFmtId="190" fontId="22" fillId="0" borderId="35" xfId="62" applyNumberFormat="1" applyFont="1" applyFill="1" applyBorder="1" applyAlignment="1">
      <alignment vertical="center"/>
      <protection/>
    </xf>
    <xf numFmtId="190" fontId="22" fillId="0" borderId="39" xfId="62" applyNumberFormat="1" applyFont="1" applyFill="1" applyBorder="1" applyAlignment="1">
      <alignment vertical="center"/>
      <protection/>
    </xf>
    <xf numFmtId="189" fontId="22" fillId="0" borderId="39" xfId="62" applyNumberFormat="1" applyFont="1" applyFill="1" applyBorder="1" applyAlignment="1">
      <alignment vertical="center"/>
      <protection/>
    </xf>
    <xf numFmtId="190" fontId="22" fillId="0" borderId="36" xfId="62" applyNumberFormat="1" applyFont="1" applyFill="1" applyBorder="1" applyAlignment="1">
      <alignment vertical="center"/>
      <protection/>
    </xf>
    <xf numFmtId="190" fontId="22" fillId="0" borderId="37" xfId="62" applyNumberFormat="1" applyFont="1" applyFill="1" applyBorder="1" applyAlignment="1">
      <alignment vertical="center"/>
      <protection/>
    </xf>
    <xf numFmtId="199" fontId="22" fillId="0" borderId="23" xfId="62" applyNumberFormat="1" applyFont="1" applyFill="1" applyBorder="1" applyAlignment="1">
      <alignment vertical="center"/>
      <protection/>
    </xf>
    <xf numFmtId="199" fontId="22" fillId="0" borderId="23" xfId="62" applyNumberFormat="1" applyFont="1" applyFill="1" applyBorder="1" applyAlignment="1">
      <alignment horizontal="right" vertical="center"/>
      <protection/>
    </xf>
    <xf numFmtId="190" fontId="22" fillId="0" borderId="15" xfId="62" applyNumberFormat="1" applyFont="1" applyFill="1" applyBorder="1" applyAlignment="1">
      <alignment horizontal="center"/>
      <protection/>
    </xf>
    <xf numFmtId="199" fontId="22" fillId="0" borderId="24" xfId="62" applyNumberFormat="1" applyFont="1" applyFill="1" applyBorder="1" applyAlignment="1">
      <alignment vertical="center"/>
      <protection/>
    </xf>
    <xf numFmtId="199" fontId="22" fillId="0" borderId="24" xfId="62" applyNumberFormat="1" applyFont="1" applyFill="1" applyBorder="1" applyAlignment="1">
      <alignment horizontal="right" vertical="center"/>
      <protection/>
    </xf>
    <xf numFmtId="190" fontId="22" fillId="0" borderId="11" xfId="62" applyNumberFormat="1" applyFont="1" applyFill="1" applyBorder="1" applyAlignment="1">
      <alignment horizontal="center"/>
      <protection/>
    </xf>
    <xf numFmtId="199" fontId="22" fillId="0" borderId="27" xfId="62" applyNumberFormat="1" applyFont="1" applyFill="1" applyBorder="1" applyAlignment="1">
      <alignment horizontal="right" vertical="center"/>
      <protection/>
    </xf>
    <xf numFmtId="186" fontId="22" fillId="0" borderId="26" xfId="0" applyNumberFormat="1" applyFont="1" applyFill="1" applyBorder="1" applyAlignment="1">
      <alignment vertical="center"/>
    </xf>
    <xf numFmtId="186" fontId="22" fillId="0" borderId="18" xfId="0" applyNumberFormat="1" applyFont="1" applyFill="1" applyBorder="1" applyAlignment="1">
      <alignment vertical="center"/>
    </xf>
    <xf numFmtId="186" fontId="22" fillId="0" borderId="19" xfId="0" applyNumberFormat="1" applyFont="1" applyFill="1" applyBorder="1" applyAlignment="1">
      <alignment vertical="center"/>
    </xf>
    <xf numFmtId="182" fontId="22" fillId="0" borderId="19" xfId="0" applyNumberFormat="1" applyFont="1" applyFill="1" applyBorder="1" applyAlignment="1">
      <alignment vertical="center"/>
    </xf>
    <xf numFmtId="186" fontId="22" fillId="0" borderId="40" xfId="0" applyNumberFormat="1" applyFont="1" applyFill="1" applyBorder="1" applyAlignment="1">
      <alignment vertical="center"/>
    </xf>
    <xf numFmtId="182" fontId="22" fillId="0" borderId="41" xfId="0" applyNumberFormat="1" applyFont="1" applyFill="1" applyBorder="1" applyAlignment="1">
      <alignment vertical="center"/>
    </xf>
    <xf numFmtId="186" fontId="22" fillId="0" borderId="42" xfId="0" applyNumberFormat="1" applyFont="1" applyFill="1" applyBorder="1" applyAlignment="1">
      <alignment vertical="center"/>
    </xf>
    <xf numFmtId="186" fontId="22" fillId="0" borderId="41" xfId="0" applyNumberFormat="1" applyFont="1" applyFill="1" applyBorder="1" applyAlignment="1">
      <alignment vertical="center"/>
    </xf>
    <xf numFmtId="193" fontId="22" fillId="0" borderId="42" xfId="0" applyNumberFormat="1" applyFont="1" applyFill="1" applyBorder="1" applyAlignment="1">
      <alignment vertical="center"/>
    </xf>
    <xf numFmtId="187" fontId="22" fillId="0" borderId="35" xfId="62" applyNumberFormat="1" applyFont="1" applyFill="1" applyBorder="1" applyAlignment="1">
      <alignment vertical="center"/>
      <protection/>
    </xf>
    <xf numFmtId="187" fontId="22" fillId="0" borderId="36" xfId="62" applyNumberFormat="1" applyFont="1" applyFill="1" applyBorder="1" applyAlignment="1">
      <alignment vertical="center"/>
      <protection/>
    </xf>
    <xf numFmtId="187" fontId="22" fillId="0" borderId="38" xfId="62" applyNumberFormat="1" applyFont="1" applyFill="1" applyBorder="1" applyAlignment="1">
      <alignment vertical="center"/>
      <protection/>
    </xf>
    <xf numFmtId="187" fontId="22" fillId="0" borderId="37" xfId="62" applyNumberFormat="1" applyFont="1" applyFill="1" applyBorder="1" applyAlignment="1">
      <alignment vertical="center"/>
      <protection/>
    </xf>
    <xf numFmtId="187" fontId="22" fillId="0" borderId="27" xfId="62" applyNumberFormat="1" applyFont="1" applyFill="1" applyBorder="1" applyAlignment="1">
      <alignment vertical="center"/>
      <protection/>
    </xf>
    <xf numFmtId="185" fontId="22" fillId="0" borderId="23" xfId="62" applyNumberFormat="1" applyFont="1" applyFill="1" applyBorder="1" applyAlignment="1">
      <alignment horizontal="center" vertical="center"/>
      <protection/>
    </xf>
    <xf numFmtId="228" fontId="22" fillId="0" borderId="36" xfId="0" applyNumberFormat="1" applyFont="1" applyFill="1" applyBorder="1" applyAlignment="1">
      <alignment horizontal="center" vertical="center"/>
    </xf>
    <xf numFmtId="228" fontId="22" fillId="0" borderId="37" xfId="0" applyNumberFormat="1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228" fontId="22" fillId="0" borderId="35" xfId="0" applyNumberFormat="1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185" fontId="22" fillId="0" borderId="22" xfId="62" applyNumberFormat="1" applyFont="1" applyFill="1" applyBorder="1" applyAlignment="1">
      <alignment horizontal="center"/>
      <protection/>
    </xf>
    <xf numFmtId="178" fontId="22" fillId="0" borderId="24" xfId="62" applyNumberFormat="1" applyFont="1" applyFill="1" applyBorder="1" applyAlignment="1">
      <alignment vertical="center"/>
      <protection/>
    </xf>
    <xf numFmtId="185" fontId="22" fillId="0" borderId="15" xfId="62" applyNumberFormat="1" applyFont="1" applyFill="1" applyBorder="1" applyAlignment="1">
      <alignment horizontal="center"/>
      <protection/>
    </xf>
    <xf numFmtId="178" fontId="22" fillId="0" borderId="24" xfId="62" applyNumberFormat="1" applyFont="1" applyFill="1" applyBorder="1" applyAlignment="1">
      <alignment horizontal="right" vertical="center"/>
      <protection/>
    </xf>
    <xf numFmtId="179" fontId="22" fillId="0" borderId="15" xfId="62" applyNumberFormat="1" applyFont="1" applyFill="1" applyBorder="1" applyAlignment="1">
      <alignment vertical="center"/>
      <protection/>
    </xf>
    <xf numFmtId="179" fontId="22" fillId="0" borderId="24" xfId="62" applyNumberFormat="1" applyFont="1" applyFill="1" applyBorder="1" applyAlignment="1">
      <alignment vertical="center"/>
      <protection/>
    </xf>
    <xf numFmtId="0" fontId="22" fillId="0" borderId="0" xfId="0" applyFont="1" applyFill="1" applyBorder="1" applyAlignment="1">
      <alignment horizontal="center" vertical="center" textRotation="255"/>
    </xf>
    <xf numFmtId="0" fontId="22" fillId="0" borderId="0" xfId="0" applyFont="1" applyFill="1" applyBorder="1" applyAlignment="1">
      <alignment horizontal="center" vertical="center" wrapText="1"/>
    </xf>
    <xf numFmtId="176" fontId="22" fillId="0" borderId="0" xfId="0" applyNumberFormat="1" applyFont="1" applyFill="1" applyBorder="1" applyAlignment="1">
      <alignment horizontal="center" vertical="center"/>
    </xf>
    <xf numFmtId="189" fontId="22" fillId="0" borderId="0" xfId="0" applyNumberFormat="1" applyFont="1" applyFill="1" applyBorder="1" applyAlignment="1">
      <alignment horizontal="center" vertical="center"/>
    </xf>
    <xf numFmtId="187" fontId="22" fillId="0" borderId="0" xfId="0" applyNumberFormat="1" applyFont="1" applyFill="1" applyBorder="1" applyAlignment="1">
      <alignment horizontal="center" vertical="center"/>
    </xf>
    <xf numFmtId="178" fontId="22" fillId="0" borderId="0" xfId="0" applyNumberFormat="1" applyFont="1" applyFill="1" applyBorder="1" applyAlignment="1">
      <alignment vertical="center"/>
    </xf>
    <xf numFmtId="178" fontId="2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91" fontId="22" fillId="0" borderId="0" xfId="0" applyNumberFormat="1" applyFont="1" applyFill="1" applyBorder="1" applyAlignment="1">
      <alignment horizontal="center" vertical="center" wrapText="1"/>
    </xf>
    <xf numFmtId="178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191" fontId="22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shrinkToFit="1"/>
    </xf>
    <xf numFmtId="189" fontId="22" fillId="0" borderId="0" xfId="0" applyNumberFormat="1" applyFont="1" applyFill="1" applyBorder="1" applyAlignment="1">
      <alignment vertical="center"/>
    </xf>
    <xf numFmtId="193" fontId="2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194" fontId="22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1" fillId="0" borderId="37" xfId="0" applyFont="1" applyFill="1" applyBorder="1" applyAlignment="1">
      <alignment horizontal="center" vertical="center"/>
    </xf>
    <xf numFmtId="190" fontId="22" fillId="0" borderId="37" xfId="62" applyNumberFormat="1" applyFont="1" applyFill="1" applyBorder="1" applyAlignment="1">
      <alignment/>
      <protection/>
    </xf>
    <xf numFmtId="191" fontId="22" fillId="0" borderId="27" xfId="62" applyNumberFormat="1" applyFont="1" applyFill="1" applyBorder="1" applyAlignment="1">
      <alignment horizontal="right"/>
      <protection/>
    </xf>
    <xf numFmtId="193" fontId="22" fillId="0" borderId="25" xfId="62" applyNumberFormat="1" applyFont="1" applyFill="1" applyBorder="1" applyAlignment="1">
      <alignment/>
      <protection/>
    </xf>
    <xf numFmtId="187" fontId="22" fillId="0" borderId="25" xfId="49" applyNumberFormat="1" applyFont="1" applyFill="1" applyBorder="1" applyAlignment="1">
      <alignment/>
    </xf>
    <xf numFmtId="181" fontId="22" fillId="0" borderId="25" xfId="62" applyNumberFormat="1" applyFont="1" applyFill="1" applyBorder="1" applyAlignment="1">
      <alignment/>
      <protection/>
    </xf>
    <xf numFmtId="186" fontId="22" fillId="0" borderId="25" xfId="62" applyNumberFormat="1" applyFont="1" applyFill="1" applyBorder="1" applyAlignment="1">
      <alignment/>
      <protection/>
    </xf>
    <xf numFmtId="183" fontId="22" fillId="0" borderId="25" xfId="62" applyNumberFormat="1" applyFont="1" applyFill="1" applyBorder="1" applyAlignment="1">
      <alignment/>
      <protection/>
    </xf>
    <xf numFmtId="190" fontId="22" fillId="0" borderId="38" xfId="62" applyNumberFormat="1" applyFont="1" applyFill="1" applyBorder="1" applyAlignment="1">
      <alignment vertical="center"/>
      <protection/>
    </xf>
    <xf numFmtId="185" fontId="22" fillId="0" borderId="23" xfId="62" applyNumberFormat="1" applyFont="1" applyFill="1" applyBorder="1" applyAlignment="1">
      <alignment vertical="center"/>
      <protection/>
    </xf>
    <xf numFmtId="189" fontId="22" fillId="0" borderId="24" xfId="62" applyNumberFormat="1" applyFont="1" applyFill="1" applyBorder="1" applyAlignment="1">
      <alignment vertical="center"/>
      <protection/>
    </xf>
    <xf numFmtId="189" fontId="22" fillId="0" borderId="25" xfId="62" applyNumberFormat="1" applyFont="1" applyFill="1" applyBorder="1" applyAlignment="1">
      <alignment vertical="center"/>
      <protection/>
    </xf>
    <xf numFmtId="189" fontId="22" fillId="0" borderId="27" xfId="62" applyNumberFormat="1" applyFont="1" applyFill="1" applyBorder="1" applyAlignment="1">
      <alignment vertical="center"/>
      <protection/>
    </xf>
    <xf numFmtId="190" fontId="22" fillId="0" borderId="23" xfId="62" applyNumberFormat="1" applyFont="1" applyFill="1" applyBorder="1" applyAlignment="1">
      <alignment vertical="center"/>
      <protection/>
    </xf>
    <xf numFmtId="190" fontId="22" fillId="0" borderId="22" xfId="62" applyNumberFormat="1" applyFont="1" applyFill="1" applyBorder="1" applyAlignment="1">
      <alignment vertical="center"/>
      <protection/>
    </xf>
    <xf numFmtId="190" fontId="22" fillId="0" borderId="24" xfId="62" applyNumberFormat="1" applyFont="1" applyFill="1" applyBorder="1" applyAlignment="1">
      <alignment vertical="center"/>
      <protection/>
    </xf>
    <xf numFmtId="190" fontId="22" fillId="0" borderId="27" xfId="62" applyNumberFormat="1" applyFont="1" applyFill="1" applyBorder="1" applyAlignment="1">
      <alignment vertical="center"/>
      <protection/>
    </xf>
    <xf numFmtId="219" fontId="22" fillId="0" borderId="27" xfId="62" applyNumberFormat="1" applyFont="1" applyFill="1" applyBorder="1" applyAlignment="1">
      <alignment vertical="center"/>
      <protection/>
    </xf>
    <xf numFmtId="219" fontId="22" fillId="0" borderId="24" xfId="62" applyNumberFormat="1" applyFont="1" applyFill="1" applyBorder="1" applyAlignment="1">
      <alignment horizontal="right" vertical="center"/>
      <protection/>
    </xf>
    <xf numFmtId="219" fontId="22" fillId="0" borderId="23" xfId="62" applyNumberFormat="1" applyFont="1" applyFill="1" applyBorder="1" applyAlignment="1">
      <alignment vertical="center"/>
      <protection/>
    </xf>
    <xf numFmtId="183" fontId="22" fillId="0" borderId="23" xfId="0" applyNumberFormat="1" applyFont="1" applyFill="1" applyBorder="1" applyAlignment="1">
      <alignment vertical="center"/>
    </xf>
    <xf numFmtId="191" fontId="22" fillId="0" borderId="24" xfId="0" applyNumberFormat="1" applyFont="1" applyFill="1" applyBorder="1" applyAlignment="1">
      <alignment horizontal="right" vertical="center"/>
    </xf>
    <xf numFmtId="194" fontId="22" fillId="0" borderId="23" xfId="0" applyNumberFormat="1" applyFont="1" applyFill="1" applyBorder="1" applyAlignment="1">
      <alignment vertical="center"/>
    </xf>
    <xf numFmtId="186" fontId="22" fillId="0" borderId="35" xfId="0" applyNumberFormat="1" applyFont="1" applyFill="1" applyBorder="1" applyAlignment="1">
      <alignment vertical="center"/>
    </xf>
    <xf numFmtId="186" fontId="22" fillId="0" borderId="43" xfId="0" applyNumberFormat="1" applyFont="1" applyFill="1" applyBorder="1" applyAlignment="1">
      <alignment vertical="center"/>
    </xf>
    <xf numFmtId="186" fontId="22" fillId="0" borderId="23" xfId="0" applyNumberFormat="1" applyFont="1" applyFill="1" applyBorder="1" applyAlignment="1">
      <alignment vertical="center"/>
    </xf>
    <xf numFmtId="191" fontId="22" fillId="0" borderId="23" xfId="0" applyNumberFormat="1" applyFont="1" applyFill="1" applyBorder="1" applyAlignment="1">
      <alignment vertical="center"/>
    </xf>
    <xf numFmtId="183" fontId="22" fillId="0" borderId="24" xfId="0" applyNumberFormat="1" applyFont="1" applyFill="1" applyBorder="1" applyAlignment="1">
      <alignment vertical="center"/>
    </xf>
    <xf numFmtId="191" fontId="22" fillId="0" borderId="24" xfId="0" applyNumberFormat="1" applyFont="1" applyFill="1" applyBorder="1" applyAlignment="1">
      <alignment vertical="center"/>
    </xf>
    <xf numFmtId="194" fontId="22" fillId="0" borderId="36" xfId="0" applyNumberFormat="1" applyFont="1" applyFill="1" applyBorder="1" applyAlignment="1">
      <alignment vertical="center"/>
    </xf>
    <xf numFmtId="186" fontId="22" fillId="0" borderId="36" xfId="0" applyNumberFormat="1" applyFont="1" applyFill="1" applyBorder="1" applyAlignment="1">
      <alignment vertical="center"/>
    </xf>
    <xf numFmtId="186" fontId="22" fillId="0" borderId="44" xfId="0" applyNumberFormat="1" applyFont="1" applyFill="1" applyBorder="1" applyAlignment="1">
      <alignment vertical="center"/>
    </xf>
    <xf numFmtId="186" fontId="22" fillId="0" borderId="24" xfId="0" applyNumberFormat="1" applyFont="1" applyFill="1" applyBorder="1" applyAlignment="1">
      <alignment vertical="center"/>
    </xf>
    <xf numFmtId="194" fontId="22" fillId="0" borderId="24" xfId="0" applyNumberFormat="1" applyFont="1" applyFill="1" applyBorder="1" applyAlignment="1">
      <alignment vertical="center"/>
    </xf>
    <xf numFmtId="185" fontId="22" fillId="0" borderId="24" xfId="0" applyNumberFormat="1" applyFont="1" applyFill="1" applyBorder="1" applyAlignment="1">
      <alignment vertical="center"/>
    </xf>
    <xf numFmtId="191" fontId="22" fillId="0" borderId="36" xfId="0" applyNumberFormat="1" applyFont="1" applyFill="1" applyBorder="1" applyAlignment="1">
      <alignment vertical="center"/>
    </xf>
    <xf numFmtId="191" fontId="22" fillId="0" borderId="25" xfId="0" applyNumberFormat="1" applyFont="1" applyFill="1" applyBorder="1" applyAlignment="1">
      <alignment horizontal="right" vertical="center"/>
    </xf>
    <xf numFmtId="182" fontId="22" fillId="0" borderId="23" xfId="0" applyNumberFormat="1" applyFont="1" applyFill="1" applyBorder="1" applyAlignment="1">
      <alignment vertical="center"/>
    </xf>
    <xf numFmtId="182" fontId="22" fillId="0" borderId="24" xfId="0" applyNumberFormat="1" applyFont="1" applyFill="1" applyBorder="1" applyAlignment="1">
      <alignment vertical="center"/>
    </xf>
    <xf numFmtId="183" fontId="22" fillId="0" borderId="27" xfId="0" applyNumberFormat="1" applyFont="1" applyFill="1" applyBorder="1" applyAlignment="1">
      <alignment vertical="center"/>
    </xf>
    <xf numFmtId="194" fontId="22" fillId="0" borderId="27" xfId="0" applyNumberFormat="1" applyFont="1" applyFill="1" applyBorder="1" applyAlignment="1">
      <alignment vertical="center"/>
    </xf>
    <xf numFmtId="186" fontId="22" fillId="0" borderId="37" xfId="0" applyNumberFormat="1" applyFont="1" applyFill="1" applyBorder="1" applyAlignment="1">
      <alignment vertical="center"/>
    </xf>
    <xf numFmtId="186" fontId="22" fillId="0" borderId="27" xfId="0" applyNumberFormat="1" applyFont="1" applyFill="1" applyBorder="1" applyAlignment="1">
      <alignment vertical="center"/>
    </xf>
    <xf numFmtId="191" fontId="22" fillId="0" borderId="27" xfId="0" applyNumberFormat="1" applyFont="1" applyFill="1" applyBorder="1" applyAlignment="1">
      <alignment vertical="center"/>
    </xf>
    <xf numFmtId="183" fontId="22" fillId="0" borderId="22" xfId="0" applyNumberFormat="1" applyFont="1" applyFill="1" applyBorder="1" applyAlignment="1">
      <alignment vertical="center"/>
    </xf>
    <xf numFmtId="194" fontId="22" fillId="0" borderId="22" xfId="0" applyNumberFormat="1" applyFont="1" applyFill="1" applyBorder="1" applyAlignment="1">
      <alignment vertical="center"/>
    </xf>
    <xf numFmtId="186" fontId="22" fillId="0" borderId="39" xfId="0" applyNumberFormat="1" applyFont="1" applyFill="1" applyBorder="1" applyAlignment="1">
      <alignment vertical="center"/>
    </xf>
    <xf numFmtId="186" fontId="22" fillId="0" borderId="45" xfId="0" applyNumberFormat="1" applyFont="1" applyFill="1" applyBorder="1" applyAlignment="1">
      <alignment vertical="center"/>
    </xf>
    <xf numFmtId="186" fontId="22" fillId="0" borderId="46" xfId="0" applyNumberFormat="1" applyFont="1" applyFill="1" applyBorder="1" applyAlignment="1">
      <alignment vertical="center"/>
    </xf>
    <xf numFmtId="186" fontId="22" fillId="0" borderId="22" xfId="0" applyNumberFormat="1" applyFont="1" applyFill="1" applyBorder="1" applyAlignment="1">
      <alignment vertical="center"/>
    </xf>
    <xf numFmtId="191" fontId="22" fillId="0" borderId="22" xfId="0" applyNumberFormat="1" applyFont="1" applyFill="1" applyBorder="1" applyAlignment="1">
      <alignment vertical="center"/>
    </xf>
    <xf numFmtId="185" fontId="22" fillId="0" borderId="27" xfId="0" applyNumberFormat="1" applyFont="1" applyFill="1" applyBorder="1" applyAlignment="1">
      <alignment vertical="center"/>
    </xf>
    <xf numFmtId="191" fontId="22" fillId="0" borderId="23" xfId="0" applyNumberFormat="1" applyFont="1" applyFill="1" applyBorder="1" applyAlignment="1">
      <alignment horizontal="right" vertical="center"/>
    </xf>
    <xf numFmtId="191" fontId="22" fillId="0" borderId="26" xfId="0" applyNumberFormat="1" applyFont="1" applyFill="1" applyBorder="1" applyAlignment="1">
      <alignment vertical="center"/>
    </xf>
    <xf numFmtId="189" fontId="22" fillId="0" borderId="24" xfId="0" applyNumberFormat="1" applyFont="1" applyFill="1" applyBorder="1" applyAlignment="1">
      <alignment vertical="center"/>
    </xf>
    <xf numFmtId="191" fontId="22" fillId="0" borderId="35" xfId="0" applyNumberFormat="1" applyFont="1" applyFill="1" applyBorder="1" applyAlignment="1">
      <alignment vertical="center"/>
    </xf>
    <xf numFmtId="189" fontId="22" fillId="0" borderId="23" xfId="0" applyNumberFormat="1" applyFont="1" applyFill="1" applyBorder="1" applyAlignment="1">
      <alignment vertical="center"/>
    </xf>
    <xf numFmtId="191" fontId="22" fillId="0" borderId="37" xfId="0" applyNumberFormat="1" applyFont="1" applyFill="1" applyBorder="1" applyAlignment="1">
      <alignment vertical="center"/>
    </xf>
    <xf numFmtId="189" fontId="22" fillId="0" borderId="27" xfId="0" applyNumberFormat="1" applyFont="1" applyFill="1" applyBorder="1" applyAlignment="1">
      <alignment vertical="center"/>
    </xf>
    <xf numFmtId="190" fontId="22" fillId="0" borderId="23" xfId="0" applyNumberFormat="1" applyFont="1" applyFill="1" applyBorder="1" applyAlignment="1">
      <alignment vertical="center"/>
    </xf>
    <xf numFmtId="190" fontId="22" fillId="0" borderId="24" xfId="0" applyNumberFormat="1" applyFont="1" applyFill="1" applyBorder="1" applyAlignment="1">
      <alignment vertical="center"/>
    </xf>
    <xf numFmtId="187" fontId="22" fillId="0" borderId="39" xfId="0" applyNumberFormat="1" applyFont="1" applyFill="1" applyBorder="1" applyAlignment="1">
      <alignment vertical="center"/>
    </xf>
    <xf numFmtId="193" fontId="22" fillId="0" borderId="45" xfId="0" applyNumberFormat="1" applyFont="1" applyFill="1" applyBorder="1" applyAlignment="1">
      <alignment vertical="center"/>
    </xf>
    <xf numFmtId="193" fontId="22" fillId="0" borderId="46" xfId="0" applyNumberFormat="1" applyFont="1" applyFill="1" applyBorder="1" applyAlignment="1">
      <alignment vertical="center"/>
    </xf>
    <xf numFmtId="185" fontId="22" fillId="0" borderId="22" xfId="0" applyNumberFormat="1" applyFont="1" applyFill="1" applyBorder="1" applyAlignment="1">
      <alignment vertical="center"/>
    </xf>
    <xf numFmtId="187" fontId="22" fillId="0" borderId="36" xfId="0" applyNumberFormat="1" applyFont="1" applyFill="1" applyBorder="1" applyAlignment="1">
      <alignment vertical="center"/>
    </xf>
    <xf numFmtId="187" fontId="22" fillId="0" borderId="18" xfId="0" applyNumberFormat="1" applyFont="1" applyFill="1" applyBorder="1" applyAlignment="1">
      <alignment vertical="center"/>
    </xf>
    <xf numFmtId="193" fontId="22" fillId="0" borderId="18" xfId="0" applyNumberFormat="1" applyFont="1" applyFill="1" applyBorder="1" applyAlignment="1">
      <alignment vertical="center"/>
    </xf>
    <xf numFmtId="193" fontId="22" fillId="0" borderId="19" xfId="0" applyNumberFormat="1" applyFont="1" applyFill="1" applyBorder="1" applyAlignment="1">
      <alignment vertical="center"/>
    </xf>
    <xf numFmtId="184" fontId="22" fillId="0" borderId="24" xfId="0" applyNumberFormat="1" applyFont="1" applyFill="1" applyBorder="1" applyAlignment="1">
      <alignment vertical="center"/>
    </xf>
    <xf numFmtId="187" fontId="22" fillId="0" borderId="37" xfId="0" applyNumberFormat="1" applyFont="1" applyFill="1" applyBorder="1" applyAlignment="1">
      <alignment vertical="center"/>
    </xf>
    <xf numFmtId="193" fontId="22" fillId="0" borderId="40" xfId="0" applyNumberFormat="1" applyFont="1" applyFill="1" applyBorder="1" applyAlignment="1">
      <alignment vertical="center"/>
    </xf>
    <xf numFmtId="193" fontId="22" fillId="0" borderId="41" xfId="0" applyNumberFormat="1" applyFont="1" applyFill="1" applyBorder="1" applyAlignment="1">
      <alignment vertical="center"/>
    </xf>
    <xf numFmtId="187" fontId="22" fillId="0" borderId="23" xfId="0" applyNumberFormat="1" applyFont="1" applyFill="1" applyBorder="1" applyAlignment="1">
      <alignment vertical="center"/>
    </xf>
    <xf numFmtId="193" fontId="22" fillId="0" borderId="35" xfId="0" applyNumberFormat="1" applyFont="1" applyFill="1" applyBorder="1" applyAlignment="1">
      <alignment vertical="center"/>
    </xf>
    <xf numFmtId="183" fontId="22" fillId="0" borderId="24" xfId="0" applyNumberFormat="1" applyFont="1" applyFill="1" applyBorder="1" applyAlignment="1" quotePrefix="1">
      <alignment vertical="center"/>
    </xf>
    <xf numFmtId="187" fontId="22" fillId="0" borderId="24" xfId="0" applyNumberFormat="1" applyFont="1" applyFill="1" applyBorder="1" applyAlignment="1">
      <alignment horizontal="right" vertical="center"/>
    </xf>
    <xf numFmtId="185" fontId="22" fillId="0" borderId="23" xfId="0" applyNumberFormat="1" applyFont="1" applyFill="1" applyBorder="1" applyAlignment="1">
      <alignment vertical="center"/>
    </xf>
    <xf numFmtId="191" fontId="22" fillId="0" borderId="27" xfId="0" applyNumberFormat="1" applyFont="1" applyFill="1" applyBorder="1" applyAlignment="1">
      <alignment horizontal="right" vertical="center"/>
    </xf>
    <xf numFmtId="191" fontId="22" fillId="0" borderId="22" xfId="0" applyNumberFormat="1" applyFont="1" applyFill="1" applyBorder="1" applyAlignment="1">
      <alignment horizontal="right" vertical="center"/>
    </xf>
    <xf numFmtId="178" fontId="22" fillId="0" borderId="15" xfId="62" applyNumberFormat="1" applyFont="1" applyFill="1" applyBorder="1" applyAlignment="1">
      <alignment horizontal="center" vertical="center"/>
      <protection/>
    </xf>
    <xf numFmtId="179" fontId="22" fillId="0" borderId="23" xfId="62" applyNumberFormat="1" applyFont="1" applyFill="1" applyBorder="1" applyAlignment="1">
      <alignment horizontal="right" vertical="center"/>
      <protection/>
    </xf>
    <xf numFmtId="219" fontId="22" fillId="0" borderId="23" xfId="62" applyNumberFormat="1" applyFont="1" applyFill="1" applyBorder="1" applyAlignment="1">
      <alignment horizontal="right" vertical="center"/>
      <protection/>
    </xf>
    <xf numFmtId="0" fontId="22" fillId="4" borderId="15" xfId="0" applyFont="1" applyFill="1" applyBorder="1" applyAlignment="1">
      <alignment horizontal="center" vertical="center"/>
    </xf>
    <xf numFmtId="0" fontId="22" fillId="0" borderId="47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/>
    </xf>
    <xf numFmtId="0" fontId="22" fillId="4" borderId="35" xfId="0" applyFont="1" applyFill="1" applyBorder="1" applyAlignment="1">
      <alignment horizontal="center" vertical="center" shrinkToFit="1"/>
    </xf>
    <xf numFmtId="0" fontId="22" fillId="4" borderId="23" xfId="0" applyFont="1" applyFill="1" applyBorder="1" applyAlignment="1">
      <alignment vertical="center" shrinkToFit="1"/>
    </xf>
    <xf numFmtId="191" fontId="22" fillId="4" borderId="23" xfId="0" applyNumberFormat="1" applyFont="1" applyFill="1" applyBorder="1" applyAlignment="1">
      <alignment horizontal="center" vertical="center"/>
    </xf>
    <xf numFmtId="184" fontId="22" fillId="4" borderId="23" xfId="0" applyNumberFormat="1" applyFont="1" applyFill="1" applyBorder="1" applyAlignment="1">
      <alignment vertical="center"/>
    </xf>
    <xf numFmtId="0" fontId="22" fillId="4" borderId="23" xfId="0" applyFont="1" applyFill="1" applyBorder="1" applyAlignment="1">
      <alignment horizontal="center" vertical="center" shrinkToFit="1"/>
    </xf>
    <xf numFmtId="187" fontId="22" fillId="4" borderId="23" xfId="62" applyNumberFormat="1" applyFont="1" applyFill="1" applyBorder="1" applyAlignment="1">
      <alignment vertical="center"/>
      <protection/>
    </xf>
    <xf numFmtId="0" fontId="22" fillId="4" borderId="23" xfId="0" applyFont="1" applyFill="1" applyBorder="1" applyAlignment="1">
      <alignment horizontal="center" vertical="center"/>
    </xf>
    <xf numFmtId="0" fontId="28" fillId="24" borderId="36" xfId="0" applyFont="1" applyFill="1" applyBorder="1" applyAlignment="1">
      <alignment vertical="center" shrinkToFit="1"/>
    </xf>
    <xf numFmtId="185" fontId="22" fillId="24" borderId="24" xfId="0" applyNumberFormat="1" applyFont="1" applyFill="1" applyBorder="1" applyAlignment="1">
      <alignment vertical="center" shrinkToFit="1"/>
    </xf>
    <xf numFmtId="0" fontId="28" fillId="24" borderId="24" xfId="0" applyFont="1" applyFill="1" applyBorder="1" applyAlignment="1">
      <alignment vertical="center" shrinkToFit="1"/>
    </xf>
    <xf numFmtId="0" fontId="22" fillId="24" borderId="24" xfId="0" applyFont="1" applyFill="1" applyBorder="1" applyAlignment="1">
      <alignment vertical="center" shrinkToFit="1"/>
    </xf>
    <xf numFmtId="0" fontId="27" fillId="24" borderId="24" xfId="0" applyFont="1" applyFill="1" applyBorder="1" applyAlignment="1">
      <alignment vertical="center" shrinkToFit="1"/>
    </xf>
    <xf numFmtId="0" fontId="28" fillId="0" borderId="36" xfId="0" applyFont="1" applyFill="1" applyBorder="1" applyAlignment="1">
      <alignment vertical="center" shrinkToFit="1"/>
    </xf>
    <xf numFmtId="185" fontId="22" fillId="0" borderId="24" xfId="0" applyNumberFormat="1" applyFont="1" applyFill="1" applyBorder="1" applyAlignment="1">
      <alignment vertical="center" shrinkToFit="1"/>
    </xf>
    <xf numFmtId="191" fontId="22" fillId="0" borderId="24" xfId="0" applyNumberFormat="1" applyFont="1" applyBorder="1" applyAlignment="1">
      <alignment vertical="center"/>
    </xf>
    <xf numFmtId="181" fontId="22" fillId="0" borderId="24" xfId="0" applyNumberFormat="1" applyFont="1" applyBorder="1" applyAlignment="1">
      <alignment vertical="center"/>
    </xf>
    <xf numFmtId="0" fontId="22" fillId="0" borderId="24" xfId="0" applyFont="1" applyBorder="1" applyAlignment="1">
      <alignment horizontal="center" vertical="center" shrinkToFit="1"/>
    </xf>
    <xf numFmtId="187" fontId="22" fillId="0" borderId="24" xfId="0" applyNumberFormat="1" applyFont="1" applyBorder="1" applyAlignment="1">
      <alignment vertical="center"/>
    </xf>
    <xf numFmtId="0" fontId="28" fillId="0" borderId="24" xfId="0" applyFont="1" applyBorder="1" applyAlignment="1">
      <alignment vertical="center" shrinkToFit="1"/>
    </xf>
    <xf numFmtId="0" fontId="22" fillId="0" borderId="24" xfId="0" applyFont="1" applyBorder="1" applyAlignment="1">
      <alignment vertical="center" shrinkToFit="1"/>
    </xf>
    <xf numFmtId="184" fontId="22" fillId="0" borderId="24" xfId="0" applyNumberFormat="1" applyFont="1" applyBorder="1" applyAlignment="1">
      <alignment vertical="center"/>
    </xf>
    <xf numFmtId="0" fontId="32" fillId="0" borderId="24" xfId="0" applyFont="1" applyBorder="1" applyAlignment="1">
      <alignment horizontal="center" vertical="center" shrinkToFit="1"/>
    </xf>
    <xf numFmtId="193" fontId="22" fillId="0" borderId="36" xfId="0" applyNumberFormat="1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2" fillId="21" borderId="24" xfId="0" applyFont="1" applyFill="1" applyBorder="1" applyAlignment="1">
      <alignment horizontal="center" vertical="center" shrinkToFit="1"/>
    </xf>
    <xf numFmtId="0" fontId="22" fillId="21" borderId="24" xfId="0" applyFont="1" applyFill="1" applyBorder="1" applyAlignment="1">
      <alignment vertical="center" shrinkToFit="1"/>
    </xf>
    <xf numFmtId="191" fontId="22" fillId="21" borderId="24" xfId="0" applyNumberFormat="1" applyFont="1" applyFill="1" applyBorder="1" applyAlignment="1">
      <alignment vertical="center"/>
    </xf>
    <xf numFmtId="184" fontId="22" fillId="21" borderId="24" xfId="0" applyNumberFormat="1" applyFont="1" applyFill="1" applyBorder="1" applyAlignment="1">
      <alignment vertical="center"/>
    </xf>
    <xf numFmtId="187" fontId="22" fillId="21" borderId="24" xfId="0" applyNumberFormat="1" applyFont="1" applyFill="1" applyBorder="1" applyAlignment="1">
      <alignment vertical="center"/>
    </xf>
    <xf numFmtId="0" fontId="22" fillId="21" borderId="24" xfId="0" applyFont="1" applyFill="1" applyBorder="1" applyAlignment="1">
      <alignment horizontal="center" vertical="center"/>
    </xf>
    <xf numFmtId="0" fontId="28" fillId="21" borderId="27" xfId="0" applyFont="1" applyFill="1" applyBorder="1" applyAlignment="1">
      <alignment vertical="center" shrinkToFit="1"/>
    </xf>
    <xf numFmtId="0" fontId="22" fillId="21" borderId="27" xfId="0" applyFont="1" applyFill="1" applyBorder="1" applyAlignment="1">
      <alignment vertical="center" shrinkToFit="1"/>
    </xf>
    <xf numFmtId="191" fontId="22" fillId="21" borderId="27" xfId="0" applyNumberFormat="1" applyFont="1" applyFill="1" applyBorder="1" applyAlignment="1">
      <alignment vertical="center"/>
    </xf>
    <xf numFmtId="184" fontId="22" fillId="21" borderId="27" xfId="0" applyNumberFormat="1" applyFont="1" applyFill="1" applyBorder="1" applyAlignment="1">
      <alignment vertical="center"/>
    </xf>
    <xf numFmtId="0" fontId="22" fillId="21" borderId="27" xfId="0" applyFont="1" applyFill="1" applyBorder="1" applyAlignment="1">
      <alignment horizontal="center" vertical="center" shrinkToFit="1"/>
    </xf>
    <xf numFmtId="187" fontId="22" fillId="21" borderId="27" xfId="0" applyNumberFormat="1" applyFont="1" applyFill="1" applyBorder="1" applyAlignment="1">
      <alignment vertical="center"/>
    </xf>
    <xf numFmtId="0" fontId="22" fillId="21" borderId="27" xfId="0" applyFont="1" applyFill="1" applyBorder="1" applyAlignment="1">
      <alignment horizontal="center" vertical="center"/>
    </xf>
    <xf numFmtId="0" fontId="22" fillId="24" borderId="44" xfId="0" applyFont="1" applyFill="1" applyBorder="1" applyAlignment="1">
      <alignment vertical="center" shrinkToFit="1"/>
    </xf>
    <xf numFmtId="183" fontId="22" fillId="24" borderId="24" xfId="0" applyNumberFormat="1" applyFont="1" applyFill="1" applyBorder="1" applyAlignment="1">
      <alignment vertical="center"/>
    </xf>
    <xf numFmtId="189" fontId="22" fillId="24" borderId="24" xfId="0" applyNumberFormat="1" applyFont="1" applyFill="1" applyBorder="1" applyAlignment="1">
      <alignment vertical="center"/>
    </xf>
    <xf numFmtId="0" fontId="22" fillId="24" borderId="24" xfId="0" applyFont="1" applyFill="1" applyBorder="1" applyAlignment="1">
      <alignment horizontal="center" vertical="center" shrinkToFit="1"/>
    </xf>
    <xf numFmtId="187" fontId="22" fillId="24" borderId="24" xfId="0" applyNumberFormat="1" applyFont="1" applyFill="1" applyBorder="1" applyAlignment="1">
      <alignment vertical="center"/>
    </xf>
    <xf numFmtId="0" fontId="22" fillId="24" borderId="24" xfId="0" applyFont="1" applyFill="1" applyBorder="1" applyAlignment="1">
      <alignment horizontal="center" vertical="center"/>
    </xf>
    <xf numFmtId="185" fontId="27" fillId="24" borderId="24" xfId="0" applyNumberFormat="1" applyFont="1" applyFill="1" applyBorder="1" applyAlignment="1">
      <alignment vertical="center" shrinkToFit="1"/>
    </xf>
    <xf numFmtId="181" fontId="22" fillId="0" borderId="24" xfId="0" applyNumberFormat="1" applyFont="1" applyFill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2" fillId="5" borderId="37" xfId="0" applyFont="1" applyFill="1" applyBorder="1" applyAlignment="1">
      <alignment horizontal="center" vertical="center" shrinkToFit="1"/>
    </xf>
    <xf numFmtId="185" fontId="22" fillId="5" borderId="27" xfId="0" applyNumberFormat="1" applyFont="1" applyFill="1" applyBorder="1" applyAlignment="1">
      <alignment vertical="center" shrinkToFit="1"/>
    </xf>
    <xf numFmtId="183" fontId="22" fillId="5" borderId="27" xfId="0" applyNumberFormat="1" applyFont="1" applyFill="1" applyBorder="1" applyAlignment="1">
      <alignment horizontal="center" vertical="center"/>
    </xf>
    <xf numFmtId="181" fontId="22" fillId="5" borderId="27" xfId="0" applyNumberFormat="1" applyFont="1" applyFill="1" applyBorder="1" applyAlignment="1">
      <alignment vertical="center"/>
    </xf>
    <xf numFmtId="0" fontId="22" fillId="5" borderId="27" xfId="0" applyFont="1" applyFill="1" applyBorder="1" applyAlignment="1">
      <alignment horizontal="center" vertical="center" shrinkToFit="1"/>
    </xf>
    <xf numFmtId="187" fontId="22" fillId="5" borderId="27" xfId="62" applyNumberFormat="1" applyFont="1" applyFill="1" applyBorder="1" applyAlignment="1">
      <alignment vertical="center"/>
      <protection/>
    </xf>
    <xf numFmtId="0" fontId="22" fillId="5" borderId="27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8" fillId="0" borderId="27" xfId="0" applyFont="1" applyBorder="1" applyAlignment="1">
      <alignment vertical="center" shrinkToFit="1"/>
    </xf>
    <xf numFmtId="0" fontId="22" fillId="0" borderId="27" xfId="0" applyFont="1" applyBorder="1" applyAlignment="1">
      <alignment vertical="center" shrinkToFit="1"/>
    </xf>
    <xf numFmtId="191" fontId="22" fillId="0" borderId="27" xfId="0" applyNumberFormat="1" applyFont="1" applyBorder="1" applyAlignment="1">
      <alignment vertical="center"/>
    </xf>
    <xf numFmtId="182" fontId="22" fillId="0" borderId="27" xfId="0" applyNumberFormat="1" applyFont="1" applyBorder="1" applyAlignment="1">
      <alignment vertical="center"/>
    </xf>
    <xf numFmtId="0" fontId="32" fillId="0" borderId="27" xfId="0" applyFont="1" applyBorder="1" applyAlignment="1">
      <alignment horizontal="center" vertical="center" shrinkToFit="1"/>
    </xf>
    <xf numFmtId="187" fontId="22" fillId="0" borderId="27" xfId="0" applyNumberFormat="1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176" fontId="22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 shrinkToFit="1"/>
    </xf>
    <xf numFmtId="0" fontId="22" fillId="0" borderId="0" xfId="0" applyFont="1" applyBorder="1" applyAlignment="1">
      <alignment vertical="center" shrinkToFit="1"/>
    </xf>
    <xf numFmtId="191" fontId="22" fillId="0" borderId="0" xfId="0" applyNumberFormat="1" applyFont="1" applyBorder="1" applyAlignment="1">
      <alignment vertical="center"/>
    </xf>
    <xf numFmtId="182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 shrinkToFit="1"/>
    </xf>
    <xf numFmtId="187" fontId="22" fillId="0" borderId="0" xfId="0" applyNumberFormat="1" applyFont="1" applyBorder="1" applyAlignment="1">
      <alignment vertical="center"/>
    </xf>
    <xf numFmtId="187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82" fontId="22" fillId="0" borderId="0" xfId="0" applyNumberFormat="1" applyFont="1" applyBorder="1" applyAlignment="1">
      <alignment vertical="center"/>
    </xf>
    <xf numFmtId="181" fontId="22" fillId="0" borderId="0" xfId="0" applyNumberFormat="1" applyFont="1" applyBorder="1" applyAlignment="1">
      <alignment vertical="center"/>
    </xf>
    <xf numFmtId="184" fontId="22" fillId="0" borderId="0" xfId="0" applyNumberFormat="1" applyFont="1" applyBorder="1" applyAlignment="1">
      <alignment vertical="center"/>
    </xf>
    <xf numFmtId="176" fontId="26" fillId="0" borderId="0" xfId="0" applyNumberFormat="1" applyFont="1" applyBorder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176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 shrinkToFit="1"/>
    </xf>
    <xf numFmtId="191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 shrinkToFit="1"/>
    </xf>
    <xf numFmtId="187" fontId="22" fillId="0" borderId="0" xfId="0" applyNumberFormat="1" applyFont="1" applyAlignment="1">
      <alignment vertical="center"/>
    </xf>
    <xf numFmtId="187" fontId="22" fillId="0" borderId="0" xfId="0" applyNumberFormat="1" applyFont="1" applyAlignment="1">
      <alignment vertical="center"/>
    </xf>
    <xf numFmtId="191" fontId="22" fillId="0" borderId="11" xfId="0" applyNumberFormat="1" applyFont="1" applyFill="1" applyBorder="1" applyAlignment="1">
      <alignment vertical="center"/>
    </xf>
    <xf numFmtId="184" fontId="22" fillId="0" borderId="25" xfId="0" applyNumberFormat="1" applyFont="1" applyBorder="1" applyAlignment="1">
      <alignment vertical="center"/>
    </xf>
    <xf numFmtId="0" fontId="22" fillId="0" borderId="25" xfId="0" applyFont="1" applyBorder="1" applyAlignment="1">
      <alignment horizontal="center" vertical="center" shrinkToFit="1"/>
    </xf>
    <xf numFmtId="0" fontId="28" fillId="0" borderId="25" xfId="0" applyFont="1" applyBorder="1" applyAlignment="1">
      <alignment vertical="center" shrinkToFit="1"/>
    </xf>
    <xf numFmtId="0" fontId="22" fillId="0" borderId="25" xfId="0" applyFont="1" applyBorder="1" applyAlignment="1">
      <alignment vertical="center" shrinkToFit="1"/>
    </xf>
    <xf numFmtId="191" fontId="22" fillId="0" borderId="25" xfId="0" applyNumberFormat="1" applyFont="1" applyBorder="1" applyAlignment="1">
      <alignment vertical="center"/>
    </xf>
    <xf numFmtId="181" fontId="22" fillId="0" borderId="25" xfId="0" applyNumberFormat="1" applyFont="1" applyBorder="1" applyAlignment="1">
      <alignment vertical="center"/>
    </xf>
    <xf numFmtId="0" fontId="32" fillId="0" borderId="25" xfId="0" applyFont="1" applyBorder="1" applyAlignment="1">
      <alignment horizontal="center" vertical="center" shrinkToFit="1"/>
    </xf>
    <xf numFmtId="191" fontId="22" fillId="4" borderId="15" xfId="0" applyNumberFormat="1" applyFont="1" applyFill="1" applyBorder="1" applyAlignment="1">
      <alignment horizontal="center" vertical="center"/>
    </xf>
    <xf numFmtId="184" fontId="22" fillId="4" borderId="15" xfId="0" applyNumberFormat="1" applyFont="1" applyFill="1" applyBorder="1" applyAlignment="1">
      <alignment vertical="center"/>
    </xf>
    <xf numFmtId="0" fontId="22" fillId="4" borderId="15" xfId="0" applyFont="1" applyFill="1" applyBorder="1" applyAlignment="1">
      <alignment horizontal="center" vertical="center" shrinkToFit="1"/>
    </xf>
    <xf numFmtId="187" fontId="22" fillId="4" borderId="15" xfId="62" applyNumberFormat="1" applyFont="1" applyFill="1" applyBorder="1" applyAlignment="1">
      <alignment vertical="center"/>
      <protection/>
    </xf>
    <xf numFmtId="0" fontId="28" fillId="4" borderId="36" xfId="0" applyFont="1" applyFill="1" applyBorder="1" applyAlignment="1">
      <alignment vertical="center" shrinkToFit="1"/>
    </xf>
    <xf numFmtId="185" fontId="22" fillId="4" borderId="24" xfId="0" applyNumberFormat="1" applyFont="1" applyFill="1" applyBorder="1" applyAlignment="1">
      <alignment vertical="center" shrinkToFit="1"/>
    </xf>
    <xf numFmtId="191" fontId="22" fillId="4" borderId="24" xfId="0" applyNumberFormat="1" applyFont="1" applyFill="1" applyBorder="1" applyAlignment="1">
      <alignment horizontal="center" vertical="center"/>
    </xf>
    <xf numFmtId="184" fontId="22" fillId="4" borderId="24" xfId="0" applyNumberFormat="1" applyFont="1" applyFill="1" applyBorder="1" applyAlignment="1">
      <alignment vertical="center"/>
    </xf>
    <xf numFmtId="0" fontId="22" fillId="4" borderId="24" xfId="0" applyFont="1" applyFill="1" applyBorder="1" applyAlignment="1">
      <alignment horizontal="center" vertical="center" shrinkToFit="1"/>
    </xf>
    <xf numFmtId="187" fontId="22" fillId="4" borderId="24" xfId="62" applyNumberFormat="1" applyFont="1" applyFill="1" applyBorder="1" applyAlignment="1">
      <alignment horizontal="center" vertical="center"/>
      <protection/>
    </xf>
    <xf numFmtId="0" fontId="22" fillId="4" borderId="24" xfId="0" applyFont="1" applyFill="1" applyBorder="1" applyAlignment="1">
      <alignment horizontal="center" vertical="center"/>
    </xf>
    <xf numFmtId="0" fontId="28" fillId="4" borderId="24" xfId="0" applyFont="1" applyFill="1" applyBorder="1" applyAlignment="1">
      <alignment vertical="center" shrinkToFit="1"/>
    </xf>
    <xf numFmtId="0" fontId="22" fillId="4" borderId="24" xfId="0" applyFont="1" applyFill="1" applyBorder="1" applyAlignment="1">
      <alignment vertical="center" shrinkToFit="1"/>
    </xf>
    <xf numFmtId="182" fontId="22" fillId="4" borderId="24" xfId="0" applyNumberFormat="1" applyFont="1" applyFill="1" applyBorder="1" applyAlignment="1">
      <alignment vertical="center"/>
    </xf>
    <xf numFmtId="187" fontId="22" fillId="4" borderId="24" xfId="0" applyNumberFormat="1" applyFont="1" applyFill="1" applyBorder="1" applyAlignment="1">
      <alignment vertical="center"/>
    </xf>
    <xf numFmtId="0" fontId="28" fillId="21" borderId="24" xfId="0" applyFont="1" applyFill="1" applyBorder="1" applyAlignment="1">
      <alignment vertical="center" shrinkToFit="1"/>
    </xf>
    <xf numFmtId="185" fontId="22" fillId="21" borderId="24" xfId="0" applyNumberFormat="1" applyFont="1" applyFill="1" applyBorder="1" applyAlignment="1">
      <alignment vertical="center" shrinkToFit="1"/>
    </xf>
    <xf numFmtId="191" fontId="22" fillId="21" borderId="25" xfId="0" applyNumberFormat="1" applyFont="1" applyFill="1" applyBorder="1" applyAlignment="1">
      <alignment vertical="center"/>
    </xf>
    <xf numFmtId="184" fontId="22" fillId="21" borderId="25" xfId="0" applyNumberFormat="1" applyFont="1" applyFill="1" applyBorder="1" applyAlignment="1">
      <alignment vertical="center"/>
    </xf>
    <xf numFmtId="0" fontId="22" fillId="21" borderId="25" xfId="0" applyFont="1" applyFill="1" applyBorder="1" applyAlignment="1">
      <alignment horizontal="center" vertical="center" shrinkToFit="1"/>
    </xf>
    <xf numFmtId="181" fontId="22" fillId="4" borderId="24" xfId="0" applyNumberFormat="1" applyFont="1" applyFill="1" applyBorder="1" applyAlignment="1">
      <alignment vertical="center"/>
    </xf>
    <xf numFmtId="191" fontId="22" fillId="24" borderId="24" xfId="0" applyNumberFormat="1" applyFont="1" applyFill="1" applyBorder="1" applyAlignment="1">
      <alignment vertical="center"/>
    </xf>
    <xf numFmtId="184" fontId="22" fillId="24" borderId="24" xfId="0" applyNumberFormat="1" applyFont="1" applyFill="1" applyBorder="1" applyAlignment="1">
      <alignment vertical="center"/>
    </xf>
    <xf numFmtId="191" fontId="22" fillId="0" borderId="24" xfId="0" applyNumberFormat="1" applyFont="1" applyFill="1" applyBorder="1" applyAlignment="1">
      <alignment vertical="center"/>
    </xf>
    <xf numFmtId="184" fontId="22" fillId="0" borderId="24" xfId="0" applyNumberFormat="1" applyFont="1" applyFill="1" applyBorder="1" applyAlignment="1">
      <alignment vertical="center"/>
    </xf>
    <xf numFmtId="0" fontId="22" fillId="0" borderId="24" xfId="0" applyFont="1" applyFill="1" applyBorder="1" applyAlignment="1">
      <alignment horizontal="center" vertical="center" shrinkToFit="1"/>
    </xf>
    <xf numFmtId="187" fontId="22" fillId="0" borderId="24" xfId="0" applyNumberFormat="1" applyFont="1" applyFill="1" applyBorder="1" applyAlignment="1">
      <alignment vertical="center"/>
    </xf>
    <xf numFmtId="193" fontId="22" fillId="0" borderId="36" xfId="0" applyNumberFormat="1" applyFont="1" applyFill="1" applyBorder="1" applyAlignment="1">
      <alignment vertical="center"/>
    </xf>
    <xf numFmtId="0" fontId="32" fillId="0" borderId="24" xfId="0" applyFont="1" applyFill="1" applyBorder="1" applyAlignment="1">
      <alignment horizontal="center" vertical="center" shrinkToFit="1"/>
    </xf>
    <xf numFmtId="0" fontId="28" fillId="5" borderId="37" xfId="0" applyFont="1" applyFill="1" applyBorder="1" applyAlignment="1">
      <alignment horizontal="center" vertical="center" shrinkToFit="1"/>
    </xf>
    <xf numFmtId="185" fontId="22" fillId="4" borderId="48" xfId="62" applyNumberFormat="1" applyFont="1" applyFill="1" applyBorder="1" applyAlignment="1">
      <alignment horizontal="center" vertical="center"/>
      <protection/>
    </xf>
    <xf numFmtId="183" fontId="22" fillId="4" borderId="22" xfId="0" applyNumberFormat="1" applyFont="1" applyFill="1" applyBorder="1" applyAlignment="1">
      <alignment horizontal="center" vertical="center"/>
    </xf>
    <xf numFmtId="181" fontId="22" fillId="4" borderId="22" xfId="0" applyNumberFormat="1" applyFont="1" applyFill="1" applyBorder="1" applyAlignment="1">
      <alignment vertical="center"/>
    </xf>
    <xf numFmtId="0" fontId="22" fillId="4" borderId="22" xfId="0" applyFont="1" applyFill="1" applyBorder="1" applyAlignment="1">
      <alignment horizontal="center" vertical="center" shrinkToFit="1"/>
    </xf>
    <xf numFmtId="0" fontId="28" fillId="0" borderId="24" xfId="0" applyFont="1" applyFill="1" applyBorder="1" applyAlignment="1">
      <alignment vertical="center" shrinkToFit="1"/>
    </xf>
    <xf numFmtId="182" fontId="22" fillId="0" borderId="24" xfId="0" applyNumberFormat="1" applyFont="1" applyBorder="1" applyAlignment="1">
      <alignment vertical="center"/>
    </xf>
    <xf numFmtId="181" fontId="22" fillId="21" borderId="27" xfId="0" applyNumberFormat="1" applyFont="1" applyFill="1" applyBorder="1" applyAlignment="1">
      <alignment vertical="center"/>
    </xf>
    <xf numFmtId="185" fontId="22" fillId="5" borderId="47" xfId="0" applyNumberFormat="1" applyFont="1" applyFill="1" applyBorder="1" applyAlignment="1">
      <alignment vertical="center" shrinkToFit="1"/>
    </xf>
    <xf numFmtId="183" fontId="22" fillId="5" borderId="47" xfId="0" applyNumberFormat="1" applyFont="1" applyFill="1" applyBorder="1" applyAlignment="1">
      <alignment horizontal="center" vertical="center"/>
    </xf>
    <xf numFmtId="181" fontId="22" fillId="5" borderId="47" xfId="0" applyNumberFormat="1" applyFont="1" applyFill="1" applyBorder="1" applyAlignment="1">
      <alignment vertical="center"/>
    </xf>
    <xf numFmtId="0" fontId="22" fillId="5" borderId="47" xfId="0" applyFont="1" applyFill="1" applyBorder="1" applyAlignment="1">
      <alignment horizontal="center" vertical="center" shrinkToFit="1"/>
    </xf>
    <xf numFmtId="187" fontId="22" fillId="5" borderId="47" xfId="62" applyNumberFormat="1" applyFont="1" applyFill="1" applyBorder="1" applyAlignment="1">
      <alignment vertical="center"/>
      <protection/>
    </xf>
    <xf numFmtId="0" fontId="22" fillId="5" borderId="47" xfId="0" applyFont="1" applyFill="1" applyBorder="1" applyAlignment="1">
      <alignment horizontal="center" vertical="center"/>
    </xf>
    <xf numFmtId="193" fontId="22" fillId="4" borderId="15" xfId="62" applyNumberFormat="1" applyFont="1" applyFill="1" applyBorder="1" applyAlignment="1">
      <alignment vertical="center"/>
      <protection/>
    </xf>
    <xf numFmtId="193" fontId="22" fillId="0" borderId="24" xfId="0" applyNumberFormat="1" applyFont="1" applyBorder="1" applyAlignment="1">
      <alignment vertical="center"/>
    </xf>
    <xf numFmtId="187" fontId="22" fillId="0" borderId="24" xfId="0" applyNumberFormat="1" applyFont="1" applyBorder="1" applyAlignment="1">
      <alignment horizontal="center" vertical="center"/>
    </xf>
    <xf numFmtId="185" fontId="22" fillId="4" borderId="23" xfId="0" applyNumberFormat="1" applyFont="1" applyFill="1" applyBorder="1" applyAlignment="1">
      <alignment vertical="center" shrinkToFit="1"/>
    </xf>
    <xf numFmtId="183" fontId="22" fillId="4" borderId="23" xfId="0" applyNumberFormat="1" applyFont="1" applyFill="1" applyBorder="1" applyAlignment="1">
      <alignment horizontal="center" vertical="center"/>
    </xf>
    <xf numFmtId="187" fontId="22" fillId="4" borderId="23" xfId="0" applyNumberFormat="1" applyFont="1" applyFill="1" applyBorder="1" applyAlignment="1">
      <alignment vertical="center"/>
    </xf>
    <xf numFmtId="0" fontId="22" fillId="4" borderId="22" xfId="0" applyFont="1" applyFill="1" applyBorder="1" applyAlignment="1">
      <alignment vertical="center" shrinkToFit="1"/>
    </xf>
    <xf numFmtId="0" fontId="22" fillId="0" borderId="27" xfId="0" applyFont="1" applyBorder="1" applyAlignment="1">
      <alignment horizontal="center" vertical="center" shrinkToFit="1"/>
    </xf>
    <xf numFmtId="0" fontId="28" fillId="0" borderId="23" xfId="0" applyFont="1" applyBorder="1" applyAlignment="1">
      <alignment vertical="center" shrinkToFit="1"/>
    </xf>
    <xf numFmtId="0" fontId="22" fillId="0" borderId="23" xfId="0" applyFont="1" applyBorder="1" applyAlignment="1">
      <alignment vertical="center" shrinkToFit="1"/>
    </xf>
    <xf numFmtId="191" fontId="22" fillId="0" borderId="23" xfId="0" applyNumberFormat="1" applyFont="1" applyBorder="1" applyAlignment="1">
      <alignment vertical="center"/>
    </xf>
    <xf numFmtId="186" fontId="22" fillId="0" borderId="23" xfId="0" applyNumberFormat="1" applyFont="1" applyBorder="1" applyAlignment="1">
      <alignment vertical="center"/>
    </xf>
    <xf numFmtId="0" fontId="22" fillId="0" borderId="23" xfId="0" applyFont="1" applyBorder="1" applyAlignment="1">
      <alignment horizontal="center" vertical="center" shrinkToFit="1"/>
    </xf>
    <xf numFmtId="193" fontId="22" fillId="0" borderId="35" xfId="0" applyNumberFormat="1" applyFont="1" applyBorder="1" applyAlignment="1">
      <alignment vertical="center"/>
    </xf>
    <xf numFmtId="186" fontId="22" fillId="0" borderId="24" xfId="0" applyNumberFormat="1" applyFont="1" applyBorder="1" applyAlignment="1">
      <alignment vertical="center"/>
    </xf>
    <xf numFmtId="186" fontId="22" fillId="0" borderId="24" xfId="0" applyNumberFormat="1" applyFont="1" applyFill="1" applyBorder="1" applyAlignment="1">
      <alignment vertical="center"/>
    </xf>
    <xf numFmtId="191" fontId="22" fillId="0" borderId="27" xfId="0" applyNumberFormat="1" applyFont="1" applyFill="1" applyBorder="1" applyAlignment="1">
      <alignment vertical="center"/>
    </xf>
    <xf numFmtId="186" fontId="22" fillId="0" borderId="27" xfId="0" applyNumberFormat="1" applyFont="1" applyFill="1" applyBorder="1" applyAlignment="1">
      <alignment vertical="center"/>
    </xf>
    <xf numFmtId="0" fontId="22" fillId="0" borderId="27" xfId="0" applyFont="1" applyFill="1" applyBorder="1" applyAlignment="1">
      <alignment horizontal="center" vertical="center" shrinkToFit="1"/>
    </xf>
    <xf numFmtId="193" fontId="22" fillId="0" borderId="37" xfId="0" applyNumberFormat="1" applyFont="1" applyFill="1" applyBorder="1" applyAlignment="1">
      <alignment vertical="center"/>
    </xf>
    <xf numFmtId="0" fontId="28" fillId="4" borderId="23" xfId="0" applyFont="1" applyFill="1" applyBorder="1" applyAlignment="1">
      <alignment vertical="center" shrinkToFit="1"/>
    </xf>
    <xf numFmtId="186" fontId="22" fillId="4" borderId="23" xfId="0" applyNumberFormat="1" applyFont="1" applyFill="1" applyBorder="1" applyAlignment="1">
      <alignment vertical="center"/>
    </xf>
    <xf numFmtId="185" fontId="22" fillId="4" borderId="35" xfId="0" applyNumberFormat="1" applyFont="1" applyFill="1" applyBorder="1" applyAlignment="1">
      <alignment vertical="center"/>
    </xf>
    <xf numFmtId="0" fontId="28" fillId="0" borderId="21" xfId="0" applyFont="1" applyBorder="1" applyAlignment="1">
      <alignment vertical="center" shrinkToFit="1"/>
    </xf>
    <xf numFmtId="183" fontId="22" fillId="0" borderId="21" xfId="0" applyNumberFormat="1" applyFont="1" applyBorder="1" applyAlignment="1">
      <alignment vertical="center"/>
    </xf>
    <xf numFmtId="0" fontId="22" fillId="0" borderId="21" xfId="0" applyFont="1" applyBorder="1" applyAlignment="1">
      <alignment horizontal="center" vertical="center" shrinkToFit="1"/>
    </xf>
    <xf numFmtId="193" fontId="22" fillId="0" borderId="27" xfId="0" applyNumberFormat="1" applyFont="1" applyBorder="1" applyAlignment="1">
      <alignment vertical="center"/>
    </xf>
    <xf numFmtId="188" fontId="22" fillId="0" borderId="37" xfId="0" applyNumberFormat="1" applyFont="1" applyBorder="1" applyAlignment="1">
      <alignment vertical="center"/>
    </xf>
    <xf numFmtId="181" fontId="22" fillId="4" borderId="23" xfId="0" applyNumberFormat="1" applyFont="1" applyFill="1" applyBorder="1" applyAlignment="1">
      <alignment vertical="center"/>
    </xf>
    <xf numFmtId="0" fontId="22" fillId="4" borderId="48" xfId="0" applyFont="1" applyFill="1" applyBorder="1" applyAlignment="1">
      <alignment vertical="center"/>
    </xf>
    <xf numFmtId="0" fontId="22" fillId="0" borderId="22" xfId="0" applyFont="1" applyBorder="1" applyAlignment="1">
      <alignment vertical="center"/>
    </xf>
    <xf numFmtId="183" fontId="22" fillId="0" borderId="24" xfId="0" applyNumberFormat="1" applyFont="1" applyBorder="1" applyAlignment="1">
      <alignment horizontal="center" vertical="center"/>
    </xf>
    <xf numFmtId="0" fontId="28" fillId="0" borderId="22" xfId="0" applyFont="1" applyBorder="1" applyAlignment="1">
      <alignment vertical="center" shrinkToFit="1"/>
    </xf>
    <xf numFmtId="183" fontId="22" fillId="0" borderId="22" xfId="0" applyNumberFormat="1" applyFont="1" applyBorder="1" applyAlignment="1">
      <alignment vertical="center"/>
    </xf>
    <xf numFmtId="181" fontId="22" fillId="0" borderId="24" xfId="0" applyNumberFormat="1" applyFont="1" applyBorder="1" applyAlignment="1">
      <alignment vertical="center"/>
    </xf>
    <xf numFmtId="183" fontId="22" fillId="0" borderId="22" xfId="0" applyNumberFormat="1" applyFont="1" applyBorder="1" applyAlignment="1">
      <alignment horizontal="center" vertical="center"/>
    </xf>
    <xf numFmtId="181" fontId="22" fillId="0" borderId="27" xfId="0" applyNumberFormat="1" applyFont="1" applyBorder="1" applyAlignment="1">
      <alignment vertical="center"/>
    </xf>
    <xf numFmtId="183" fontId="22" fillId="0" borderId="21" xfId="0" applyNumberFormat="1" applyFont="1" applyBorder="1" applyAlignment="1">
      <alignment horizontal="center" vertical="center"/>
    </xf>
    <xf numFmtId="186" fontId="22" fillId="0" borderId="27" xfId="0" applyNumberFormat="1" applyFont="1" applyBorder="1" applyAlignment="1">
      <alignment vertical="center"/>
    </xf>
    <xf numFmtId="178" fontId="22" fillId="0" borderId="47" xfId="0" applyNumberFormat="1" applyFont="1" applyBorder="1" applyAlignment="1">
      <alignment horizontal="center" vertical="center"/>
    </xf>
    <xf numFmtId="187" fontId="22" fillId="0" borderId="21" xfId="0" applyNumberFormat="1" applyFont="1" applyBorder="1" applyAlignment="1">
      <alignment horizontal="center" vertical="center"/>
    </xf>
    <xf numFmtId="0" fontId="22" fillId="0" borderId="49" xfId="0" applyNumberFormat="1" applyFont="1" applyBorder="1" applyAlignment="1">
      <alignment horizontal="center" vertical="center"/>
    </xf>
    <xf numFmtId="187" fontId="22" fillId="4" borderId="11" xfId="62" applyNumberFormat="1" applyFont="1" applyFill="1" applyBorder="1" applyAlignment="1">
      <alignment vertical="center"/>
      <protection/>
    </xf>
    <xf numFmtId="0" fontId="22" fillId="4" borderId="50" xfId="0" applyFont="1" applyFill="1" applyBorder="1" applyAlignment="1">
      <alignment horizontal="center" vertical="center" shrinkToFit="1"/>
    </xf>
    <xf numFmtId="0" fontId="28" fillId="24" borderId="48" xfId="0" applyFont="1" applyFill="1" applyBorder="1" applyAlignment="1">
      <alignment vertical="center" shrinkToFit="1"/>
    </xf>
    <xf numFmtId="0" fontId="28" fillId="24" borderId="44" xfId="0" applyFont="1" applyFill="1" applyBorder="1" applyAlignment="1">
      <alignment vertical="center" shrinkToFit="1"/>
    </xf>
    <xf numFmtId="0" fontId="28" fillId="0" borderId="48" xfId="0" applyFont="1" applyFill="1" applyBorder="1" applyAlignment="1">
      <alignment vertical="center" shrinkToFit="1"/>
    </xf>
    <xf numFmtId="0" fontId="28" fillId="0" borderId="44" xfId="0" applyFont="1" applyBorder="1" applyAlignment="1">
      <alignment vertical="center" shrinkToFit="1"/>
    </xf>
    <xf numFmtId="0" fontId="22" fillId="21" borderId="44" xfId="0" applyFont="1" applyFill="1" applyBorder="1" applyAlignment="1">
      <alignment horizontal="center" vertical="center" shrinkToFit="1"/>
    </xf>
    <xf numFmtId="0" fontId="28" fillId="21" borderId="51" xfId="0" applyFont="1" applyFill="1" applyBorder="1" applyAlignment="1">
      <alignment vertical="center" shrinkToFit="1"/>
    </xf>
    <xf numFmtId="0" fontId="22" fillId="5" borderId="52" xfId="0" applyFont="1" applyFill="1" applyBorder="1" applyAlignment="1">
      <alignment horizontal="center" vertical="center" shrinkToFit="1"/>
    </xf>
    <xf numFmtId="0" fontId="22" fillId="4" borderId="26" xfId="0" applyFont="1" applyFill="1" applyBorder="1" applyAlignment="1">
      <alignment horizontal="center" vertical="center" shrinkToFit="1"/>
    </xf>
    <xf numFmtId="0" fontId="22" fillId="24" borderId="18" xfId="0" applyFont="1" applyFill="1" applyBorder="1" applyAlignment="1">
      <alignment vertical="center" shrinkToFit="1"/>
    </xf>
    <xf numFmtId="0" fontId="22" fillId="0" borderId="18" xfId="0" applyFont="1" applyBorder="1" applyAlignment="1">
      <alignment vertical="center" shrinkToFit="1"/>
    </xf>
    <xf numFmtId="0" fontId="22" fillId="5" borderId="40" xfId="0" applyFont="1" applyFill="1" applyBorder="1" applyAlignment="1">
      <alignment horizontal="center" vertical="center" shrinkToFit="1"/>
    </xf>
    <xf numFmtId="0" fontId="22" fillId="4" borderId="26" xfId="0" applyFont="1" applyFill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4" borderId="53" xfId="0" applyFont="1" applyFill="1" applyBorder="1" applyAlignment="1">
      <alignment vertical="center" shrinkToFit="1"/>
    </xf>
    <xf numFmtId="0" fontId="22" fillId="24" borderId="19" xfId="0" applyFont="1" applyFill="1" applyBorder="1" applyAlignment="1">
      <alignment vertical="center" shrinkToFit="1"/>
    </xf>
    <xf numFmtId="0" fontId="22" fillId="0" borderId="17" xfId="0" applyFont="1" applyFill="1" applyBorder="1" applyAlignment="1">
      <alignment vertical="center" shrinkToFit="1"/>
    </xf>
    <xf numFmtId="0" fontId="22" fillId="0" borderId="17" xfId="0" applyFont="1" applyBorder="1" applyAlignment="1">
      <alignment vertical="center"/>
    </xf>
    <xf numFmtId="0" fontId="22" fillId="5" borderId="54" xfId="0" applyFont="1" applyFill="1" applyBorder="1" applyAlignment="1">
      <alignment vertical="center" shrinkToFit="1"/>
    </xf>
    <xf numFmtId="0" fontId="27" fillId="24" borderId="44" xfId="0" applyFont="1" applyFill="1" applyBorder="1" applyAlignment="1">
      <alignment vertical="center" shrinkToFit="1"/>
    </xf>
    <xf numFmtId="0" fontId="22" fillId="0" borderId="44" xfId="0" applyFont="1" applyBorder="1" applyAlignment="1">
      <alignment vertical="center" shrinkToFit="1"/>
    </xf>
    <xf numFmtId="0" fontId="22" fillId="0" borderId="0" xfId="0" applyFont="1" applyBorder="1" applyAlignment="1">
      <alignment vertical="center"/>
    </xf>
    <xf numFmtId="0" fontId="22" fillId="4" borderId="55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2" fillId="4" borderId="44" xfId="0" applyFont="1" applyFill="1" applyBorder="1" applyAlignment="1">
      <alignment vertical="center" shrinkToFit="1"/>
    </xf>
    <xf numFmtId="0" fontId="22" fillId="21" borderId="40" xfId="0" applyFont="1" applyFill="1" applyBorder="1" applyAlignment="1">
      <alignment vertical="center" shrinkToFit="1"/>
    </xf>
    <xf numFmtId="193" fontId="22" fillId="4" borderId="22" xfId="0" applyNumberFormat="1" applyFont="1" applyFill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56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186" fontId="22" fillId="4" borderId="0" xfId="62" applyNumberFormat="1" applyFont="1" applyFill="1" applyBorder="1" applyAlignment="1">
      <alignment vertical="center"/>
      <protection/>
    </xf>
    <xf numFmtId="0" fontId="22" fillId="4" borderId="0" xfId="0" applyFont="1" applyFill="1" applyBorder="1" applyAlignment="1">
      <alignment horizontal="center" vertical="center"/>
    </xf>
    <xf numFmtId="185" fontId="22" fillId="24" borderId="0" xfId="62" applyNumberFormat="1" applyFont="1" applyFill="1" applyBorder="1" applyAlignment="1">
      <alignment vertical="center"/>
      <protection/>
    </xf>
    <xf numFmtId="186" fontId="22" fillId="24" borderId="0" xfId="62" applyNumberFormat="1" applyFont="1" applyFill="1" applyBorder="1" applyAlignment="1">
      <alignment vertical="center"/>
      <protection/>
    </xf>
    <xf numFmtId="182" fontId="22" fillId="21" borderId="0" xfId="0" applyNumberFormat="1" applyFont="1" applyFill="1" applyBorder="1" applyAlignment="1">
      <alignment vertical="center"/>
    </xf>
    <xf numFmtId="0" fontId="22" fillId="21" borderId="0" xfId="0" applyFont="1" applyFill="1" applyBorder="1" applyAlignment="1">
      <alignment horizontal="center" vertical="center"/>
    </xf>
    <xf numFmtId="181" fontId="22" fillId="21" borderId="0" xfId="0" applyNumberFormat="1" applyFont="1" applyFill="1" applyBorder="1" applyAlignment="1">
      <alignment vertical="center"/>
    </xf>
    <xf numFmtId="186" fontId="22" fillId="21" borderId="0" xfId="0" applyNumberFormat="1" applyFont="1" applyFill="1" applyBorder="1" applyAlignment="1">
      <alignment vertical="center"/>
    </xf>
    <xf numFmtId="182" fontId="22" fillId="24" borderId="0" xfId="0" applyNumberFormat="1" applyFont="1" applyFill="1" applyBorder="1" applyAlignment="1">
      <alignment vertical="center"/>
    </xf>
    <xf numFmtId="185" fontId="22" fillId="5" borderId="0" xfId="62" applyNumberFormat="1" applyFont="1" applyFill="1" applyBorder="1" applyAlignment="1">
      <alignment vertical="center"/>
      <protection/>
    </xf>
    <xf numFmtId="0" fontId="22" fillId="5" borderId="0" xfId="0" applyFont="1" applyFill="1" applyBorder="1" applyAlignment="1">
      <alignment horizontal="center" vertical="center"/>
    </xf>
    <xf numFmtId="191" fontId="22" fillId="4" borderId="0" xfId="62" applyNumberFormat="1" applyFont="1" applyFill="1" applyBorder="1" applyAlignment="1">
      <alignment vertical="center"/>
      <protection/>
    </xf>
    <xf numFmtId="183" fontId="22" fillId="0" borderId="0" xfId="0" applyNumberFormat="1" applyFont="1" applyBorder="1" applyAlignment="1">
      <alignment vertical="center"/>
    </xf>
    <xf numFmtId="182" fontId="22" fillId="0" borderId="0" xfId="0" applyNumberFormat="1" applyFont="1" applyFill="1" applyBorder="1" applyAlignment="1">
      <alignment vertical="center"/>
    </xf>
    <xf numFmtId="186" fontId="22" fillId="5" borderId="0" xfId="62" applyNumberFormat="1" applyFont="1" applyFill="1" applyBorder="1" applyAlignment="1">
      <alignment vertical="center"/>
      <protection/>
    </xf>
    <xf numFmtId="182" fontId="22" fillId="4" borderId="0" xfId="0" applyNumberFormat="1" applyFont="1" applyFill="1" applyBorder="1" applyAlignment="1">
      <alignment vertical="center"/>
    </xf>
    <xf numFmtId="185" fontId="22" fillId="4" borderId="0" xfId="62" applyNumberFormat="1" applyFont="1" applyFill="1" applyBorder="1" applyAlignment="1">
      <alignment vertical="center"/>
      <protection/>
    </xf>
    <xf numFmtId="183" fontId="22" fillId="4" borderId="0" xfId="0" applyNumberFormat="1" applyFont="1" applyFill="1" applyBorder="1" applyAlignment="1">
      <alignment vertical="center"/>
    </xf>
    <xf numFmtId="181" fontId="22" fillId="4" borderId="0" xfId="0" applyNumberFormat="1" applyFont="1" applyFill="1" applyBorder="1" applyAlignment="1">
      <alignment vertical="center"/>
    </xf>
    <xf numFmtId="181" fontId="22" fillId="0" borderId="0" xfId="0" applyNumberFormat="1" applyFont="1" applyBorder="1" applyAlignment="1">
      <alignment vertical="center"/>
    </xf>
    <xf numFmtId="199" fontId="22" fillId="0" borderId="0" xfId="0" applyNumberFormat="1" applyFont="1" applyBorder="1" applyAlignment="1">
      <alignment vertical="center"/>
    </xf>
    <xf numFmtId="185" fontId="22" fillId="4" borderId="0" xfId="0" applyNumberFormat="1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181" fontId="22" fillId="0" borderId="0" xfId="0" applyNumberFormat="1" applyFont="1" applyFill="1" applyBorder="1" applyAlignment="1">
      <alignment vertical="center"/>
    </xf>
    <xf numFmtId="0" fontId="22" fillId="0" borderId="57" xfId="0" applyNumberFormat="1" applyFont="1" applyBorder="1" applyAlignment="1">
      <alignment horizontal="center" vertical="center"/>
    </xf>
    <xf numFmtId="187" fontId="22" fillId="0" borderId="58" xfId="0" applyNumberFormat="1" applyFont="1" applyBorder="1" applyAlignment="1">
      <alignment vertical="center"/>
    </xf>
    <xf numFmtId="193" fontId="22" fillId="0" borderId="59" xfId="0" applyNumberFormat="1" applyFont="1" applyBorder="1" applyAlignment="1">
      <alignment vertical="center"/>
    </xf>
    <xf numFmtId="187" fontId="22" fillId="0" borderId="59" xfId="0" applyNumberFormat="1" applyFont="1" applyBorder="1" applyAlignment="1">
      <alignment vertical="center"/>
    </xf>
    <xf numFmtId="193" fontId="22" fillId="0" borderId="60" xfId="0" applyNumberFormat="1" applyFont="1" applyBorder="1" applyAlignment="1">
      <alignment vertical="center"/>
    </xf>
    <xf numFmtId="188" fontId="22" fillId="4" borderId="58" xfId="0" applyNumberFormat="1" applyFont="1" applyFill="1" applyBorder="1" applyAlignment="1">
      <alignment vertical="center"/>
    </xf>
    <xf numFmtId="185" fontId="22" fillId="4" borderId="23" xfId="62" applyNumberFormat="1" applyFont="1" applyFill="1" applyBorder="1" applyAlignment="1">
      <alignment horizontal="center" vertical="center"/>
      <protection/>
    </xf>
    <xf numFmtId="185" fontId="22" fillId="4" borderId="15" xfId="62" applyNumberFormat="1" applyFont="1" applyFill="1" applyBorder="1" applyAlignment="1">
      <alignment horizontal="center" vertical="center"/>
      <protection/>
    </xf>
    <xf numFmtId="185" fontId="22" fillId="4" borderId="24" xfId="62" applyNumberFormat="1" applyFont="1" applyFill="1" applyBorder="1" applyAlignment="1">
      <alignment horizontal="center" vertical="center"/>
      <protection/>
    </xf>
    <xf numFmtId="189" fontId="22" fillId="5" borderId="27" xfId="62" applyNumberFormat="1" applyFont="1" applyFill="1" applyBorder="1" applyAlignment="1">
      <alignment horizontal="center" vertical="center"/>
      <protection/>
    </xf>
    <xf numFmtId="185" fontId="22" fillId="4" borderId="11" xfId="62" applyNumberFormat="1" applyFont="1" applyFill="1" applyBorder="1" applyAlignment="1">
      <alignment horizontal="center" vertical="center"/>
      <protection/>
    </xf>
    <xf numFmtId="182" fontId="22" fillId="0" borderId="24" xfId="0" applyNumberFormat="1" applyFont="1" applyBorder="1" applyAlignment="1">
      <alignment vertical="center"/>
    </xf>
    <xf numFmtId="189" fontId="22" fillId="5" borderId="47" xfId="62" applyNumberFormat="1" applyFont="1" applyFill="1" applyBorder="1" applyAlignment="1">
      <alignment horizontal="center" vertical="center"/>
      <protection/>
    </xf>
    <xf numFmtId="182" fontId="22" fillId="0" borderId="23" xfId="0" applyNumberFormat="1" applyFont="1" applyBorder="1" applyAlignment="1">
      <alignment vertical="center"/>
    </xf>
    <xf numFmtId="184" fontId="22" fillId="0" borderId="24" xfId="0" applyNumberFormat="1" applyFont="1" applyBorder="1" applyAlignment="1">
      <alignment vertical="center"/>
    </xf>
    <xf numFmtId="187" fontId="22" fillId="4" borderId="50" xfId="62" applyNumberFormat="1" applyFont="1" applyFill="1" applyBorder="1" applyAlignment="1">
      <alignment vertical="center"/>
      <protection/>
    </xf>
    <xf numFmtId="187" fontId="22" fillId="0" borderId="48" xfId="0" applyNumberFormat="1" applyFont="1" applyBorder="1" applyAlignment="1">
      <alignment vertical="center"/>
    </xf>
    <xf numFmtId="187" fontId="22" fillId="21" borderId="48" xfId="0" applyNumberFormat="1" applyFont="1" applyFill="1" applyBorder="1" applyAlignment="1">
      <alignment vertical="center"/>
    </xf>
    <xf numFmtId="187" fontId="22" fillId="21" borderId="52" xfId="0" applyNumberFormat="1" applyFont="1" applyFill="1" applyBorder="1" applyAlignment="1">
      <alignment vertical="center"/>
    </xf>
    <xf numFmtId="187" fontId="22" fillId="24" borderId="48" xfId="62" applyNumberFormat="1" applyFont="1" applyFill="1" applyBorder="1" applyAlignment="1">
      <alignment vertical="center"/>
      <protection/>
    </xf>
    <xf numFmtId="187" fontId="22" fillId="5" borderId="52" xfId="62" applyNumberFormat="1" applyFont="1" applyFill="1" applyBorder="1" applyAlignment="1">
      <alignment vertical="center"/>
      <protection/>
    </xf>
    <xf numFmtId="187" fontId="22" fillId="0" borderId="52" xfId="0" applyNumberFormat="1" applyFont="1" applyBorder="1" applyAlignment="1">
      <alignment vertical="center"/>
    </xf>
    <xf numFmtId="187" fontId="22" fillId="4" borderId="53" xfId="62" applyNumberFormat="1" applyFont="1" applyFill="1" applyBorder="1" applyAlignment="1">
      <alignment vertical="center"/>
      <protection/>
    </xf>
    <xf numFmtId="187" fontId="22" fillId="0" borderId="17" xfId="0" applyNumberFormat="1" applyFont="1" applyBorder="1" applyAlignment="1">
      <alignment vertical="center"/>
    </xf>
    <xf numFmtId="193" fontId="22" fillId="0" borderId="17" xfId="0" applyNumberFormat="1" applyFont="1" applyBorder="1" applyAlignment="1">
      <alignment vertical="center"/>
    </xf>
    <xf numFmtId="187" fontId="22" fillId="21" borderId="17" xfId="0" applyNumberFormat="1" applyFont="1" applyFill="1" applyBorder="1" applyAlignment="1">
      <alignment vertical="center"/>
    </xf>
    <xf numFmtId="186" fontId="22" fillId="21" borderId="54" xfId="0" applyNumberFormat="1" applyFont="1" applyFill="1" applyBorder="1" applyAlignment="1">
      <alignment vertical="center"/>
    </xf>
    <xf numFmtId="187" fontId="22" fillId="24" borderId="17" xfId="62" applyNumberFormat="1" applyFont="1" applyFill="1" applyBorder="1" applyAlignment="1">
      <alignment vertical="center"/>
      <protection/>
    </xf>
    <xf numFmtId="187" fontId="22" fillId="5" borderId="54" xfId="62" applyNumberFormat="1" applyFont="1" applyFill="1" applyBorder="1" applyAlignment="1">
      <alignment vertical="center"/>
      <protection/>
    </xf>
    <xf numFmtId="187" fontId="22" fillId="0" borderId="54" xfId="0" applyNumberFormat="1" applyFont="1" applyBorder="1" applyAlignment="1">
      <alignment vertical="center"/>
    </xf>
    <xf numFmtId="187" fontId="22" fillId="24" borderId="48" xfId="0" applyNumberFormat="1" applyFont="1" applyFill="1" applyBorder="1" applyAlignment="1">
      <alignment vertical="center"/>
    </xf>
    <xf numFmtId="187" fontId="22" fillId="24" borderId="17" xfId="0" applyNumberFormat="1" applyFont="1" applyFill="1" applyBorder="1" applyAlignment="1">
      <alignment vertical="center"/>
    </xf>
    <xf numFmtId="187" fontId="22" fillId="4" borderId="16" xfId="62" applyNumberFormat="1" applyFont="1" applyFill="1" applyBorder="1" applyAlignment="1">
      <alignment vertical="center"/>
      <protection/>
    </xf>
    <xf numFmtId="187" fontId="22" fillId="4" borderId="48" xfId="0" applyNumberFormat="1" applyFont="1" applyFill="1" applyBorder="1" applyAlignment="1">
      <alignment vertical="center"/>
    </xf>
    <xf numFmtId="187" fontId="22" fillId="4" borderId="12" xfId="62" applyNumberFormat="1" applyFont="1" applyFill="1" applyBorder="1" applyAlignment="1">
      <alignment vertical="center"/>
      <protection/>
    </xf>
    <xf numFmtId="185" fontId="22" fillId="4" borderId="17" xfId="62" applyNumberFormat="1" applyFont="1" applyFill="1" applyBorder="1" applyAlignment="1">
      <alignment horizontal="center" vertical="center"/>
      <protection/>
    </xf>
    <xf numFmtId="187" fontId="22" fillId="4" borderId="17" xfId="0" applyNumberFormat="1" applyFont="1" applyFill="1" applyBorder="1" applyAlignment="1">
      <alignment vertical="center"/>
    </xf>
    <xf numFmtId="186" fontId="22" fillId="0" borderId="17" xfId="0" applyNumberFormat="1" applyFont="1" applyBorder="1" applyAlignment="1">
      <alignment vertical="center"/>
    </xf>
    <xf numFmtId="193" fontId="22" fillId="0" borderId="17" xfId="0" applyNumberFormat="1" applyFont="1" applyFill="1" applyBorder="1" applyAlignment="1">
      <alignment vertical="center"/>
    </xf>
    <xf numFmtId="187" fontId="22" fillId="0" borderId="17" xfId="0" applyNumberFormat="1" applyFont="1" applyFill="1" applyBorder="1" applyAlignment="1">
      <alignment vertical="center"/>
    </xf>
    <xf numFmtId="186" fontId="22" fillId="0" borderId="17" xfId="0" applyNumberFormat="1" applyFont="1" applyFill="1" applyBorder="1" applyAlignment="1">
      <alignment vertical="center"/>
    </xf>
    <xf numFmtId="186" fontId="22" fillId="5" borderId="54" xfId="62" applyNumberFormat="1" applyFont="1" applyFill="1" applyBorder="1" applyAlignment="1">
      <alignment vertical="center"/>
      <protection/>
    </xf>
    <xf numFmtId="193" fontId="22" fillId="4" borderId="48" xfId="62" applyNumberFormat="1" applyFont="1" applyFill="1" applyBorder="1" applyAlignment="1">
      <alignment vertical="center"/>
      <protection/>
    </xf>
    <xf numFmtId="193" fontId="22" fillId="4" borderId="17" xfId="62" applyNumberFormat="1" applyFont="1" applyFill="1" applyBorder="1" applyAlignment="1">
      <alignment vertical="center"/>
      <protection/>
    </xf>
    <xf numFmtId="187" fontId="22" fillId="5" borderId="57" xfId="62" applyNumberFormat="1" applyFont="1" applyFill="1" applyBorder="1" applyAlignment="1">
      <alignment vertical="center"/>
      <protection/>
    </xf>
    <xf numFmtId="193" fontId="22" fillId="4" borderId="50" xfId="62" applyNumberFormat="1" applyFont="1" applyFill="1" applyBorder="1" applyAlignment="1">
      <alignment vertical="center"/>
      <protection/>
    </xf>
    <xf numFmtId="186" fontId="22" fillId="0" borderId="48" xfId="0" applyNumberFormat="1" applyFont="1" applyBorder="1" applyAlignment="1">
      <alignment vertical="center"/>
    </xf>
    <xf numFmtId="185" fontId="22" fillId="0" borderId="48" xfId="62" applyNumberFormat="1" applyFont="1" applyFill="1" applyBorder="1" applyAlignment="1">
      <alignment horizontal="center" vertical="center"/>
      <protection/>
    </xf>
    <xf numFmtId="193" fontId="22" fillId="0" borderId="48" xfId="0" applyNumberFormat="1" applyFont="1" applyBorder="1" applyAlignment="1">
      <alignment vertical="center"/>
    </xf>
    <xf numFmtId="187" fontId="22" fillId="5" borderId="49" xfId="62" applyNumberFormat="1" applyFont="1" applyFill="1" applyBorder="1" applyAlignment="1">
      <alignment vertical="center"/>
      <protection/>
    </xf>
    <xf numFmtId="185" fontId="22" fillId="4" borderId="53" xfId="62" applyNumberFormat="1" applyFont="1" applyFill="1" applyBorder="1" applyAlignment="1">
      <alignment horizontal="center" vertical="center"/>
      <protection/>
    </xf>
    <xf numFmtId="185" fontId="22" fillId="0" borderId="17" xfId="62" applyNumberFormat="1" applyFont="1" applyFill="1" applyBorder="1" applyAlignment="1">
      <alignment horizontal="center" vertical="center"/>
      <protection/>
    </xf>
    <xf numFmtId="188" fontId="22" fillId="0" borderId="17" xfId="0" applyNumberFormat="1" applyFont="1" applyFill="1" applyBorder="1" applyAlignment="1">
      <alignment vertical="center"/>
    </xf>
    <xf numFmtId="187" fontId="22" fillId="21" borderId="54" xfId="0" applyNumberFormat="1" applyFont="1" applyFill="1" applyBorder="1" applyAlignment="1">
      <alignment vertical="center"/>
    </xf>
    <xf numFmtId="187" fontId="22" fillId="4" borderId="22" xfId="0" applyNumberFormat="1" applyFont="1" applyFill="1" applyBorder="1" applyAlignment="1">
      <alignment vertical="center"/>
    </xf>
    <xf numFmtId="187" fontId="22" fillId="4" borderId="50" xfId="0" applyNumberFormat="1" applyFont="1" applyFill="1" applyBorder="1" applyAlignment="1">
      <alignment vertical="center"/>
    </xf>
    <xf numFmtId="187" fontId="22" fillId="4" borderId="53" xfId="0" applyNumberFormat="1" applyFont="1" applyFill="1" applyBorder="1" applyAlignment="1">
      <alignment vertical="center"/>
    </xf>
    <xf numFmtId="193" fontId="22" fillId="0" borderId="52" xfId="0" applyNumberFormat="1" applyFont="1" applyBorder="1" applyAlignment="1">
      <alignment vertical="center"/>
    </xf>
    <xf numFmtId="0" fontId="22" fillId="4" borderId="53" xfId="0" applyFont="1" applyFill="1" applyBorder="1" applyAlignment="1">
      <alignment horizontal="center" vertical="center"/>
    </xf>
    <xf numFmtId="193" fontId="22" fillId="0" borderId="54" xfId="0" applyNumberFormat="1" applyFont="1" applyBorder="1" applyAlignment="1">
      <alignment vertical="center"/>
    </xf>
    <xf numFmtId="193" fontId="22" fillId="0" borderId="48" xfId="0" applyNumberFormat="1" applyFont="1" applyFill="1" applyBorder="1" applyAlignment="1">
      <alignment vertical="center"/>
    </xf>
    <xf numFmtId="188" fontId="22" fillId="0" borderId="48" xfId="0" applyNumberFormat="1" applyFont="1" applyFill="1" applyBorder="1" applyAlignment="1">
      <alignment vertical="center"/>
    </xf>
    <xf numFmtId="193" fontId="22" fillId="0" borderId="52" xfId="0" applyNumberFormat="1" applyFont="1" applyFill="1" applyBorder="1" applyAlignment="1">
      <alignment vertical="center"/>
    </xf>
    <xf numFmtId="188" fontId="22" fillId="0" borderId="53" xfId="0" applyNumberFormat="1" applyFont="1" applyBorder="1" applyAlignment="1">
      <alignment vertical="center"/>
    </xf>
    <xf numFmtId="181" fontId="22" fillId="0" borderId="17" xfId="0" applyNumberFormat="1" applyFont="1" applyFill="1" applyBorder="1" applyAlignment="1">
      <alignment horizontal="center" vertical="center"/>
    </xf>
    <xf numFmtId="188" fontId="22" fillId="0" borderId="54" xfId="0" applyNumberFormat="1" applyFont="1" applyFill="1" applyBorder="1" applyAlignment="1">
      <alignment vertical="center"/>
    </xf>
    <xf numFmtId="0" fontId="22" fillId="24" borderId="17" xfId="0" applyFont="1" applyFill="1" applyBorder="1" applyAlignment="1">
      <alignment vertical="center" shrinkToFit="1"/>
    </xf>
    <xf numFmtId="0" fontId="22" fillId="24" borderId="61" xfId="0" applyFont="1" applyFill="1" applyBorder="1" applyAlignment="1">
      <alignment vertical="center" shrinkToFit="1"/>
    </xf>
    <xf numFmtId="0" fontId="22" fillId="24" borderId="48" xfId="0" applyFont="1" applyFill="1" applyBorder="1" applyAlignment="1">
      <alignment vertical="center" shrinkToFit="1"/>
    </xf>
    <xf numFmtId="0" fontId="22" fillId="0" borderId="61" xfId="0" applyFont="1" applyBorder="1" applyAlignment="1">
      <alignment vertical="center" shrinkToFit="1"/>
    </xf>
    <xf numFmtId="0" fontId="22" fillId="0" borderId="48" xfId="0" applyFont="1" applyBorder="1" applyAlignment="1">
      <alignment vertical="center" shrinkToFit="1"/>
    </xf>
    <xf numFmtId="176" fontId="22" fillId="0" borderId="62" xfId="0" applyNumberFormat="1" applyFont="1" applyBorder="1" applyAlignment="1">
      <alignment vertical="center" shrinkToFit="1"/>
    </xf>
    <xf numFmtId="0" fontId="22" fillId="0" borderId="63" xfId="0" applyFont="1" applyBorder="1" applyAlignment="1">
      <alignment vertical="center"/>
    </xf>
    <xf numFmtId="0" fontId="22" fillId="0" borderId="48" xfId="0" applyFont="1" applyBorder="1" applyAlignment="1">
      <alignment vertical="center"/>
    </xf>
    <xf numFmtId="0" fontId="22" fillId="21" borderId="17" xfId="0" applyFont="1" applyFill="1" applyBorder="1" applyAlignment="1">
      <alignment vertical="center" shrinkToFit="1"/>
    </xf>
    <xf numFmtId="0" fontId="22" fillId="21" borderId="61" xfId="0" applyFont="1" applyFill="1" applyBorder="1" applyAlignment="1">
      <alignment vertical="center" shrinkToFit="1"/>
    </xf>
    <xf numFmtId="0" fontId="22" fillId="21" borderId="18" xfId="0" applyFont="1" applyFill="1" applyBorder="1" applyAlignment="1">
      <alignment vertical="center" shrinkToFit="1"/>
    </xf>
    <xf numFmtId="0" fontId="22" fillId="21" borderId="54" xfId="0" applyFont="1" applyFill="1" applyBorder="1" applyAlignment="1">
      <alignment vertical="center" shrinkToFit="1"/>
    </xf>
    <xf numFmtId="0" fontId="22" fillId="21" borderId="64" xfId="0" applyFont="1" applyFill="1" applyBorder="1" applyAlignment="1">
      <alignment vertical="center" shrinkToFit="1"/>
    </xf>
    <xf numFmtId="0" fontId="22" fillId="21" borderId="52" xfId="0" applyFont="1" applyFill="1" applyBorder="1" applyAlignment="1">
      <alignment vertical="center" shrinkToFit="1"/>
    </xf>
    <xf numFmtId="0" fontId="22" fillId="24" borderId="59" xfId="0" applyFont="1" applyFill="1" applyBorder="1" applyAlignment="1">
      <alignment vertical="center" shrinkToFit="1"/>
    </xf>
    <xf numFmtId="0" fontId="22" fillId="24" borderId="65" xfId="0" applyFont="1" applyFill="1" applyBorder="1" applyAlignment="1">
      <alignment vertical="center" shrinkToFit="1"/>
    </xf>
    <xf numFmtId="0" fontId="22" fillId="24" borderId="66" xfId="0" applyFont="1" applyFill="1" applyBorder="1" applyAlignment="1">
      <alignment vertical="center" shrinkToFit="1"/>
    </xf>
    <xf numFmtId="176" fontId="22" fillId="0" borderId="17" xfId="0" applyNumberFormat="1" applyFont="1" applyBorder="1" applyAlignment="1">
      <alignment vertical="center" shrinkToFit="1"/>
    </xf>
    <xf numFmtId="0" fontId="22" fillId="0" borderId="61" xfId="0" applyFont="1" applyBorder="1" applyAlignment="1">
      <alignment vertical="center"/>
    </xf>
    <xf numFmtId="0" fontId="22" fillId="5" borderId="64" xfId="0" applyFont="1" applyFill="1" applyBorder="1" applyAlignment="1">
      <alignment horizontal="center" vertical="center"/>
    </xf>
    <xf numFmtId="0" fontId="22" fillId="5" borderId="40" xfId="0" applyFont="1" applyFill="1" applyBorder="1" applyAlignment="1">
      <alignment horizontal="center" vertical="center"/>
    </xf>
    <xf numFmtId="0" fontId="22" fillId="5" borderId="52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vertical="center" shrinkToFit="1"/>
    </xf>
    <xf numFmtId="0" fontId="22" fillId="0" borderId="18" xfId="0" applyFont="1" applyFill="1" applyBorder="1" applyAlignment="1">
      <alignment vertical="center" shrinkToFit="1"/>
    </xf>
    <xf numFmtId="0" fontId="22" fillId="0" borderId="48" xfId="0" applyFont="1" applyFill="1" applyBorder="1" applyAlignment="1">
      <alignment vertical="center" shrinkToFit="1"/>
    </xf>
    <xf numFmtId="0" fontId="22" fillId="0" borderId="17" xfId="0" applyFont="1" applyBorder="1" applyAlignment="1">
      <alignment vertical="center" shrinkToFit="1"/>
    </xf>
    <xf numFmtId="0" fontId="22" fillId="0" borderId="44" xfId="0" applyFont="1" applyBorder="1" applyAlignment="1">
      <alignment vertical="center"/>
    </xf>
    <xf numFmtId="0" fontId="22" fillId="4" borderId="17" xfId="0" applyFont="1" applyFill="1" applyBorder="1" applyAlignment="1">
      <alignment vertical="center" shrinkToFit="1"/>
    </xf>
    <xf numFmtId="0" fontId="22" fillId="4" borderId="18" xfId="0" applyFont="1" applyFill="1" applyBorder="1" applyAlignment="1">
      <alignment vertical="center"/>
    </xf>
    <xf numFmtId="0" fontId="22" fillId="4" borderId="61" xfId="0" applyFont="1" applyFill="1" applyBorder="1" applyAlignment="1">
      <alignment vertical="center"/>
    </xf>
    <xf numFmtId="176" fontId="22" fillId="21" borderId="62" xfId="0" applyNumberFormat="1" applyFont="1" applyFill="1" applyBorder="1" applyAlignment="1">
      <alignment vertical="center" shrinkToFit="1"/>
    </xf>
    <xf numFmtId="0" fontId="22" fillId="21" borderId="67" xfId="0" applyFont="1" applyFill="1" applyBorder="1" applyAlignment="1">
      <alignment vertical="center" shrinkToFit="1"/>
    </xf>
    <xf numFmtId="0" fontId="22" fillId="21" borderId="68" xfId="0" applyFont="1" applyFill="1" applyBorder="1" applyAlignment="1">
      <alignment horizontal="left" vertical="center"/>
    </xf>
    <xf numFmtId="176" fontId="22" fillId="5" borderId="54" xfId="0" applyNumberFormat="1" applyFont="1" applyFill="1" applyBorder="1" applyAlignment="1">
      <alignment vertical="center" shrinkToFit="1"/>
    </xf>
    <xf numFmtId="0" fontId="22" fillId="5" borderId="41" xfId="0" applyFont="1" applyFill="1" applyBorder="1" applyAlignment="1">
      <alignment horizontal="center" vertical="center" shrinkToFit="1"/>
    </xf>
    <xf numFmtId="0" fontId="22" fillId="0" borderId="69" xfId="0" applyFont="1" applyBorder="1" applyAlignment="1">
      <alignment vertical="center"/>
    </xf>
    <xf numFmtId="0" fontId="22" fillId="24" borderId="22" xfId="0" applyFont="1" applyFill="1" applyBorder="1" applyAlignment="1">
      <alignment horizontal="center" vertical="center"/>
    </xf>
    <xf numFmtId="0" fontId="0" fillId="21" borderId="0" xfId="0" applyFill="1" applyBorder="1" applyAlignment="1">
      <alignment vertical="center"/>
    </xf>
    <xf numFmtId="187" fontId="22" fillId="24" borderId="22" xfId="62" applyNumberFormat="1" applyFont="1" applyFill="1" applyBorder="1" applyAlignment="1">
      <alignment vertical="center"/>
      <protection/>
    </xf>
    <xf numFmtId="0" fontId="22" fillId="4" borderId="18" xfId="0" applyFont="1" applyFill="1" applyBorder="1" applyAlignment="1">
      <alignment horizontal="center" vertical="center"/>
    </xf>
    <xf numFmtId="0" fontId="22" fillId="4" borderId="61" xfId="0" applyFont="1" applyFill="1" applyBorder="1" applyAlignment="1">
      <alignment horizontal="center" vertical="center"/>
    </xf>
    <xf numFmtId="0" fontId="22" fillId="4" borderId="70" xfId="0" applyFont="1" applyFill="1" applyBorder="1" applyAlignment="1">
      <alignment horizontal="center" vertical="center"/>
    </xf>
    <xf numFmtId="0" fontId="22" fillId="0" borderId="71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56" xfId="0" applyFont="1" applyBorder="1" applyAlignment="1">
      <alignment vertical="center" shrinkToFit="1"/>
    </xf>
    <xf numFmtId="0" fontId="22" fillId="0" borderId="72" xfId="0" applyFont="1" applyBorder="1" applyAlignment="1">
      <alignment vertical="center"/>
    </xf>
    <xf numFmtId="0" fontId="22" fillId="5" borderId="64" xfId="0" applyFont="1" applyFill="1" applyBorder="1" applyAlignment="1">
      <alignment horizontal="center" vertical="center" shrinkToFit="1"/>
    </xf>
    <xf numFmtId="0" fontId="22" fillId="5" borderId="51" xfId="0" applyFont="1" applyFill="1" applyBorder="1" applyAlignment="1">
      <alignment horizontal="center" vertical="center" shrinkToFit="1"/>
    </xf>
    <xf numFmtId="0" fontId="22" fillId="0" borderId="65" xfId="0" applyFont="1" applyBorder="1" applyAlignment="1">
      <alignment vertical="center"/>
    </xf>
    <xf numFmtId="0" fontId="22" fillId="0" borderId="66" xfId="0" applyFont="1" applyBorder="1" applyAlignment="1">
      <alignment vertical="center"/>
    </xf>
    <xf numFmtId="176" fontId="22" fillId="0" borderId="73" xfId="0" applyNumberFormat="1" applyFont="1" applyBorder="1" applyAlignment="1">
      <alignment vertical="center" shrinkToFit="1"/>
    </xf>
    <xf numFmtId="0" fontId="22" fillId="0" borderId="74" xfId="0" applyFont="1" applyBorder="1" applyAlignment="1">
      <alignment vertical="center"/>
    </xf>
    <xf numFmtId="0" fontId="22" fillId="0" borderId="59" xfId="0" applyFont="1" applyBorder="1" applyAlignment="1">
      <alignment vertical="center"/>
    </xf>
    <xf numFmtId="0" fontId="22" fillId="0" borderId="63" xfId="0" applyFont="1" applyBorder="1" applyAlignment="1">
      <alignment vertical="center" shrinkToFit="1"/>
    </xf>
    <xf numFmtId="0" fontId="22" fillId="0" borderId="75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22" fillId="0" borderId="74" xfId="0" applyFont="1" applyBorder="1" applyAlignment="1">
      <alignment vertical="center" shrinkToFit="1"/>
    </xf>
    <xf numFmtId="0" fontId="22" fillId="0" borderId="40" xfId="0" applyFont="1" applyBorder="1" applyAlignment="1">
      <alignment vertical="center" shrinkToFit="1"/>
    </xf>
    <xf numFmtId="0" fontId="22" fillId="0" borderId="52" xfId="0" applyFont="1" applyBorder="1" applyAlignment="1">
      <alignment vertical="center"/>
    </xf>
    <xf numFmtId="0" fontId="22" fillId="0" borderId="60" xfId="0" applyFont="1" applyBorder="1" applyAlignment="1">
      <alignment vertical="center"/>
    </xf>
    <xf numFmtId="0" fontId="22" fillId="0" borderId="35" xfId="0" applyFont="1" applyBorder="1" applyAlignment="1">
      <alignment vertical="center" shrinkToFit="1"/>
    </xf>
    <xf numFmtId="0" fontId="22" fillId="0" borderId="26" xfId="0" applyFont="1" applyBorder="1" applyAlignment="1">
      <alignment vertical="center" shrinkToFit="1"/>
    </xf>
    <xf numFmtId="0" fontId="22" fillId="0" borderId="50" xfId="0" applyFont="1" applyBorder="1" applyAlignment="1">
      <alignment vertical="center"/>
    </xf>
    <xf numFmtId="0" fontId="22" fillId="0" borderId="67" xfId="0" applyFont="1" applyBorder="1" applyAlignment="1">
      <alignment vertical="center"/>
    </xf>
    <xf numFmtId="176" fontId="22" fillId="4" borderId="53" xfId="0" applyNumberFormat="1" applyFont="1" applyFill="1" applyBorder="1" applyAlignment="1">
      <alignment vertical="center" shrinkToFit="1"/>
    </xf>
    <xf numFmtId="0" fontId="22" fillId="4" borderId="26" xfId="0" applyFont="1" applyFill="1" applyBorder="1" applyAlignment="1">
      <alignment vertical="center" shrinkToFit="1"/>
    </xf>
    <xf numFmtId="0" fontId="22" fillId="4" borderId="56" xfId="0" applyFont="1" applyFill="1" applyBorder="1" applyAlignment="1">
      <alignment vertical="center"/>
    </xf>
    <xf numFmtId="0" fontId="22" fillId="0" borderId="76" xfId="0" applyFont="1" applyBorder="1" applyAlignment="1">
      <alignment vertical="center" shrinkToFit="1"/>
    </xf>
    <xf numFmtId="0" fontId="22" fillId="0" borderId="45" xfId="0" applyFont="1" applyBorder="1" applyAlignment="1">
      <alignment vertical="center" shrinkToFit="1"/>
    </xf>
    <xf numFmtId="0" fontId="22" fillId="0" borderId="54" xfId="0" applyFont="1" applyBorder="1" applyAlignment="1">
      <alignment vertical="center" shrinkToFit="1"/>
    </xf>
    <xf numFmtId="0" fontId="22" fillId="4" borderId="62" xfId="0" applyFont="1" applyFill="1" applyBorder="1" applyAlignment="1">
      <alignment vertical="center" shrinkToFit="1"/>
    </xf>
    <xf numFmtId="0" fontId="22" fillId="4" borderId="74" xfId="0" applyFont="1" applyFill="1" applyBorder="1" applyAlignment="1">
      <alignment vertical="center" shrinkToFit="1"/>
    </xf>
    <xf numFmtId="0" fontId="22" fillId="4" borderId="74" xfId="0" applyFont="1" applyFill="1" applyBorder="1" applyAlignment="1">
      <alignment vertical="center"/>
    </xf>
    <xf numFmtId="0" fontId="22" fillId="4" borderId="28" xfId="0" applyFont="1" applyFill="1" applyBorder="1" applyAlignment="1">
      <alignment vertical="center"/>
    </xf>
    <xf numFmtId="0" fontId="22" fillId="4" borderId="61" xfId="0" applyFont="1" applyFill="1" applyBorder="1" applyAlignment="1">
      <alignment vertical="center" shrinkToFit="1"/>
    </xf>
    <xf numFmtId="0" fontId="22" fillId="4" borderId="44" xfId="0" applyFont="1" applyFill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32" xfId="0" applyFont="1" applyBorder="1" applyAlignment="1">
      <alignment vertical="center" shrinkToFit="1"/>
    </xf>
    <xf numFmtId="0" fontId="22" fillId="0" borderId="71" xfId="0" applyFont="1" applyBorder="1" applyAlignment="1">
      <alignment vertical="center" shrinkToFit="1"/>
    </xf>
    <xf numFmtId="0" fontId="22" fillId="0" borderId="68" xfId="0" applyFont="1" applyBorder="1" applyAlignment="1">
      <alignment vertical="center"/>
    </xf>
    <xf numFmtId="176" fontId="22" fillId="0" borderId="53" xfId="0" applyNumberFormat="1" applyFont="1" applyBorder="1" applyAlignment="1">
      <alignment vertical="center" shrinkToFit="1"/>
    </xf>
    <xf numFmtId="0" fontId="22" fillId="0" borderId="55" xfId="0" applyFont="1" applyBorder="1" applyAlignment="1">
      <alignment vertical="center" shrinkToFit="1"/>
    </xf>
    <xf numFmtId="0" fontId="22" fillId="0" borderId="43" xfId="0" applyFont="1" applyBorder="1" applyAlignment="1">
      <alignment vertical="center"/>
    </xf>
    <xf numFmtId="0" fontId="22" fillId="4" borderId="42" xfId="0" applyFont="1" applyFill="1" applyBorder="1" applyAlignment="1">
      <alignment horizontal="center" vertical="center" shrinkToFit="1"/>
    </xf>
    <xf numFmtId="0" fontId="22" fillId="0" borderId="19" xfId="0" applyFont="1" applyBorder="1" applyAlignment="1">
      <alignment vertical="center" shrinkToFit="1"/>
    </xf>
    <xf numFmtId="0" fontId="22" fillId="21" borderId="19" xfId="0" applyFont="1" applyFill="1" applyBorder="1" applyAlignment="1">
      <alignment horizontal="center" vertical="center" shrinkToFit="1"/>
    </xf>
    <xf numFmtId="0" fontId="22" fillId="21" borderId="41" xfId="0" applyFont="1" applyFill="1" applyBorder="1" applyAlignment="1">
      <alignment vertical="center" shrinkToFit="1"/>
    </xf>
    <xf numFmtId="0" fontId="22" fillId="24" borderId="68" xfId="0" applyFont="1" applyFill="1" applyBorder="1" applyAlignment="1">
      <alignment vertical="center" shrinkToFit="1"/>
    </xf>
    <xf numFmtId="0" fontId="22" fillId="5" borderId="41" xfId="0" applyFont="1" applyFill="1" applyBorder="1" applyAlignment="1">
      <alignment horizontal="center" vertical="center"/>
    </xf>
    <xf numFmtId="176" fontId="22" fillId="21" borderId="54" xfId="0" applyNumberFormat="1" applyFont="1" applyFill="1" applyBorder="1" applyAlignment="1">
      <alignment vertical="center" shrinkToFit="1"/>
    </xf>
    <xf numFmtId="0" fontId="22" fillId="21" borderId="41" xfId="0" applyFont="1" applyFill="1" applyBorder="1" applyAlignment="1">
      <alignment horizontal="left" vertical="center"/>
    </xf>
    <xf numFmtId="0" fontId="22" fillId="0" borderId="54" xfId="0" applyFont="1" applyFill="1" applyBorder="1" applyAlignment="1">
      <alignment vertical="center" shrinkToFit="1"/>
    </xf>
    <xf numFmtId="0" fontId="22" fillId="0" borderId="64" xfId="0" applyFont="1" applyBorder="1" applyAlignment="1">
      <alignment vertical="center" shrinkToFit="1"/>
    </xf>
    <xf numFmtId="0" fontId="22" fillId="0" borderId="51" xfId="0" applyFont="1" applyBorder="1" applyAlignment="1">
      <alignment vertical="center"/>
    </xf>
    <xf numFmtId="0" fontId="22" fillId="4" borderId="18" xfId="0" applyFont="1" applyFill="1" applyBorder="1" applyAlignment="1">
      <alignment vertical="center" shrinkToFit="1"/>
    </xf>
    <xf numFmtId="0" fontId="22" fillId="0" borderId="22" xfId="0" applyFont="1" applyBorder="1" applyAlignment="1">
      <alignment vertical="center" shrinkToFit="1"/>
    </xf>
    <xf numFmtId="191" fontId="22" fillId="0" borderId="22" xfId="0" applyNumberFormat="1" applyFont="1" applyBorder="1" applyAlignment="1">
      <alignment vertical="center"/>
    </xf>
    <xf numFmtId="182" fontId="22" fillId="0" borderId="22" xfId="0" applyNumberFormat="1" applyFont="1" applyBorder="1" applyAlignment="1">
      <alignment vertical="center"/>
    </xf>
    <xf numFmtId="0" fontId="32" fillId="0" borderId="22" xfId="0" applyFont="1" applyBorder="1" applyAlignment="1">
      <alignment horizontal="center" vertical="center" shrinkToFit="1"/>
    </xf>
    <xf numFmtId="0" fontId="22" fillId="0" borderId="22" xfId="0" applyFont="1" applyBorder="1" applyAlignment="1">
      <alignment vertical="center"/>
    </xf>
    <xf numFmtId="187" fontId="22" fillId="0" borderId="22" xfId="0" applyNumberFormat="1" applyFont="1" applyBorder="1" applyAlignment="1">
      <alignment vertical="center"/>
    </xf>
    <xf numFmtId="187" fontId="22" fillId="0" borderId="76" xfId="0" applyNumberFormat="1" applyFont="1" applyBorder="1" applyAlignment="1">
      <alignment vertical="center"/>
    </xf>
    <xf numFmtId="187" fontId="22" fillId="0" borderId="70" xfId="0" applyNumberFormat="1" applyFont="1" applyBorder="1" applyAlignment="1">
      <alignment vertical="center"/>
    </xf>
    <xf numFmtId="181" fontId="22" fillId="0" borderId="22" xfId="0" applyNumberFormat="1" applyFont="1" applyBorder="1" applyAlignment="1">
      <alignment vertical="center"/>
    </xf>
    <xf numFmtId="0" fontId="22" fillId="0" borderId="53" xfId="0" applyFont="1" applyFill="1" applyBorder="1" applyAlignment="1">
      <alignment vertical="center" shrinkToFit="1"/>
    </xf>
    <xf numFmtId="0" fontId="22" fillId="0" borderId="55" xfId="0" applyFont="1" applyBorder="1" applyAlignment="1">
      <alignment vertical="center"/>
    </xf>
    <xf numFmtId="181" fontId="22" fillId="0" borderId="23" xfId="0" applyNumberFormat="1" applyFont="1" applyBorder="1" applyAlignment="1">
      <alignment vertical="center"/>
    </xf>
    <xf numFmtId="187" fontId="22" fillId="0" borderId="23" xfId="0" applyNumberFormat="1" applyFont="1" applyBorder="1" applyAlignment="1">
      <alignment vertical="center"/>
    </xf>
    <xf numFmtId="187" fontId="22" fillId="0" borderId="53" xfId="0" applyNumberFormat="1" applyFont="1" applyBorder="1" applyAlignment="1">
      <alignment vertical="center"/>
    </xf>
    <xf numFmtId="187" fontId="22" fillId="0" borderId="50" xfId="0" applyNumberFormat="1" applyFont="1" applyBorder="1" applyAlignment="1">
      <alignment vertical="center"/>
    </xf>
    <xf numFmtId="187" fontId="22" fillId="24" borderId="24" xfId="62" applyNumberFormat="1" applyFont="1" applyFill="1" applyBorder="1" applyAlignment="1">
      <alignment vertical="center"/>
      <protection/>
    </xf>
    <xf numFmtId="185" fontId="22" fillId="24" borderId="24" xfId="62" applyNumberFormat="1" applyFont="1" applyFill="1" applyBorder="1" applyAlignment="1">
      <alignment horizontal="center" vertical="center"/>
      <protection/>
    </xf>
    <xf numFmtId="185" fontId="22" fillId="24" borderId="22" xfId="62" applyNumberFormat="1" applyFont="1" applyFill="1" applyBorder="1" applyAlignment="1">
      <alignment horizontal="center" vertical="center"/>
      <protection/>
    </xf>
    <xf numFmtId="176" fontId="22" fillId="0" borderId="30" xfId="0" applyNumberFormat="1" applyFont="1" applyBorder="1" applyAlignment="1">
      <alignment horizontal="center" vertical="center"/>
    </xf>
    <xf numFmtId="176" fontId="22" fillId="0" borderId="32" xfId="0" applyNumberFormat="1" applyFont="1" applyBorder="1" applyAlignment="1">
      <alignment vertical="center" shrinkToFit="1"/>
    </xf>
    <xf numFmtId="0" fontId="22" fillId="0" borderId="33" xfId="0" applyFont="1" applyBorder="1" applyAlignment="1">
      <alignment vertical="center" shrinkToFit="1"/>
    </xf>
    <xf numFmtId="0" fontId="22" fillId="0" borderId="10" xfId="0" applyFont="1" applyBorder="1" applyAlignment="1">
      <alignment vertical="center" shrinkToFit="1"/>
    </xf>
    <xf numFmtId="0" fontId="22" fillId="0" borderId="21" xfId="0" applyFont="1" applyBorder="1" applyAlignment="1">
      <alignment vertical="center" shrinkToFit="1"/>
    </xf>
    <xf numFmtId="191" fontId="22" fillId="0" borderId="21" xfId="0" applyNumberFormat="1" applyFont="1" applyBorder="1" applyAlignment="1">
      <alignment vertical="center"/>
    </xf>
    <xf numFmtId="182" fontId="22" fillId="0" borderId="21" xfId="0" applyNumberFormat="1" applyFont="1" applyBorder="1" applyAlignment="1">
      <alignment vertical="center"/>
    </xf>
    <xf numFmtId="0" fontId="32" fillId="0" borderId="21" xfId="0" applyFont="1" applyBorder="1" applyAlignment="1">
      <alignment horizontal="center" vertical="center" shrinkToFit="1"/>
    </xf>
    <xf numFmtId="0" fontId="22" fillId="0" borderId="21" xfId="0" applyFont="1" applyBorder="1" applyAlignment="1">
      <alignment vertical="center"/>
    </xf>
    <xf numFmtId="187" fontId="22" fillId="0" borderId="21" xfId="0" applyNumberFormat="1" applyFont="1" applyBorder="1" applyAlignment="1">
      <alignment vertical="center"/>
    </xf>
    <xf numFmtId="187" fontId="22" fillId="0" borderId="32" xfId="0" applyNumberFormat="1" applyFont="1" applyBorder="1" applyAlignment="1">
      <alignment vertical="center"/>
    </xf>
    <xf numFmtId="187" fontId="22" fillId="0" borderId="10" xfId="0" applyNumberFormat="1" applyFont="1" applyBorder="1" applyAlignment="1">
      <alignment vertical="center"/>
    </xf>
    <xf numFmtId="181" fontId="22" fillId="0" borderId="21" xfId="0" applyNumberFormat="1" applyFont="1" applyBorder="1" applyAlignment="1">
      <alignment vertical="center"/>
    </xf>
    <xf numFmtId="187" fontId="22" fillId="0" borderId="36" xfId="0" applyNumberFormat="1" applyFont="1" applyFill="1" applyBorder="1" applyAlignment="1">
      <alignment horizontal="center" vertical="center"/>
    </xf>
    <xf numFmtId="193" fontId="22" fillId="0" borderId="59" xfId="0" applyNumberFormat="1" applyFont="1" applyBorder="1" applyAlignment="1">
      <alignment horizontal="right" vertical="center"/>
    </xf>
    <xf numFmtId="0" fontId="22" fillId="4" borderId="48" xfId="0" applyFont="1" applyFill="1" applyBorder="1" applyAlignment="1">
      <alignment horizontal="center" vertical="center"/>
    </xf>
    <xf numFmtId="0" fontId="22" fillId="4" borderId="76" xfId="0" applyFont="1" applyFill="1" applyBorder="1" applyAlignment="1">
      <alignment horizontal="center" vertical="center"/>
    </xf>
    <xf numFmtId="0" fontId="22" fillId="4" borderId="43" xfId="0" applyFont="1" applyFill="1" applyBorder="1" applyAlignment="1">
      <alignment horizontal="center" vertical="center"/>
    </xf>
    <xf numFmtId="188" fontId="22" fillId="0" borderId="24" xfId="0" applyNumberFormat="1" applyFont="1" applyBorder="1" applyAlignment="1">
      <alignment vertical="center"/>
    </xf>
    <xf numFmtId="193" fontId="22" fillId="4" borderId="24" xfId="62" applyNumberFormat="1" applyFont="1" applyFill="1" applyBorder="1" applyAlignment="1">
      <alignment vertical="center"/>
      <protection/>
    </xf>
    <xf numFmtId="0" fontId="33" fillId="0" borderId="0" xfId="0" applyFont="1" applyBorder="1" applyAlignment="1">
      <alignment vertical="center"/>
    </xf>
    <xf numFmtId="0" fontId="22" fillId="0" borderId="77" xfId="0" applyNumberFormat="1" applyFont="1" applyBorder="1" applyAlignment="1">
      <alignment horizontal="center" vertical="center"/>
    </xf>
    <xf numFmtId="190" fontId="22" fillId="0" borderId="39" xfId="62" applyNumberFormat="1" applyFont="1" applyFill="1" applyBorder="1" applyAlignment="1">
      <alignment horizontal="center" shrinkToFit="1"/>
      <protection/>
    </xf>
    <xf numFmtId="182" fontId="22" fillId="0" borderId="42" xfId="0" applyNumberFormat="1" applyFont="1" applyFill="1" applyBorder="1" applyAlignment="1">
      <alignment vertical="center"/>
    </xf>
    <xf numFmtId="0" fontId="22" fillId="4" borderId="26" xfId="0" applyFont="1" applyFill="1" applyBorder="1" applyAlignment="1">
      <alignment horizontal="center" vertical="center"/>
    </xf>
    <xf numFmtId="0" fontId="22" fillId="4" borderId="5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vertical="center" shrinkToFit="1"/>
    </xf>
    <xf numFmtId="0" fontId="22" fillId="0" borderId="21" xfId="0" applyFont="1" applyFill="1" applyBorder="1" applyAlignment="1">
      <alignment vertical="center" shrinkToFit="1"/>
    </xf>
    <xf numFmtId="191" fontId="22" fillId="0" borderId="21" xfId="0" applyNumberFormat="1" applyFont="1" applyFill="1" applyBorder="1" applyAlignment="1">
      <alignment vertical="center"/>
    </xf>
    <xf numFmtId="182" fontId="22" fillId="0" borderId="21" xfId="0" applyNumberFormat="1" applyFont="1" applyFill="1" applyBorder="1" applyAlignment="1">
      <alignment vertical="center"/>
    </xf>
    <xf numFmtId="0" fontId="22" fillId="0" borderId="21" xfId="0" applyFont="1" applyFill="1" applyBorder="1" applyAlignment="1">
      <alignment horizontal="center" vertical="center" shrinkToFit="1"/>
    </xf>
    <xf numFmtId="176" fontId="22" fillId="0" borderId="30" xfId="0" applyNumberFormat="1" applyFont="1" applyBorder="1" applyAlignment="1">
      <alignment vertical="center" shrinkToFit="1"/>
    </xf>
    <xf numFmtId="0" fontId="22" fillId="0" borderId="20" xfId="0" applyFont="1" applyBorder="1" applyAlignment="1">
      <alignment vertical="center" shrinkToFit="1"/>
    </xf>
    <xf numFmtId="182" fontId="22" fillId="0" borderId="21" xfId="0" applyNumberFormat="1" applyFont="1" applyBorder="1" applyAlignment="1">
      <alignment vertical="center"/>
    </xf>
    <xf numFmtId="0" fontId="31" fillId="0" borderId="24" xfId="0" applyFont="1" applyBorder="1" applyAlignment="1">
      <alignment horizontal="center" vertical="center"/>
    </xf>
    <xf numFmtId="193" fontId="22" fillId="25" borderId="27" xfId="0" applyNumberFormat="1" applyFont="1" applyFill="1" applyBorder="1" applyAlignment="1">
      <alignment vertical="center"/>
    </xf>
    <xf numFmtId="183" fontId="22" fillId="25" borderId="27" xfId="0" applyNumberFormat="1" applyFont="1" applyFill="1" applyBorder="1" applyAlignment="1">
      <alignment vertical="center"/>
    </xf>
    <xf numFmtId="191" fontId="22" fillId="25" borderId="27" xfId="0" applyNumberFormat="1" applyFont="1" applyFill="1" applyBorder="1" applyAlignment="1">
      <alignment vertical="center"/>
    </xf>
    <xf numFmtId="194" fontId="22" fillId="25" borderId="27" xfId="0" applyNumberFormat="1" applyFont="1" applyFill="1" applyBorder="1" applyAlignment="1">
      <alignment vertical="center"/>
    </xf>
    <xf numFmtId="186" fontId="22" fillId="25" borderId="37" xfId="0" applyNumberFormat="1" applyFont="1" applyFill="1" applyBorder="1" applyAlignment="1">
      <alignment vertical="center"/>
    </xf>
    <xf numFmtId="186" fontId="22" fillId="25" borderId="40" xfId="0" applyNumberFormat="1" applyFont="1" applyFill="1" applyBorder="1" applyAlignment="1">
      <alignment vertical="center"/>
    </xf>
    <xf numFmtId="186" fontId="22" fillId="25" borderId="41" xfId="0" applyNumberFormat="1" applyFont="1" applyFill="1" applyBorder="1" applyAlignment="1">
      <alignment vertical="center"/>
    </xf>
    <xf numFmtId="185" fontId="22" fillId="25" borderId="27" xfId="0" applyNumberFormat="1" applyFont="1" applyFill="1" applyBorder="1" applyAlignment="1">
      <alignment vertical="center"/>
    </xf>
    <xf numFmtId="183" fontId="22" fillId="25" borderId="24" xfId="0" applyNumberFormat="1" applyFont="1" applyFill="1" applyBorder="1" applyAlignment="1">
      <alignment vertical="center"/>
    </xf>
    <xf numFmtId="193" fontId="22" fillId="25" borderId="24" xfId="0" applyNumberFormat="1" applyFont="1" applyFill="1" applyBorder="1" applyAlignment="1">
      <alignment vertical="center"/>
    </xf>
    <xf numFmtId="191" fontId="22" fillId="25" borderId="24" xfId="0" applyNumberFormat="1" applyFont="1" applyFill="1" applyBorder="1" applyAlignment="1">
      <alignment vertical="center"/>
    </xf>
    <xf numFmtId="194" fontId="22" fillId="25" borderId="24" xfId="0" applyNumberFormat="1" applyFont="1" applyFill="1" applyBorder="1" applyAlignment="1">
      <alignment vertical="center"/>
    </xf>
    <xf numFmtId="186" fontId="22" fillId="25" borderId="36" xfId="0" applyNumberFormat="1" applyFont="1" applyFill="1" applyBorder="1" applyAlignment="1">
      <alignment vertical="center"/>
    </xf>
    <xf numFmtId="186" fontId="22" fillId="25" borderId="18" xfId="0" applyNumberFormat="1" applyFont="1" applyFill="1" applyBorder="1" applyAlignment="1">
      <alignment vertical="center"/>
    </xf>
    <xf numFmtId="186" fontId="22" fillId="25" borderId="19" xfId="0" applyNumberFormat="1" applyFont="1" applyFill="1" applyBorder="1" applyAlignment="1">
      <alignment vertical="center"/>
    </xf>
    <xf numFmtId="185" fontId="22" fillId="25" borderId="24" xfId="0" applyNumberFormat="1" applyFont="1" applyFill="1" applyBorder="1" applyAlignment="1">
      <alignment vertical="center"/>
    </xf>
    <xf numFmtId="191" fontId="22" fillId="25" borderId="36" xfId="0" applyNumberFormat="1" applyFont="1" applyFill="1" applyBorder="1" applyAlignment="1">
      <alignment vertical="center"/>
    </xf>
    <xf numFmtId="189" fontId="22" fillId="25" borderId="24" xfId="0" applyNumberFormat="1" applyFont="1" applyFill="1" applyBorder="1" applyAlignment="1">
      <alignment vertical="center"/>
    </xf>
    <xf numFmtId="181" fontId="22" fillId="25" borderId="27" xfId="0" applyNumberFormat="1" applyFont="1" applyFill="1" applyBorder="1" applyAlignment="1">
      <alignment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2" fillId="0" borderId="78" xfId="62" applyFont="1" applyBorder="1" applyAlignment="1">
      <alignment horizontal="center" vertical="center"/>
      <protection/>
    </xf>
    <xf numFmtId="0" fontId="0" fillId="0" borderId="57" xfId="0" applyBorder="1" applyAlignment="1">
      <alignment vertical="center"/>
    </xf>
    <xf numFmtId="0" fontId="0" fillId="0" borderId="77" xfId="0" applyBorder="1" applyAlignment="1">
      <alignment vertical="center"/>
    </xf>
    <xf numFmtId="228" fontId="22" fillId="0" borderId="15" xfId="0" applyNumberFormat="1" applyFont="1" applyFill="1" applyBorder="1" applyAlignment="1">
      <alignment horizontal="center" vertical="center"/>
    </xf>
    <xf numFmtId="228" fontId="22" fillId="0" borderId="22" xfId="0" applyNumberFormat="1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2" fillId="0" borderId="15" xfId="62" applyFont="1" applyFill="1" applyBorder="1" applyAlignment="1">
      <alignment horizontal="center" vertical="center"/>
      <protection/>
    </xf>
    <xf numFmtId="0" fontId="22" fillId="0" borderId="15" xfId="0" applyFont="1" applyBorder="1" applyAlignment="1">
      <alignment horizontal="center" vertical="center"/>
    </xf>
    <xf numFmtId="0" fontId="22" fillId="0" borderId="29" xfId="62" applyFont="1" applyFill="1" applyBorder="1" applyAlignment="1">
      <alignment horizontal="center" vertical="center"/>
      <protection/>
    </xf>
    <xf numFmtId="0" fontId="0" fillId="0" borderId="16" xfId="0" applyBorder="1" applyAlignment="1">
      <alignment vertical="center"/>
    </xf>
    <xf numFmtId="0" fontId="0" fillId="0" borderId="79" xfId="0" applyBorder="1" applyAlignment="1">
      <alignment vertical="center"/>
    </xf>
    <xf numFmtId="0" fontId="22" fillId="8" borderId="11" xfId="0" applyFont="1" applyFill="1" applyBorder="1" applyAlignment="1">
      <alignment horizontal="center" vertical="center" wrapText="1" shrinkToFit="1"/>
    </xf>
    <xf numFmtId="0" fontId="22" fillId="8" borderId="21" xfId="0" applyFont="1" applyFill="1" applyBorder="1" applyAlignment="1">
      <alignment horizontal="center" vertical="center" shrinkToFit="1"/>
    </xf>
    <xf numFmtId="0" fontId="22" fillId="8" borderId="15" xfId="0" applyFont="1" applyFill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shrinkToFit="1"/>
    </xf>
    <xf numFmtId="0" fontId="22" fillId="4" borderId="15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 wrapText="1"/>
    </xf>
    <xf numFmtId="0" fontId="22" fillId="0" borderId="31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0" xfId="0" applyBorder="1" applyAlignment="1">
      <alignment vertical="center"/>
    </xf>
    <xf numFmtId="0" fontId="22" fillId="0" borderId="47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22" fillId="0" borderId="47" xfId="0" applyFont="1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4" borderId="11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0" fontId="22" fillId="8" borderId="11" xfId="0" applyFont="1" applyFill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0" fontId="22" fillId="0" borderId="32" xfId="61" applyFont="1" applyFill="1" applyBorder="1" applyAlignment="1">
      <alignment horizontal="center" vertical="center"/>
      <protection/>
    </xf>
    <xf numFmtId="0" fontId="22" fillId="0" borderId="33" xfId="0" applyFont="1" applyFill="1" applyBorder="1" applyAlignment="1">
      <alignment horizontal="center" vertical="center"/>
    </xf>
    <xf numFmtId="0" fontId="22" fillId="0" borderId="80" xfId="0" applyFont="1" applyFill="1" applyBorder="1" applyAlignment="1">
      <alignment horizontal="center" vertical="center"/>
    </xf>
    <xf numFmtId="0" fontId="22" fillId="0" borderId="29" xfId="62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185" fontId="22" fillId="4" borderId="0" xfId="62" applyNumberFormat="1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176" fontId="22" fillId="0" borderId="21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shrinkToFit="1"/>
    </xf>
    <xf numFmtId="0" fontId="33" fillId="0" borderId="32" xfId="0" applyFont="1" applyBorder="1" applyAlignment="1">
      <alignment horizontal="center" vertical="center" shrinkToFit="1"/>
    </xf>
    <xf numFmtId="0" fontId="22" fillId="0" borderId="81" xfId="0" applyFont="1" applyBorder="1" applyAlignment="1">
      <alignment horizontal="center" vertical="center" shrinkToFit="1"/>
    </xf>
    <xf numFmtId="0" fontId="33" fillId="0" borderId="71" xfId="0" applyFont="1" applyBorder="1" applyAlignment="1">
      <alignment horizontal="center" vertical="center" shrinkToFit="1"/>
    </xf>
    <xf numFmtId="0" fontId="22" fillId="0" borderId="26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186" fontId="22" fillId="24" borderId="0" xfId="62" applyNumberFormat="1" applyFont="1" applyFill="1" applyBorder="1" applyAlignment="1">
      <alignment vertical="center"/>
      <protection/>
    </xf>
    <xf numFmtId="185" fontId="22" fillId="24" borderId="0" xfId="62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2" fillId="24" borderId="0" xfId="0" applyFont="1" applyFill="1" applyBorder="1" applyAlignment="1">
      <alignment horizontal="center" vertical="center"/>
    </xf>
    <xf numFmtId="0" fontId="22" fillId="24" borderId="25" xfId="0" applyFont="1" applyFill="1" applyBorder="1" applyAlignment="1">
      <alignment horizontal="center" vertical="center"/>
    </xf>
    <xf numFmtId="187" fontId="22" fillId="24" borderId="25" xfId="0" applyNumberFormat="1" applyFont="1" applyFill="1" applyBorder="1" applyAlignment="1">
      <alignment vertical="center"/>
    </xf>
    <xf numFmtId="187" fontId="22" fillId="24" borderId="11" xfId="0" applyNumberFormat="1" applyFont="1" applyFill="1" applyBorder="1" applyAlignment="1">
      <alignment vertical="center"/>
    </xf>
    <xf numFmtId="0" fontId="33" fillId="24" borderId="11" xfId="0" applyFont="1" applyFill="1" applyBorder="1" applyAlignment="1">
      <alignment vertical="center"/>
    </xf>
    <xf numFmtId="187" fontId="22" fillId="24" borderId="62" xfId="0" applyNumberFormat="1" applyFont="1" applyFill="1" applyBorder="1" applyAlignment="1">
      <alignment vertical="center"/>
    </xf>
    <xf numFmtId="187" fontId="22" fillId="24" borderId="73" xfId="0" applyNumberFormat="1" applyFont="1" applyFill="1" applyBorder="1" applyAlignment="1">
      <alignment vertical="center"/>
    </xf>
    <xf numFmtId="189" fontId="22" fillId="24" borderId="25" xfId="62" applyNumberFormat="1" applyFont="1" applyFill="1" applyBorder="1" applyAlignment="1">
      <alignment horizontal="center" vertical="center"/>
      <protection/>
    </xf>
    <xf numFmtId="189" fontId="22" fillId="24" borderId="22" xfId="62" applyNumberFormat="1" applyFont="1" applyFill="1" applyBorder="1" applyAlignment="1">
      <alignment horizontal="center" vertical="center"/>
      <protection/>
    </xf>
    <xf numFmtId="185" fontId="22" fillId="24" borderId="0" xfId="62" applyNumberFormat="1" applyFont="1" applyFill="1" applyBorder="1" applyAlignment="1">
      <alignment vertical="center"/>
      <protection/>
    </xf>
    <xf numFmtId="187" fontId="22" fillId="24" borderId="65" xfId="62" applyNumberFormat="1" applyFont="1" applyFill="1" applyBorder="1" applyAlignment="1">
      <alignment vertical="center"/>
      <protection/>
    </xf>
    <xf numFmtId="187" fontId="22" fillId="24" borderId="70" xfId="62" applyNumberFormat="1" applyFont="1" applyFill="1" applyBorder="1" applyAlignment="1">
      <alignment vertical="center"/>
      <protection/>
    </xf>
    <xf numFmtId="185" fontId="22" fillId="24" borderId="0" xfId="0" applyNumberFormat="1" applyFont="1" applyFill="1" applyBorder="1" applyAlignment="1">
      <alignment vertical="center"/>
    </xf>
    <xf numFmtId="186" fontId="22" fillId="24" borderId="0" xfId="0" applyNumberFormat="1" applyFont="1" applyFill="1" applyBorder="1" applyAlignment="1">
      <alignment vertical="center"/>
    </xf>
    <xf numFmtId="0" fontId="33" fillId="0" borderId="11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187" fontId="22" fillId="24" borderId="17" xfId="0" applyNumberFormat="1" applyFont="1" applyFill="1" applyBorder="1" applyAlignment="1">
      <alignment vertical="center"/>
    </xf>
    <xf numFmtId="0" fontId="22" fillId="21" borderId="0" xfId="0" applyFont="1" applyFill="1" applyBorder="1" applyAlignment="1">
      <alignment horizontal="center" vertical="center"/>
    </xf>
    <xf numFmtId="0" fontId="0" fillId="21" borderId="0" xfId="0" applyFill="1" applyBorder="1" applyAlignment="1">
      <alignment vertical="center"/>
    </xf>
    <xf numFmtId="187" fontId="22" fillId="24" borderId="65" xfId="0" applyNumberFormat="1" applyFont="1" applyFill="1" applyBorder="1" applyAlignment="1">
      <alignment vertical="center"/>
    </xf>
    <xf numFmtId="187" fontId="22" fillId="24" borderId="0" xfId="0" applyNumberFormat="1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181" fontId="22" fillId="24" borderId="0" xfId="0" applyNumberFormat="1" applyFont="1" applyFill="1" applyBorder="1" applyAlignment="1">
      <alignment vertical="center"/>
    </xf>
    <xf numFmtId="186" fontId="22" fillId="24" borderId="62" xfId="0" applyNumberFormat="1" applyFont="1" applyFill="1" applyBorder="1" applyAlignment="1">
      <alignment vertical="center"/>
    </xf>
    <xf numFmtId="186" fontId="22" fillId="24" borderId="73" xfId="0" applyNumberFormat="1" applyFont="1" applyFill="1" applyBorder="1" applyAlignment="1">
      <alignment vertical="center"/>
    </xf>
    <xf numFmtId="186" fontId="22" fillId="24" borderId="65" xfId="0" applyNumberFormat="1" applyFont="1" applyFill="1" applyBorder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22" fillId="0" borderId="15" xfId="0" applyFont="1" applyBorder="1" applyAlignment="1">
      <alignment vertical="center" textRotation="255"/>
    </xf>
    <xf numFmtId="0" fontId="33" fillId="0" borderId="11" xfId="0" applyFont="1" applyBorder="1" applyAlignment="1">
      <alignment vertical="center"/>
    </xf>
    <xf numFmtId="0" fontId="33" fillId="0" borderId="21" xfId="0" applyFont="1" applyBorder="1" applyAlignment="1">
      <alignment vertical="center"/>
    </xf>
    <xf numFmtId="0" fontId="22" fillId="0" borderId="11" xfId="0" applyFont="1" applyBorder="1" applyAlignment="1">
      <alignment vertical="center" textRotation="255"/>
    </xf>
    <xf numFmtId="0" fontId="22" fillId="0" borderId="21" xfId="0" applyFont="1" applyBorder="1" applyAlignment="1">
      <alignment vertical="center" textRotation="255"/>
    </xf>
    <xf numFmtId="0" fontId="22" fillId="0" borderId="15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textRotation="255"/>
    </xf>
    <xf numFmtId="0" fontId="33" fillId="0" borderId="21" xfId="0" applyFont="1" applyBorder="1" applyAlignment="1">
      <alignment vertical="center" textRotation="255"/>
    </xf>
    <xf numFmtId="0" fontId="22" fillId="0" borderId="32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176" fontId="22" fillId="0" borderId="11" xfId="0" applyNumberFormat="1" applyFont="1" applyBorder="1" applyAlignment="1">
      <alignment horizontal="center" vertical="center"/>
    </xf>
    <xf numFmtId="176" fontId="22" fillId="0" borderId="29" xfId="0" applyNumberFormat="1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185" fontId="22" fillId="5" borderId="0" xfId="62" applyNumberFormat="1" applyFont="1" applyFill="1" applyBorder="1" applyAlignment="1">
      <alignment horizontal="center" vertical="center"/>
      <protection/>
    </xf>
    <xf numFmtId="191" fontId="22" fillId="0" borderId="23" xfId="0" applyNumberFormat="1" applyFont="1" applyBorder="1" applyAlignment="1">
      <alignment horizontal="center" vertical="center" wrapText="1"/>
    </xf>
    <xf numFmtId="191" fontId="22" fillId="0" borderId="27" xfId="0" applyNumberFormat="1" applyFont="1" applyBorder="1" applyAlignment="1">
      <alignment horizontal="center" vertical="center"/>
    </xf>
    <xf numFmtId="0" fontId="22" fillId="24" borderId="22" xfId="0" applyFont="1" applyFill="1" applyBorder="1" applyAlignment="1">
      <alignment horizontal="center" vertical="center"/>
    </xf>
    <xf numFmtId="0" fontId="33" fillId="24" borderId="22" xfId="0" applyFont="1" applyFill="1" applyBorder="1" applyAlignment="1">
      <alignment vertical="center"/>
    </xf>
    <xf numFmtId="182" fontId="22" fillId="24" borderId="0" xfId="0" applyNumberFormat="1" applyFont="1" applyFill="1" applyBorder="1" applyAlignment="1">
      <alignment vertical="center"/>
    </xf>
    <xf numFmtId="0" fontId="22" fillId="0" borderId="23" xfId="0" applyFont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vertical="center"/>
    </xf>
    <xf numFmtId="187" fontId="22" fillId="24" borderId="48" xfId="0" applyNumberFormat="1" applyFont="1" applyFill="1" applyBorder="1" applyAlignment="1">
      <alignment vertical="center"/>
    </xf>
    <xf numFmtId="187" fontId="22" fillId="24" borderId="70" xfId="0" applyNumberFormat="1" applyFont="1" applyFill="1" applyBorder="1" applyAlignment="1">
      <alignment vertical="center"/>
    </xf>
    <xf numFmtId="187" fontId="22" fillId="24" borderId="76" xfId="0" applyNumberFormat="1" applyFont="1" applyFill="1" applyBorder="1" applyAlignment="1">
      <alignment vertical="center"/>
    </xf>
    <xf numFmtId="0" fontId="22" fillId="0" borderId="29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0" fontId="22" fillId="0" borderId="79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178" fontId="22" fillId="0" borderId="23" xfId="0" applyNumberFormat="1" applyFont="1" applyBorder="1" applyAlignment="1">
      <alignment horizontal="center" vertical="center" wrapText="1"/>
    </xf>
    <xf numFmtId="178" fontId="22" fillId="0" borderId="27" xfId="0" applyNumberFormat="1" applyFont="1" applyBorder="1" applyAlignment="1">
      <alignment horizontal="center" vertical="center"/>
    </xf>
    <xf numFmtId="187" fontId="22" fillId="24" borderId="22" xfId="0" applyNumberFormat="1" applyFont="1" applyFill="1" applyBorder="1" applyAlignment="1">
      <alignment vertical="center"/>
    </xf>
    <xf numFmtId="183" fontId="22" fillId="24" borderId="0" xfId="0" applyNumberFormat="1" applyFont="1" applyFill="1" applyBorder="1" applyAlignment="1">
      <alignment vertical="center"/>
    </xf>
    <xf numFmtId="182" fontId="22" fillId="24" borderId="31" xfId="0" applyNumberFormat="1" applyFont="1" applyFill="1" applyBorder="1" applyAlignment="1">
      <alignment vertical="center"/>
    </xf>
    <xf numFmtId="187" fontId="22" fillId="24" borderId="68" xfId="0" applyNumberFormat="1" applyFont="1" applyFill="1" applyBorder="1" applyAlignment="1">
      <alignment vertical="center"/>
    </xf>
    <xf numFmtId="187" fontId="22" fillId="24" borderId="82" xfId="0" applyNumberFormat="1" applyFont="1" applyFill="1" applyBorder="1" applyAlignment="1">
      <alignment vertical="center"/>
    </xf>
    <xf numFmtId="187" fontId="22" fillId="24" borderId="46" xfId="0" applyNumberFormat="1" applyFont="1" applyFill="1" applyBorder="1" applyAlignment="1">
      <alignment vertical="center"/>
    </xf>
    <xf numFmtId="0" fontId="22" fillId="24" borderId="25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center" vertical="center" shrinkToFit="1"/>
    </xf>
    <xf numFmtId="0" fontId="22" fillId="24" borderId="22" xfId="0" applyFont="1" applyFill="1" applyBorder="1" applyAlignment="1">
      <alignment horizontal="center" vertical="center" shrinkToFit="1"/>
    </xf>
    <xf numFmtId="0" fontId="22" fillId="24" borderId="0" xfId="0" applyFont="1" applyFill="1" applyBorder="1" applyAlignment="1">
      <alignment vertical="center"/>
    </xf>
    <xf numFmtId="189" fontId="22" fillId="24" borderId="25" xfId="0" applyNumberFormat="1" applyFont="1" applyFill="1" applyBorder="1" applyAlignment="1">
      <alignment vertical="center"/>
    </xf>
    <xf numFmtId="189" fontId="22" fillId="24" borderId="11" xfId="0" applyNumberFormat="1" applyFont="1" applyFill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191" fontId="22" fillId="24" borderId="25" xfId="0" applyNumberFormat="1" applyFont="1" applyFill="1" applyBorder="1" applyAlignment="1">
      <alignment vertical="center"/>
    </xf>
    <xf numFmtId="191" fontId="22" fillId="24" borderId="11" xfId="0" applyNumberFormat="1" applyFont="1" applyFill="1" applyBorder="1" applyAlignment="1">
      <alignment vertical="center"/>
    </xf>
    <xf numFmtId="191" fontId="22" fillId="24" borderId="22" xfId="0" applyNumberFormat="1" applyFont="1" applyFill="1" applyBorder="1" applyAlignment="1">
      <alignment vertical="center"/>
    </xf>
    <xf numFmtId="0" fontId="33" fillId="0" borderId="22" xfId="0" applyFont="1" applyBorder="1" applyAlignment="1">
      <alignment vertical="center"/>
    </xf>
    <xf numFmtId="187" fontId="22" fillId="24" borderId="24" xfId="0" applyNumberFormat="1" applyFont="1" applyFill="1" applyBorder="1" applyAlignment="1">
      <alignment vertical="center"/>
    </xf>
    <xf numFmtId="0" fontId="33" fillId="24" borderId="76" xfId="0" applyFont="1" applyFill="1" applyBorder="1" applyAlignment="1">
      <alignment vertical="center"/>
    </xf>
    <xf numFmtId="0" fontId="33" fillId="24" borderId="70" xfId="0" applyFont="1" applyFill="1" applyBorder="1" applyAlignment="1">
      <alignment vertical="center"/>
    </xf>
    <xf numFmtId="182" fontId="0" fillId="24" borderId="0" xfId="0" applyNumberFormat="1" applyFill="1" applyBorder="1" applyAlignment="1">
      <alignment vertical="center"/>
    </xf>
    <xf numFmtId="0" fontId="22" fillId="4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4" borderId="0" xfId="0" applyFill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76" fontId="22" fillId="0" borderId="11" xfId="0" applyNumberFormat="1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176" fontId="22" fillId="0" borderId="15" xfId="0" applyNumberFormat="1" applyFont="1" applyBorder="1" applyAlignment="1">
      <alignment horizontal="center" vertical="center" wrapText="1"/>
    </xf>
    <xf numFmtId="176" fontId="22" fillId="0" borderId="11" xfId="0" applyNumberFormat="1" applyFont="1" applyBorder="1" applyAlignment="1">
      <alignment horizontal="center" vertical="center" wrapText="1"/>
    </xf>
    <xf numFmtId="176" fontId="22" fillId="0" borderId="21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85" fontId="22" fillId="0" borderId="0" xfId="62" applyNumberFormat="1" applyFont="1" applyFill="1" applyBorder="1" applyAlignment="1">
      <alignment horizontal="center" vertical="center"/>
      <protection/>
    </xf>
    <xf numFmtId="191" fontId="22" fillId="24" borderId="24" xfId="0" applyNumberFormat="1" applyFont="1" applyFill="1" applyBorder="1" applyAlignment="1">
      <alignment vertical="center"/>
    </xf>
    <xf numFmtId="184" fontId="22" fillId="24" borderId="24" xfId="0" applyNumberFormat="1" applyFont="1" applyFill="1" applyBorder="1" applyAlignment="1">
      <alignment vertical="center"/>
    </xf>
    <xf numFmtId="0" fontId="22" fillId="24" borderId="24" xfId="0" applyFont="1" applyFill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187" fontId="22" fillId="24" borderId="25" xfId="62" applyNumberFormat="1" applyFont="1" applyFill="1" applyBorder="1" applyAlignment="1">
      <alignment vertical="center"/>
      <protection/>
    </xf>
    <xf numFmtId="187" fontId="22" fillId="24" borderId="22" xfId="62" applyNumberFormat="1" applyFont="1" applyFill="1" applyBorder="1" applyAlignment="1">
      <alignment vertical="center"/>
      <protection/>
    </xf>
    <xf numFmtId="187" fontId="22" fillId="24" borderId="62" xfId="62" applyNumberFormat="1" applyFont="1" applyFill="1" applyBorder="1" applyAlignment="1">
      <alignment vertical="center"/>
      <protection/>
    </xf>
    <xf numFmtId="187" fontId="22" fillId="24" borderId="76" xfId="62" applyNumberFormat="1" applyFont="1" applyFill="1" applyBorder="1" applyAlignment="1">
      <alignment vertical="center"/>
      <protection/>
    </xf>
    <xf numFmtId="183" fontId="22" fillId="24" borderId="25" xfId="0" applyNumberFormat="1" applyFont="1" applyFill="1" applyBorder="1" applyAlignment="1">
      <alignment vertical="center"/>
    </xf>
    <xf numFmtId="184" fontId="22" fillId="24" borderId="25" xfId="0" applyNumberFormat="1" applyFont="1" applyFill="1" applyBorder="1" applyAlignment="1">
      <alignment vertical="center"/>
    </xf>
    <xf numFmtId="184" fontId="22" fillId="24" borderId="22" xfId="0" applyNumberFormat="1" applyFont="1" applyFill="1" applyBorder="1" applyAlignment="1">
      <alignment vertical="center"/>
    </xf>
    <xf numFmtId="184" fontId="22" fillId="24" borderId="11" xfId="0" applyNumberFormat="1" applyFont="1" applyFill="1" applyBorder="1" applyAlignment="1">
      <alignment vertical="center"/>
    </xf>
    <xf numFmtId="191" fontId="22" fillId="0" borderId="15" xfId="0" applyNumberFormat="1" applyFont="1" applyBorder="1" applyAlignment="1">
      <alignment horizontal="center" vertical="center" wrapText="1"/>
    </xf>
    <xf numFmtId="191" fontId="22" fillId="0" borderId="21" xfId="0" applyNumberFormat="1" applyFont="1" applyBorder="1" applyAlignment="1">
      <alignment horizontal="center" vertical="center" wrapText="1"/>
    </xf>
    <xf numFmtId="199" fontId="22" fillId="24" borderId="25" xfId="0" applyNumberFormat="1" applyFont="1" applyFill="1" applyBorder="1" applyAlignment="1">
      <alignment vertical="center"/>
    </xf>
    <xf numFmtId="199" fontId="22" fillId="24" borderId="11" xfId="0" applyNumberFormat="1" applyFont="1" applyFill="1" applyBorder="1" applyAlignment="1">
      <alignment vertical="center"/>
    </xf>
    <xf numFmtId="0" fontId="33" fillId="0" borderId="11" xfId="0" applyFont="1" applyBorder="1" applyAlignment="1">
      <alignment horizontal="center" vertical="center" shrinkToFit="1"/>
    </xf>
    <xf numFmtId="0" fontId="33" fillId="0" borderId="22" xfId="0" applyFont="1" applyBorder="1" applyAlignment="1">
      <alignment horizontal="center" vertical="center" shrinkToFit="1"/>
    </xf>
    <xf numFmtId="0" fontId="22" fillId="0" borderId="79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shrinkToFit="1"/>
    </xf>
    <xf numFmtId="0" fontId="22" fillId="0" borderId="33" xfId="0" applyFont="1" applyBorder="1" applyAlignment="1">
      <alignment horizontal="center" vertical="center" shrinkToFit="1"/>
    </xf>
    <xf numFmtId="178" fontId="22" fillId="0" borderId="15" xfId="0" applyNumberFormat="1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center" vertical="center" wrapText="1"/>
    </xf>
    <xf numFmtId="0" fontId="22" fillId="0" borderId="78" xfId="0" applyFont="1" applyBorder="1" applyAlignment="1">
      <alignment horizontal="center" vertical="center" wrapText="1"/>
    </xf>
    <xf numFmtId="0" fontId="22" fillId="0" borderId="77" xfId="0" applyFont="1" applyBorder="1" applyAlignment="1">
      <alignment horizontal="center" vertical="center" wrapText="1"/>
    </xf>
    <xf numFmtId="183" fontId="22" fillId="24" borderId="31" xfId="0" applyNumberFormat="1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8" xfId="61"/>
    <cellStyle name="標準_測定結果_H20_品川水質_2009.03修正2" xfId="62"/>
    <cellStyle name="標準_測定結果_H23_大船渡湾水質底泥調査20111.11.15" xfId="63"/>
    <cellStyle name="Followed Hyperlink" xfId="64"/>
    <cellStyle name="良い" xfId="65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view="pageBreakPreview" zoomScale="110" zoomScaleNormal="75" zoomScaleSheetLayoutView="110" zoomScalePageLayoutView="0" workbookViewId="0" topLeftCell="A25">
      <selection activeCell="B58" sqref="B58"/>
    </sheetView>
  </sheetViews>
  <sheetFormatPr defaultColWidth="9.00390625" defaultRowHeight="15" customHeight="1" outlineLevelRow="1"/>
  <cols>
    <col min="1" max="1" width="15.625" style="165" customWidth="1"/>
    <col min="2" max="2" width="9.50390625" style="44" customWidth="1"/>
    <col min="3" max="4" width="11.625" style="44" customWidth="1"/>
    <col min="5" max="7" width="9.25390625" style="44" bestFit="1" customWidth="1"/>
    <col min="8" max="8" width="9.125" style="44" bestFit="1" customWidth="1"/>
    <col min="9" max="9" width="10.625" style="44" bestFit="1" customWidth="1"/>
    <col min="10" max="13" width="9.125" style="44" bestFit="1" customWidth="1"/>
    <col min="14" max="15" width="11.375" style="44" customWidth="1"/>
    <col min="16" max="16" width="11.375" style="94" customWidth="1"/>
    <col min="17" max="16384" width="9.00390625" style="44" customWidth="1"/>
  </cols>
  <sheetData>
    <row r="1" spans="1:2" ht="17.25" customHeight="1">
      <c r="A1" s="167" t="s">
        <v>59</v>
      </c>
      <c r="B1" s="113"/>
    </row>
    <row r="2" spans="1:16" ht="15" customHeight="1">
      <c r="A2" s="812" t="s">
        <v>1</v>
      </c>
      <c r="B2" s="813"/>
      <c r="C2" s="813"/>
      <c r="D2" s="814"/>
      <c r="E2" s="804" t="s">
        <v>660</v>
      </c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6"/>
    </row>
    <row r="3" spans="1:16" ht="15" customHeight="1">
      <c r="A3" s="163"/>
      <c r="B3" s="50"/>
      <c r="C3" s="811" t="s">
        <v>2</v>
      </c>
      <c r="D3" s="811" t="s">
        <v>3</v>
      </c>
      <c r="E3" s="810" t="s">
        <v>41</v>
      </c>
      <c r="F3" s="51" t="s">
        <v>42</v>
      </c>
      <c r="G3" s="51" t="s">
        <v>43</v>
      </c>
      <c r="H3" s="51" t="s">
        <v>44</v>
      </c>
      <c r="I3" s="52" t="s">
        <v>47</v>
      </c>
      <c r="J3" s="810" t="s">
        <v>48</v>
      </c>
      <c r="K3" s="51" t="s">
        <v>45</v>
      </c>
      <c r="L3" s="51" t="s">
        <v>46</v>
      </c>
      <c r="M3" s="51" t="s">
        <v>49</v>
      </c>
      <c r="N3" s="114" t="s">
        <v>54</v>
      </c>
      <c r="O3" s="51" t="s">
        <v>55</v>
      </c>
      <c r="P3" s="53" t="s">
        <v>50</v>
      </c>
    </row>
    <row r="4" spans="1:16" ht="15" customHeight="1">
      <c r="A4" s="164"/>
      <c r="B4" s="54"/>
      <c r="C4" s="802"/>
      <c r="D4" s="802"/>
      <c r="E4" s="802"/>
      <c r="F4" s="55" t="s">
        <v>51</v>
      </c>
      <c r="G4" s="55" t="s">
        <v>51</v>
      </c>
      <c r="H4" s="55" t="s">
        <v>51</v>
      </c>
      <c r="I4" s="55" t="s">
        <v>52</v>
      </c>
      <c r="J4" s="802"/>
      <c r="K4" s="55" t="s">
        <v>51</v>
      </c>
      <c r="L4" s="55" t="s">
        <v>51</v>
      </c>
      <c r="M4" s="55" t="s">
        <v>53</v>
      </c>
      <c r="N4" s="117" t="s">
        <v>652</v>
      </c>
      <c r="O4" s="56" t="s">
        <v>652</v>
      </c>
      <c r="P4" s="56" t="s">
        <v>652</v>
      </c>
    </row>
    <row r="5" spans="1:16" ht="15" customHeight="1">
      <c r="A5" s="809" t="s">
        <v>58</v>
      </c>
      <c r="B5" s="21" t="s">
        <v>56</v>
      </c>
      <c r="C5" s="807" t="s">
        <v>185</v>
      </c>
      <c r="D5" s="807" t="s">
        <v>186</v>
      </c>
      <c r="E5" s="57">
        <v>7.6</v>
      </c>
      <c r="F5" s="57">
        <v>0.5</v>
      </c>
      <c r="G5" s="57">
        <v>2.9</v>
      </c>
      <c r="H5" s="57">
        <v>12.5</v>
      </c>
      <c r="I5" s="75">
        <v>19.1</v>
      </c>
      <c r="J5" s="58">
        <v>0.09</v>
      </c>
      <c r="K5" s="35">
        <v>1.3</v>
      </c>
      <c r="L5" s="59">
        <v>2</v>
      </c>
      <c r="M5" s="35">
        <v>1.3</v>
      </c>
      <c r="N5" s="175">
        <v>0.0061</v>
      </c>
      <c r="O5" s="172">
        <v>0.015</v>
      </c>
      <c r="P5" s="262">
        <v>0.00095</v>
      </c>
    </row>
    <row r="6" spans="1:16" ht="15" customHeight="1">
      <c r="A6" s="801"/>
      <c r="B6" s="20" t="s">
        <v>145</v>
      </c>
      <c r="C6" s="808"/>
      <c r="D6" s="808"/>
      <c r="E6" s="60">
        <v>7.6</v>
      </c>
      <c r="F6" s="60">
        <v>0.6</v>
      </c>
      <c r="G6" s="60">
        <v>2.8</v>
      </c>
      <c r="H6" s="60">
        <v>12.2</v>
      </c>
      <c r="I6" s="124">
        <v>20.2</v>
      </c>
      <c r="J6" s="61">
        <v>0.1</v>
      </c>
      <c r="K6" s="62">
        <v>1.3</v>
      </c>
      <c r="L6" s="63">
        <v>2</v>
      </c>
      <c r="M6" s="62">
        <v>1.4</v>
      </c>
      <c r="N6" s="178">
        <v>0.0056</v>
      </c>
      <c r="O6" s="170">
        <v>0.011</v>
      </c>
      <c r="P6" s="82" t="s">
        <v>265</v>
      </c>
    </row>
    <row r="7" spans="1:16" ht="15" customHeight="1">
      <c r="A7" s="801"/>
      <c r="B7" s="23" t="s">
        <v>100</v>
      </c>
      <c r="C7" s="202" t="s">
        <v>187</v>
      </c>
      <c r="D7" s="202" t="s">
        <v>188</v>
      </c>
      <c r="E7" s="65">
        <v>7.6</v>
      </c>
      <c r="F7" s="65" t="s">
        <v>162</v>
      </c>
      <c r="G7" s="65">
        <v>1.7</v>
      </c>
      <c r="H7" s="65">
        <v>12.5</v>
      </c>
      <c r="I7" s="37">
        <v>11.4</v>
      </c>
      <c r="J7" s="66">
        <v>0.06</v>
      </c>
      <c r="K7" s="67">
        <v>0.7</v>
      </c>
      <c r="L7" s="68">
        <v>2</v>
      </c>
      <c r="M7" s="67">
        <v>1</v>
      </c>
      <c r="N7" s="170">
        <v>0.023</v>
      </c>
      <c r="O7" s="170">
        <v>0.057</v>
      </c>
      <c r="P7" s="64" t="s">
        <v>264</v>
      </c>
    </row>
    <row r="8" spans="1:16" ht="15" customHeight="1">
      <c r="A8" s="801"/>
      <c r="B8" s="23" t="s">
        <v>34</v>
      </c>
      <c r="C8" s="202" t="s">
        <v>189</v>
      </c>
      <c r="D8" s="202" t="s">
        <v>190</v>
      </c>
      <c r="E8" s="65">
        <v>8.1</v>
      </c>
      <c r="F8" s="65" t="s">
        <v>162</v>
      </c>
      <c r="G8" s="65">
        <v>2.6</v>
      </c>
      <c r="H8" s="65">
        <v>13.9</v>
      </c>
      <c r="I8" s="37">
        <v>19.6</v>
      </c>
      <c r="J8" s="66">
        <v>0.1</v>
      </c>
      <c r="K8" s="67">
        <v>1.2</v>
      </c>
      <c r="L8" s="68">
        <v>3</v>
      </c>
      <c r="M8" s="67">
        <v>1.8</v>
      </c>
      <c r="N8" s="178">
        <v>0.0054</v>
      </c>
      <c r="O8" s="170">
        <v>0.013</v>
      </c>
      <c r="P8" s="64" t="s">
        <v>264</v>
      </c>
    </row>
    <row r="9" spans="1:16" ht="15" customHeight="1">
      <c r="A9" s="801"/>
      <c r="B9" s="23" t="s">
        <v>101</v>
      </c>
      <c r="C9" s="202" t="s">
        <v>191</v>
      </c>
      <c r="D9" s="202" t="s">
        <v>192</v>
      </c>
      <c r="E9" s="65">
        <v>7.9</v>
      </c>
      <c r="F9" s="65" t="s">
        <v>162</v>
      </c>
      <c r="G9" s="65">
        <v>2.7</v>
      </c>
      <c r="H9" s="65">
        <v>13.5</v>
      </c>
      <c r="I9" s="37">
        <v>17.3</v>
      </c>
      <c r="J9" s="66">
        <v>0.09</v>
      </c>
      <c r="K9" s="67">
        <v>1.2</v>
      </c>
      <c r="L9" s="68">
        <v>3</v>
      </c>
      <c r="M9" s="67">
        <v>1.9</v>
      </c>
      <c r="N9" s="178">
        <v>0.009</v>
      </c>
      <c r="O9" s="170">
        <v>0.021</v>
      </c>
      <c r="P9" s="64" t="s">
        <v>264</v>
      </c>
    </row>
    <row r="10" spans="1:16" ht="15" customHeight="1">
      <c r="A10" s="802"/>
      <c r="B10" s="23" t="s">
        <v>35</v>
      </c>
      <c r="C10" s="202" t="s">
        <v>193</v>
      </c>
      <c r="D10" s="202" t="s">
        <v>194</v>
      </c>
      <c r="E10" s="69">
        <v>7.7</v>
      </c>
      <c r="F10" s="65" t="s">
        <v>162</v>
      </c>
      <c r="G10" s="69">
        <v>2.6</v>
      </c>
      <c r="H10" s="69">
        <v>12.1</v>
      </c>
      <c r="I10" s="80">
        <v>7.7</v>
      </c>
      <c r="J10" s="70">
        <v>0.04</v>
      </c>
      <c r="K10" s="71">
        <v>1.2</v>
      </c>
      <c r="L10" s="72">
        <v>1</v>
      </c>
      <c r="M10" s="71">
        <v>1.1</v>
      </c>
      <c r="N10" s="179">
        <v>0.0035</v>
      </c>
      <c r="O10" s="179">
        <v>0.0078</v>
      </c>
      <c r="P10" s="73" t="s">
        <v>264</v>
      </c>
    </row>
    <row r="11" spans="1:16" ht="15" customHeight="1" outlineLevel="1">
      <c r="A11" s="800" t="s">
        <v>38</v>
      </c>
      <c r="B11" s="27" t="s">
        <v>102</v>
      </c>
      <c r="C11" s="204" t="s">
        <v>195</v>
      </c>
      <c r="D11" s="204" t="s">
        <v>196</v>
      </c>
      <c r="E11" s="57">
        <v>7.3</v>
      </c>
      <c r="F11" s="57" t="s">
        <v>163</v>
      </c>
      <c r="G11" s="57">
        <v>1.6</v>
      </c>
      <c r="H11" s="57">
        <v>12.4</v>
      </c>
      <c r="I11" s="35">
        <v>10.6</v>
      </c>
      <c r="J11" s="58">
        <v>0.06</v>
      </c>
      <c r="K11" s="35">
        <v>0.6</v>
      </c>
      <c r="L11" s="68" t="s">
        <v>164</v>
      </c>
      <c r="M11" s="35">
        <v>0.5</v>
      </c>
      <c r="N11" s="172">
        <v>0.011</v>
      </c>
      <c r="O11" s="172">
        <v>0.028</v>
      </c>
      <c r="P11" s="81" t="s">
        <v>264</v>
      </c>
    </row>
    <row r="12" spans="1:16" ht="15" customHeight="1" outlineLevel="1">
      <c r="A12" s="801"/>
      <c r="B12" s="33" t="s">
        <v>103</v>
      </c>
      <c r="C12" s="205" t="s">
        <v>197</v>
      </c>
      <c r="D12" s="205" t="s">
        <v>198</v>
      </c>
      <c r="E12" s="65">
        <v>7.2</v>
      </c>
      <c r="F12" s="65" t="s">
        <v>163</v>
      </c>
      <c r="G12" s="65">
        <v>2.8</v>
      </c>
      <c r="H12" s="65">
        <v>12.4</v>
      </c>
      <c r="I12" s="67">
        <v>8.3</v>
      </c>
      <c r="J12" s="66">
        <v>0.04</v>
      </c>
      <c r="K12" s="67">
        <v>0.9</v>
      </c>
      <c r="L12" s="68">
        <v>8</v>
      </c>
      <c r="M12" s="67">
        <v>3.1</v>
      </c>
      <c r="N12" s="170">
        <v>0.033</v>
      </c>
      <c r="O12" s="170">
        <v>0.073</v>
      </c>
      <c r="P12" s="64" t="s">
        <v>264</v>
      </c>
    </row>
    <row r="13" spans="1:16" ht="15" customHeight="1" outlineLevel="1">
      <c r="A13" s="801"/>
      <c r="B13" s="33" t="s">
        <v>104</v>
      </c>
      <c r="C13" s="205" t="s">
        <v>267</v>
      </c>
      <c r="D13" s="205" t="s">
        <v>268</v>
      </c>
      <c r="E13" s="65">
        <v>7.5</v>
      </c>
      <c r="F13" s="65" t="s">
        <v>163</v>
      </c>
      <c r="G13" s="65">
        <v>1.8</v>
      </c>
      <c r="H13" s="65">
        <v>12.2</v>
      </c>
      <c r="I13" s="67">
        <v>8.7</v>
      </c>
      <c r="J13" s="66">
        <v>0.05</v>
      </c>
      <c r="K13" s="67">
        <v>0.8</v>
      </c>
      <c r="L13" s="68" t="s">
        <v>164</v>
      </c>
      <c r="M13" s="67">
        <v>0.6</v>
      </c>
      <c r="N13" s="178">
        <v>0.0098</v>
      </c>
      <c r="O13" s="170">
        <v>0.027</v>
      </c>
      <c r="P13" s="88" t="s">
        <v>264</v>
      </c>
    </row>
    <row r="14" spans="1:16" ht="15" customHeight="1" outlineLevel="1">
      <c r="A14" s="801"/>
      <c r="B14" s="33" t="s">
        <v>105</v>
      </c>
      <c r="C14" s="205" t="s">
        <v>199</v>
      </c>
      <c r="D14" s="205" t="s">
        <v>200</v>
      </c>
      <c r="E14" s="65">
        <v>7.6</v>
      </c>
      <c r="F14" s="65" t="s">
        <v>163</v>
      </c>
      <c r="G14" s="65">
        <v>1.7</v>
      </c>
      <c r="H14" s="65">
        <v>12.5</v>
      </c>
      <c r="I14" s="67">
        <v>8.7</v>
      </c>
      <c r="J14" s="66">
        <v>0.05</v>
      </c>
      <c r="K14" s="67">
        <v>0.7</v>
      </c>
      <c r="L14" s="68" t="s">
        <v>164</v>
      </c>
      <c r="M14" s="67">
        <v>0.4</v>
      </c>
      <c r="N14" s="178">
        <v>0.0058</v>
      </c>
      <c r="O14" s="170">
        <v>0.014</v>
      </c>
      <c r="P14" s="183">
        <v>0.001</v>
      </c>
    </row>
    <row r="15" spans="1:16" ht="15" customHeight="1" outlineLevel="1">
      <c r="A15" s="801"/>
      <c r="B15" s="33" t="s">
        <v>106</v>
      </c>
      <c r="C15" s="205" t="s">
        <v>167</v>
      </c>
      <c r="D15" s="205" t="s">
        <v>201</v>
      </c>
      <c r="E15" s="65">
        <v>7.7</v>
      </c>
      <c r="F15" s="65" t="s">
        <v>163</v>
      </c>
      <c r="G15" s="65">
        <v>1.5</v>
      </c>
      <c r="H15" s="65">
        <v>12.4</v>
      </c>
      <c r="I15" s="67">
        <v>8.8</v>
      </c>
      <c r="J15" s="66">
        <v>0.05</v>
      </c>
      <c r="K15" s="67">
        <v>0.7</v>
      </c>
      <c r="L15" s="68" t="s">
        <v>164</v>
      </c>
      <c r="M15" s="67">
        <v>0.3</v>
      </c>
      <c r="N15" s="178">
        <v>0.0068</v>
      </c>
      <c r="O15" s="170">
        <v>0.018</v>
      </c>
      <c r="P15" s="82" t="s">
        <v>264</v>
      </c>
    </row>
    <row r="16" spans="1:16" ht="15" customHeight="1" outlineLevel="1">
      <c r="A16" s="802"/>
      <c r="B16" s="89" t="s">
        <v>107</v>
      </c>
      <c r="C16" s="207" t="s">
        <v>168</v>
      </c>
      <c r="D16" s="30" t="s">
        <v>202</v>
      </c>
      <c r="E16" s="69">
        <v>7.7</v>
      </c>
      <c r="F16" s="69" t="s">
        <v>163</v>
      </c>
      <c r="G16" s="69">
        <v>1.6</v>
      </c>
      <c r="H16" s="69">
        <v>12.9</v>
      </c>
      <c r="I16" s="71">
        <v>9.7</v>
      </c>
      <c r="J16" s="70">
        <v>0.05</v>
      </c>
      <c r="K16" s="71">
        <v>0.8</v>
      </c>
      <c r="L16" s="68" t="s">
        <v>164</v>
      </c>
      <c r="M16" s="71">
        <v>0.4</v>
      </c>
      <c r="N16" s="179">
        <v>0.0065</v>
      </c>
      <c r="O16" s="173">
        <v>0.012</v>
      </c>
      <c r="P16" s="73" t="s">
        <v>264</v>
      </c>
    </row>
    <row r="17" spans="1:16" ht="15" customHeight="1">
      <c r="A17" s="800" t="s">
        <v>36</v>
      </c>
      <c r="B17" s="33" t="s">
        <v>108</v>
      </c>
      <c r="C17" s="205" t="s">
        <v>169</v>
      </c>
      <c r="D17" s="205" t="s">
        <v>203</v>
      </c>
      <c r="E17" s="74">
        <v>7.7</v>
      </c>
      <c r="F17" s="57">
        <v>1</v>
      </c>
      <c r="G17" s="74">
        <v>2.3</v>
      </c>
      <c r="H17" s="74">
        <v>14</v>
      </c>
      <c r="I17" s="35">
        <v>10.1</v>
      </c>
      <c r="J17" s="58">
        <v>0.05</v>
      </c>
      <c r="K17" s="35">
        <v>1.2</v>
      </c>
      <c r="L17" s="59" t="s">
        <v>165</v>
      </c>
      <c r="M17" s="35">
        <v>0.6</v>
      </c>
      <c r="N17" s="172">
        <v>0.017</v>
      </c>
      <c r="O17" s="172">
        <v>0.041</v>
      </c>
      <c r="P17" s="181">
        <v>0.0014</v>
      </c>
    </row>
    <row r="18" spans="1:16" ht="15" customHeight="1">
      <c r="A18" s="801"/>
      <c r="B18" s="29" t="s">
        <v>57</v>
      </c>
      <c r="C18" s="206" t="s">
        <v>204</v>
      </c>
      <c r="D18" s="206" t="s">
        <v>205</v>
      </c>
      <c r="E18" s="76">
        <v>7.4</v>
      </c>
      <c r="F18" s="65">
        <v>0.8</v>
      </c>
      <c r="G18" s="76">
        <v>2.2</v>
      </c>
      <c r="H18" s="76">
        <v>13.9</v>
      </c>
      <c r="I18" s="67">
        <v>11.7</v>
      </c>
      <c r="J18" s="66">
        <v>0.06</v>
      </c>
      <c r="K18" s="67">
        <v>1.2</v>
      </c>
      <c r="L18" s="68" t="s">
        <v>165</v>
      </c>
      <c r="M18" s="67">
        <v>0.9</v>
      </c>
      <c r="N18" s="170">
        <v>0.022</v>
      </c>
      <c r="O18" s="170">
        <v>0.047</v>
      </c>
      <c r="P18" s="82" t="s">
        <v>264</v>
      </c>
    </row>
    <row r="19" spans="1:16" ht="15" customHeight="1">
      <c r="A19" s="801"/>
      <c r="B19" s="29" t="s">
        <v>109</v>
      </c>
      <c r="C19" s="206" t="s">
        <v>170</v>
      </c>
      <c r="D19" s="206" t="s">
        <v>206</v>
      </c>
      <c r="E19" s="76">
        <v>7.2</v>
      </c>
      <c r="F19" s="65">
        <v>0.8</v>
      </c>
      <c r="G19" s="76">
        <v>2.2</v>
      </c>
      <c r="H19" s="76">
        <v>13.6</v>
      </c>
      <c r="I19" s="67">
        <v>12.4</v>
      </c>
      <c r="J19" s="66">
        <v>0.06</v>
      </c>
      <c r="K19" s="67">
        <v>1.1</v>
      </c>
      <c r="L19" s="68" t="s">
        <v>165</v>
      </c>
      <c r="M19" s="67">
        <v>0.9</v>
      </c>
      <c r="N19" s="178">
        <v>0.0073</v>
      </c>
      <c r="O19" s="170">
        <v>0.018</v>
      </c>
      <c r="P19" s="64" t="s">
        <v>264</v>
      </c>
    </row>
    <row r="20" spans="1:16" ht="15" customHeight="1">
      <c r="A20" s="801"/>
      <c r="B20" s="29" t="s">
        <v>110</v>
      </c>
      <c r="C20" s="206" t="s">
        <v>207</v>
      </c>
      <c r="D20" s="206" t="s">
        <v>208</v>
      </c>
      <c r="E20" s="76">
        <v>7.4</v>
      </c>
      <c r="F20" s="65">
        <v>0.6</v>
      </c>
      <c r="G20" s="76">
        <v>2.3</v>
      </c>
      <c r="H20" s="76">
        <v>11.9</v>
      </c>
      <c r="I20" s="67">
        <v>10.2</v>
      </c>
      <c r="J20" s="66">
        <v>0.05</v>
      </c>
      <c r="K20" s="67">
        <v>1.1</v>
      </c>
      <c r="L20" s="68" t="s">
        <v>165</v>
      </c>
      <c r="M20" s="67">
        <v>0.5</v>
      </c>
      <c r="N20" s="170">
        <v>0.041</v>
      </c>
      <c r="O20" s="170">
        <v>0.092</v>
      </c>
      <c r="P20" s="64" t="s">
        <v>264</v>
      </c>
    </row>
    <row r="21" spans="1:16" ht="15" customHeight="1">
      <c r="A21" s="801"/>
      <c r="B21" s="39" t="s">
        <v>111</v>
      </c>
      <c r="C21" s="206" t="s">
        <v>269</v>
      </c>
      <c r="D21" s="206" t="s">
        <v>270</v>
      </c>
      <c r="E21" s="76">
        <v>7.5</v>
      </c>
      <c r="F21" s="65">
        <v>0.6</v>
      </c>
      <c r="G21" s="76">
        <v>2.5</v>
      </c>
      <c r="H21" s="76">
        <v>12.4</v>
      </c>
      <c r="I21" s="67">
        <v>10</v>
      </c>
      <c r="J21" s="66">
        <v>0.05</v>
      </c>
      <c r="K21" s="67">
        <v>1.1</v>
      </c>
      <c r="L21" s="68" t="s">
        <v>165</v>
      </c>
      <c r="M21" s="67">
        <v>1.1</v>
      </c>
      <c r="N21" s="170">
        <v>0.031</v>
      </c>
      <c r="O21" s="170">
        <v>0.076</v>
      </c>
      <c r="P21" s="64" t="s">
        <v>264</v>
      </c>
    </row>
    <row r="22" spans="1:16" ht="15" customHeight="1">
      <c r="A22" s="802"/>
      <c r="B22" s="30" t="s">
        <v>112</v>
      </c>
      <c r="C22" s="207" t="s">
        <v>209</v>
      </c>
      <c r="D22" s="207" t="s">
        <v>210</v>
      </c>
      <c r="E22" s="78">
        <v>7.5</v>
      </c>
      <c r="F22" s="69">
        <v>0.8</v>
      </c>
      <c r="G22" s="78">
        <v>2.6</v>
      </c>
      <c r="H22" s="78">
        <v>12.8</v>
      </c>
      <c r="I22" s="71">
        <v>9</v>
      </c>
      <c r="J22" s="70">
        <v>0.05</v>
      </c>
      <c r="K22" s="71">
        <v>1.3</v>
      </c>
      <c r="L22" s="72" t="s">
        <v>165</v>
      </c>
      <c r="M22" s="71">
        <v>0.7</v>
      </c>
      <c r="N22" s="173">
        <v>0.032</v>
      </c>
      <c r="O22" s="173">
        <v>0.072</v>
      </c>
      <c r="P22" s="73" t="s">
        <v>264</v>
      </c>
    </row>
    <row r="23" spans="1:16" ht="15" customHeight="1">
      <c r="A23" s="800" t="s">
        <v>33</v>
      </c>
      <c r="B23" s="27" t="s">
        <v>115</v>
      </c>
      <c r="C23" s="208" t="s">
        <v>211</v>
      </c>
      <c r="D23" s="208" t="s">
        <v>171</v>
      </c>
      <c r="E23" s="74">
        <v>7.3</v>
      </c>
      <c r="F23" s="57">
        <v>0.7</v>
      </c>
      <c r="G23" s="74">
        <v>2.3</v>
      </c>
      <c r="H23" s="74">
        <v>12.7</v>
      </c>
      <c r="I23" s="75">
        <v>6.8</v>
      </c>
      <c r="J23" s="58">
        <v>0.04</v>
      </c>
      <c r="K23" s="75">
        <v>0.8</v>
      </c>
      <c r="L23" s="68" t="s">
        <v>166</v>
      </c>
      <c r="M23" s="75">
        <v>0.6</v>
      </c>
      <c r="N23" s="172">
        <v>0.038</v>
      </c>
      <c r="O23" s="172">
        <v>0.088</v>
      </c>
      <c r="P23" s="180">
        <v>0.0021</v>
      </c>
    </row>
    <row r="24" spans="1:16" ht="15" customHeight="1">
      <c r="A24" s="801"/>
      <c r="B24" s="29" t="s">
        <v>116</v>
      </c>
      <c r="C24" s="202" t="s">
        <v>212</v>
      </c>
      <c r="D24" s="202" t="s">
        <v>213</v>
      </c>
      <c r="E24" s="76">
        <v>7.4</v>
      </c>
      <c r="F24" s="65">
        <v>0.5</v>
      </c>
      <c r="G24" s="76">
        <v>2.3</v>
      </c>
      <c r="H24" s="76">
        <v>13.1</v>
      </c>
      <c r="I24" s="37">
        <v>7.1</v>
      </c>
      <c r="J24" s="66">
        <v>0.04</v>
      </c>
      <c r="K24" s="37">
        <v>0.9</v>
      </c>
      <c r="L24" s="68">
        <v>1</v>
      </c>
      <c r="M24" s="37">
        <v>0.9</v>
      </c>
      <c r="N24" s="170">
        <v>0.035</v>
      </c>
      <c r="O24" s="170">
        <v>0.08</v>
      </c>
      <c r="P24" s="82" t="s">
        <v>264</v>
      </c>
    </row>
    <row r="25" spans="1:16" ht="15" customHeight="1">
      <c r="A25" s="801"/>
      <c r="B25" s="29" t="s">
        <v>117</v>
      </c>
      <c r="C25" s="202" t="s">
        <v>271</v>
      </c>
      <c r="D25" s="202" t="s">
        <v>272</v>
      </c>
      <c r="E25" s="76">
        <v>7.4</v>
      </c>
      <c r="F25" s="65">
        <v>0.5</v>
      </c>
      <c r="G25" s="76">
        <v>2.2</v>
      </c>
      <c r="H25" s="76">
        <v>12.9</v>
      </c>
      <c r="I25" s="37">
        <v>7</v>
      </c>
      <c r="J25" s="66">
        <v>0.05</v>
      </c>
      <c r="K25" s="37">
        <v>0.8</v>
      </c>
      <c r="L25" s="68">
        <v>1</v>
      </c>
      <c r="M25" s="37">
        <v>0.7</v>
      </c>
      <c r="N25" s="170">
        <v>0.031</v>
      </c>
      <c r="O25" s="170">
        <v>0.072</v>
      </c>
      <c r="P25" s="64" t="s">
        <v>264</v>
      </c>
    </row>
    <row r="26" spans="1:16" ht="15" customHeight="1">
      <c r="A26" s="801"/>
      <c r="B26" s="29" t="s">
        <v>118</v>
      </c>
      <c r="C26" s="202" t="s">
        <v>214</v>
      </c>
      <c r="D26" s="202" t="s">
        <v>215</v>
      </c>
      <c r="E26" s="76">
        <v>7.3</v>
      </c>
      <c r="F26" s="65">
        <v>0.9</v>
      </c>
      <c r="G26" s="76">
        <v>2.3</v>
      </c>
      <c r="H26" s="76">
        <v>12.4</v>
      </c>
      <c r="I26" s="37">
        <v>9.4</v>
      </c>
      <c r="J26" s="66">
        <v>0.05</v>
      </c>
      <c r="K26" s="37">
        <v>0.9</v>
      </c>
      <c r="L26" s="68" t="s">
        <v>166</v>
      </c>
      <c r="M26" s="37">
        <v>0.7</v>
      </c>
      <c r="N26" s="170">
        <v>0.03</v>
      </c>
      <c r="O26" s="170">
        <v>0.066</v>
      </c>
      <c r="P26" s="64" t="s">
        <v>264</v>
      </c>
    </row>
    <row r="27" spans="1:16" ht="15" customHeight="1">
      <c r="A27" s="801"/>
      <c r="B27" s="29" t="s">
        <v>119</v>
      </c>
      <c r="C27" s="202" t="s">
        <v>273</v>
      </c>
      <c r="D27" s="202" t="s">
        <v>216</v>
      </c>
      <c r="E27" s="76">
        <v>7.5</v>
      </c>
      <c r="F27" s="65">
        <v>0.6</v>
      </c>
      <c r="G27" s="76">
        <v>2</v>
      </c>
      <c r="H27" s="76">
        <v>12.2</v>
      </c>
      <c r="I27" s="37">
        <v>7.6</v>
      </c>
      <c r="J27" s="66">
        <v>0.04</v>
      </c>
      <c r="K27" s="37">
        <v>0.8</v>
      </c>
      <c r="L27" s="68" t="s">
        <v>166</v>
      </c>
      <c r="M27" s="37">
        <v>0.6</v>
      </c>
      <c r="N27" s="170">
        <v>0.027</v>
      </c>
      <c r="O27" s="170">
        <v>0.069</v>
      </c>
      <c r="P27" s="64" t="s">
        <v>264</v>
      </c>
    </row>
    <row r="28" spans="1:16" ht="15" customHeight="1">
      <c r="A28" s="802"/>
      <c r="B28" s="30" t="s">
        <v>120</v>
      </c>
      <c r="C28" s="203" t="s">
        <v>217</v>
      </c>
      <c r="D28" s="203" t="s">
        <v>218</v>
      </c>
      <c r="E28" s="78">
        <v>7.4</v>
      </c>
      <c r="F28" s="69" t="s">
        <v>161</v>
      </c>
      <c r="G28" s="78">
        <v>1.9</v>
      </c>
      <c r="H28" s="78">
        <v>13.3</v>
      </c>
      <c r="I28" s="80">
        <v>6.9</v>
      </c>
      <c r="J28" s="70">
        <v>0.04</v>
      </c>
      <c r="K28" s="80">
        <v>0.8</v>
      </c>
      <c r="L28" s="72" t="s">
        <v>166</v>
      </c>
      <c r="M28" s="80">
        <v>0.5</v>
      </c>
      <c r="N28" s="173">
        <v>0.033</v>
      </c>
      <c r="O28" s="173">
        <v>0.072</v>
      </c>
      <c r="P28" s="73" t="s">
        <v>264</v>
      </c>
    </row>
    <row r="29" spans="1:16" ht="15" customHeight="1" outlineLevel="1">
      <c r="A29" s="800" t="s">
        <v>37</v>
      </c>
      <c r="B29" s="33" t="s">
        <v>121</v>
      </c>
      <c r="C29" s="205" t="s">
        <v>172</v>
      </c>
      <c r="D29" s="205" t="s">
        <v>219</v>
      </c>
      <c r="E29" s="57">
        <v>7.2</v>
      </c>
      <c r="F29" s="60" t="s">
        <v>161</v>
      </c>
      <c r="G29" s="57">
        <v>2.2</v>
      </c>
      <c r="H29" s="57">
        <v>12.1</v>
      </c>
      <c r="I29" s="35">
        <v>6.2</v>
      </c>
      <c r="J29" s="58">
        <v>0.03</v>
      </c>
      <c r="K29" s="35">
        <v>1</v>
      </c>
      <c r="L29" s="63" t="s">
        <v>166</v>
      </c>
      <c r="M29" s="35">
        <v>0.4</v>
      </c>
      <c r="N29" s="168">
        <v>0.12</v>
      </c>
      <c r="O29" s="168">
        <v>0.28</v>
      </c>
      <c r="P29" s="182" t="s">
        <v>264</v>
      </c>
    </row>
    <row r="30" spans="1:16" ht="15" customHeight="1" outlineLevel="1">
      <c r="A30" s="801"/>
      <c r="B30" s="29" t="s">
        <v>122</v>
      </c>
      <c r="C30" s="206" t="s">
        <v>220</v>
      </c>
      <c r="D30" s="206" t="s">
        <v>221</v>
      </c>
      <c r="E30" s="65">
        <v>7</v>
      </c>
      <c r="F30" s="65" t="s">
        <v>161</v>
      </c>
      <c r="G30" s="65">
        <v>2.2</v>
      </c>
      <c r="H30" s="65">
        <v>12.2</v>
      </c>
      <c r="I30" s="67">
        <v>7.3</v>
      </c>
      <c r="J30" s="66">
        <v>0.04</v>
      </c>
      <c r="K30" s="67">
        <v>1.1</v>
      </c>
      <c r="L30" s="68" t="s">
        <v>166</v>
      </c>
      <c r="M30" s="67">
        <v>0.6</v>
      </c>
      <c r="N30" s="170">
        <v>0.088</v>
      </c>
      <c r="O30" s="169">
        <v>0.2</v>
      </c>
      <c r="P30" s="183">
        <v>0.0042</v>
      </c>
    </row>
    <row r="31" spans="1:16" ht="15" customHeight="1" outlineLevel="1">
      <c r="A31" s="801"/>
      <c r="B31" s="29" t="s">
        <v>123</v>
      </c>
      <c r="C31" s="206" t="s">
        <v>222</v>
      </c>
      <c r="D31" s="206" t="s">
        <v>223</v>
      </c>
      <c r="E31" s="65">
        <v>7.3</v>
      </c>
      <c r="F31" s="65" t="s">
        <v>161</v>
      </c>
      <c r="G31" s="65">
        <v>2.5</v>
      </c>
      <c r="H31" s="65">
        <v>12.7</v>
      </c>
      <c r="I31" s="67">
        <v>7.4</v>
      </c>
      <c r="J31" s="66">
        <v>0.04</v>
      </c>
      <c r="K31" s="67">
        <v>1</v>
      </c>
      <c r="L31" s="68" t="s">
        <v>166</v>
      </c>
      <c r="M31" s="67">
        <v>0.5</v>
      </c>
      <c r="N31" s="170">
        <v>0.088</v>
      </c>
      <c r="O31" s="169">
        <v>0.21</v>
      </c>
      <c r="P31" s="82" t="s">
        <v>264</v>
      </c>
    </row>
    <row r="32" spans="1:16" ht="15" customHeight="1" outlineLevel="1">
      <c r="A32" s="801"/>
      <c r="B32" s="29" t="s">
        <v>124</v>
      </c>
      <c r="C32" s="206" t="s">
        <v>224</v>
      </c>
      <c r="D32" s="206" t="s">
        <v>225</v>
      </c>
      <c r="E32" s="65">
        <v>6.6</v>
      </c>
      <c r="F32" s="65" t="s">
        <v>161</v>
      </c>
      <c r="G32" s="65">
        <v>1.1</v>
      </c>
      <c r="H32" s="65">
        <v>8.8</v>
      </c>
      <c r="I32" s="67">
        <v>9.1</v>
      </c>
      <c r="J32" s="66">
        <v>0.05</v>
      </c>
      <c r="K32" s="67">
        <v>0.5</v>
      </c>
      <c r="L32" s="68" t="s">
        <v>166</v>
      </c>
      <c r="M32" s="67">
        <v>0.3</v>
      </c>
      <c r="N32" s="170">
        <v>0.04</v>
      </c>
      <c r="O32" s="170">
        <v>0.09</v>
      </c>
      <c r="P32" s="64" t="s">
        <v>264</v>
      </c>
    </row>
    <row r="33" spans="1:16" ht="15" customHeight="1" outlineLevel="1">
      <c r="A33" s="801"/>
      <c r="B33" s="29" t="s">
        <v>125</v>
      </c>
      <c r="C33" s="206" t="s">
        <v>226</v>
      </c>
      <c r="D33" s="206" t="s">
        <v>227</v>
      </c>
      <c r="E33" s="65">
        <v>7</v>
      </c>
      <c r="F33" s="65" t="s">
        <v>161</v>
      </c>
      <c r="G33" s="65">
        <v>1.8</v>
      </c>
      <c r="H33" s="65">
        <v>11</v>
      </c>
      <c r="I33" s="67">
        <v>10.1</v>
      </c>
      <c r="J33" s="66">
        <v>0.05</v>
      </c>
      <c r="K33" s="67">
        <v>0.8</v>
      </c>
      <c r="L33" s="68">
        <v>2</v>
      </c>
      <c r="M33" s="67">
        <v>0.2</v>
      </c>
      <c r="N33" s="170">
        <v>0.057</v>
      </c>
      <c r="O33" s="169">
        <v>0.13</v>
      </c>
      <c r="P33" s="64" t="s">
        <v>264</v>
      </c>
    </row>
    <row r="34" spans="1:16" ht="15" customHeight="1" outlineLevel="1">
      <c r="A34" s="802"/>
      <c r="B34" s="30" t="s">
        <v>126</v>
      </c>
      <c r="C34" s="207" t="s">
        <v>280</v>
      </c>
      <c r="D34" s="207" t="s">
        <v>281</v>
      </c>
      <c r="E34" s="69">
        <v>7.1</v>
      </c>
      <c r="F34" s="84" t="s">
        <v>161</v>
      </c>
      <c r="G34" s="69">
        <v>2.9</v>
      </c>
      <c r="H34" s="69">
        <v>12.1</v>
      </c>
      <c r="I34" s="245">
        <v>103</v>
      </c>
      <c r="J34" s="70">
        <v>0.54</v>
      </c>
      <c r="K34" s="71">
        <v>1.3</v>
      </c>
      <c r="L34" s="72">
        <v>3</v>
      </c>
      <c r="M34" s="71">
        <v>1.5</v>
      </c>
      <c r="N34" s="173">
        <v>0.063</v>
      </c>
      <c r="O34" s="171">
        <v>0.14</v>
      </c>
      <c r="P34" s="73" t="s">
        <v>264</v>
      </c>
    </row>
    <row r="35" spans="1:16" ht="15" customHeight="1">
      <c r="A35" s="820" t="s">
        <v>148</v>
      </c>
      <c r="B35" s="27" t="s">
        <v>138</v>
      </c>
      <c r="C35" s="798" t="s">
        <v>274</v>
      </c>
      <c r="D35" s="798" t="s">
        <v>277</v>
      </c>
      <c r="E35" s="74">
        <v>7.4</v>
      </c>
      <c r="F35" s="57">
        <v>0.7</v>
      </c>
      <c r="G35" s="74">
        <v>3.7</v>
      </c>
      <c r="H35" s="74">
        <v>10.3</v>
      </c>
      <c r="I35" s="75">
        <v>7.2</v>
      </c>
      <c r="J35" s="90">
        <v>0.04</v>
      </c>
      <c r="K35" s="75">
        <v>1.8</v>
      </c>
      <c r="L35" s="91">
        <v>2</v>
      </c>
      <c r="M35" s="75">
        <v>1.6</v>
      </c>
      <c r="N35" s="252">
        <v>0.11</v>
      </c>
      <c r="O35" s="168">
        <v>0.25</v>
      </c>
      <c r="P35" s="182" t="s">
        <v>264</v>
      </c>
    </row>
    <row r="36" spans="1:16" ht="15" customHeight="1">
      <c r="A36" s="801"/>
      <c r="B36" s="33" t="s">
        <v>139</v>
      </c>
      <c r="C36" s="803"/>
      <c r="D36" s="803"/>
      <c r="E36" s="76">
        <v>7.3</v>
      </c>
      <c r="F36" s="65">
        <v>1.1</v>
      </c>
      <c r="G36" s="76">
        <v>4.1</v>
      </c>
      <c r="H36" s="76">
        <v>10.2</v>
      </c>
      <c r="I36" s="37">
        <v>7.3</v>
      </c>
      <c r="J36" s="77">
        <v>0.04</v>
      </c>
      <c r="K36" s="37">
        <v>2</v>
      </c>
      <c r="L36" s="83">
        <v>3</v>
      </c>
      <c r="M36" s="37">
        <v>2.5</v>
      </c>
      <c r="N36" s="253">
        <v>0.046</v>
      </c>
      <c r="O36" s="169">
        <v>0.1</v>
      </c>
      <c r="P36" s="184">
        <v>0.0018</v>
      </c>
    </row>
    <row r="37" spans="1:16" ht="15" customHeight="1">
      <c r="A37" s="801"/>
      <c r="B37" s="29" t="s">
        <v>141</v>
      </c>
      <c r="C37" s="795" t="s">
        <v>275</v>
      </c>
      <c r="D37" s="795" t="s">
        <v>278</v>
      </c>
      <c r="E37" s="65">
        <v>7.3</v>
      </c>
      <c r="F37" s="65">
        <v>0.9</v>
      </c>
      <c r="G37" s="65">
        <v>3.6</v>
      </c>
      <c r="H37" s="65">
        <v>9.9</v>
      </c>
      <c r="I37" s="67">
        <v>7.5</v>
      </c>
      <c r="J37" s="66">
        <v>0.04</v>
      </c>
      <c r="K37" s="67">
        <v>1.9</v>
      </c>
      <c r="L37" s="68">
        <v>2</v>
      </c>
      <c r="M37" s="67">
        <v>1.5</v>
      </c>
      <c r="N37" s="253">
        <v>0.037</v>
      </c>
      <c r="O37" s="170">
        <v>0.09</v>
      </c>
      <c r="P37" s="82" t="s">
        <v>264</v>
      </c>
    </row>
    <row r="38" spans="1:16" ht="15" customHeight="1">
      <c r="A38" s="801"/>
      <c r="B38" s="29" t="s">
        <v>140</v>
      </c>
      <c r="C38" s="796"/>
      <c r="D38" s="796"/>
      <c r="E38" s="65">
        <v>7.4</v>
      </c>
      <c r="F38" s="65">
        <v>1.5</v>
      </c>
      <c r="G38" s="65">
        <v>4.4</v>
      </c>
      <c r="H38" s="65">
        <v>10</v>
      </c>
      <c r="I38" s="67">
        <v>7.5</v>
      </c>
      <c r="J38" s="66">
        <v>0.04</v>
      </c>
      <c r="K38" s="67">
        <v>2.4</v>
      </c>
      <c r="L38" s="68">
        <v>3</v>
      </c>
      <c r="M38" s="67">
        <v>2.5</v>
      </c>
      <c r="N38" s="253">
        <v>0.048</v>
      </c>
      <c r="O38" s="169">
        <v>0.1</v>
      </c>
      <c r="P38" s="64" t="s">
        <v>264</v>
      </c>
    </row>
    <row r="39" spans="1:16" ht="15" customHeight="1">
      <c r="A39" s="801"/>
      <c r="B39" s="29" t="s">
        <v>142</v>
      </c>
      <c r="C39" s="795" t="s">
        <v>276</v>
      </c>
      <c r="D39" s="795" t="s">
        <v>279</v>
      </c>
      <c r="E39" s="84">
        <v>7.4</v>
      </c>
      <c r="F39" s="84">
        <v>1</v>
      </c>
      <c r="G39" s="84">
        <v>3.9</v>
      </c>
      <c r="H39" s="84">
        <v>10</v>
      </c>
      <c r="I39" s="86">
        <v>7.3</v>
      </c>
      <c r="J39" s="85">
        <v>0.04</v>
      </c>
      <c r="K39" s="86">
        <v>2</v>
      </c>
      <c r="L39" s="87">
        <v>2</v>
      </c>
      <c r="M39" s="86">
        <v>1.6</v>
      </c>
      <c r="N39" s="254">
        <v>0.035</v>
      </c>
      <c r="O39" s="174">
        <v>0.086</v>
      </c>
      <c r="P39" s="88" t="s">
        <v>264</v>
      </c>
    </row>
    <row r="40" spans="1:16" ht="15" customHeight="1">
      <c r="A40" s="802"/>
      <c r="B40" s="30" t="s">
        <v>143</v>
      </c>
      <c r="C40" s="797"/>
      <c r="D40" s="797"/>
      <c r="E40" s="69">
        <v>7.4</v>
      </c>
      <c r="F40" s="69">
        <v>1.2</v>
      </c>
      <c r="G40" s="69">
        <v>5</v>
      </c>
      <c r="H40" s="69">
        <v>10.3</v>
      </c>
      <c r="I40" s="71">
        <v>7.3</v>
      </c>
      <c r="J40" s="70">
        <v>0.04</v>
      </c>
      <c r="K40" s="71">
        <v>2.4</v>
      </c>
      <c r="L40" s="72">
        <v>2</v>
      </c>
      <c r="M40" s="71">
        <v>2.8</v>
      </c>
      <c r="N40" s="255">
        <v>0.041</v>
      </c>
      <c r="O40" s="173">
        <v>0.093</v>
      </c>
      <c r="P40" s="73" t="s">
        <v>264</v>
      </c>
    </row>
    <row r="41" spans="1:16" ht="15" customHeight="1">
      <c r="A41" s="819" t="s">
        <v>39</v>
      </c>
      <c r="B41" s="27" t="s">
        <v>127</v>
      </c>
      <c r="C41" s="798" t="s">
        <v>173</v>
      </c>
      <c r="D41" s="798" t="s">
        <v>174</v>
      </c>
      <c r="E41" s="57">
        <v>7.2</v>
      </c>
      <c r="F41" s="60" t="s">
        <v>162</v>
      </c>
      <c r="G41" s="57">
        <v>3.5</v>
      </c>
      <c r="H41" s="57">
        <v>10.2</v>
      </c>
      <c r="I41" s="35">
        <v>5.3</v>
      </c>
      <c r="J41" s="58">
        <v>0.03</v>
      </c>
      <c r="K41" s="35">
        <v>1.8</v>
      </c>
      <c r="L41" s="59">
        <v>2</v>
      </c>
      <c r="M41" s="35">
        <v>1.9</v>
      </c>
      <c r="N41" s="256">
        <v>0.0079</v>
      </c>
      <c r="O41" s="172">
        <v>0.017</v>
      </c>
      <c r="P41" s="81" t="s">
        <v>264</v>
      </c>
    </row>
    <row r="42" spans="1:16" ht="15" customHeight="1">
      <c r="A42" s="801"/>
      <c r="B42" s="33" t="s">
        <v>128</v>
      </c>
      <c r="C42" s="803"/>
      <c r="D42" s="803"/>
      <c r="E42" s="60">
        <v>7.2</v>
      </c>
      <c r="F42" s="60">
        <v>0.7</v>
      </c>
      <c r="G42" s="60">
        <v>3.6</v>
      </c>
      <c r="H42" s="60">
        <v>10.2</v>
      </c>
      <c r="I42" s="62">
        <v>5.2</v>
      </c>
      <c r="J42" s="61">
        <v>0.03</v>
      </c>
      <c r="K42" s="62">
        <v>1.4</v>
      </c>
      <c r="L42" s="63">
        <v>3</v>
      </c>
      <c r="M42" s="62">
        <v>2.1</v>
      </c>
      <c r="N42" s="257">
        <v>0.0098</v>
      </c>
      <c r="O42" s="177">
        <v>0.021</v>
      </c>
      <c r="P42" s="82" t="s">
        <v>264</v>
      </c>
    </row>
    <row r="43" spans="1:16" ht="15" customHeight="1">
      <c r="A43" s="801"/>
      <c r="B43" s="29" t="s">
        <v>129</v>
      </c>
      <c r="C43" s="795" t="s">
        <v>175</v>
      </c>
      <c r="D43" s="795" t="s">
        <v>176</v>
      </c>
      <c r="E43" s="65">
        <v>7.2</v>
      </c>
      <c r="F43" s="65">
        <v>0.5</v>
      </c>
      <c r="G43" s="76">
        <v>3.6</v>
      </c>
      <c r="H43" s="76">
        <v>9.9</v>
      </c>
      <c r="I43" s="67">
        <v>5.2</v>
      </c>
      <c r="J43" s="77">
        <v>0.03</v>
      </c>
      <c r="K43" s="37">
        <v>1.6</v>
      </c>
      <c r="L43" s="83">
        <v>2</v>
      </c>
      <c r="M43" s="37">
        <v>2.2</v>
      </c>
      <c r="N43" s="258">
        <v>0.007</v>
      </c>
      <c r="O43" s="170">
        <v>0.017</v>
      </c>
      <c r="P43" s="88" t="s">
        <v>264</v>
      </c>
    </row>
    <row r="44" spans="1:16" ht="15" customHeight="1">
      <c r="A44" s="801"/>
      <c r="B44" s="29" t="s">
        <v>144</v>
      </c>
      <c r="C44" s="796"/>
      <c r="D44" s="796"/>
      <c r="E44" s="65">
        <v>7.2</v>
      </c>
      <c r="F44" s="65">
        <v>0.5</v>
      </c>
      <c r="G44" s="76">
        <v>3.8</v>
      </c>
      <c r="H44" s="76">
        <v>10.5</v>
      </c>
      <c r="I44" s="67">
        <v>5.2</v>
      </c>
      <c r="J44" s="77">
        <v>0.03</v>
      </c>
      <c r="K44" s="37">
        <v>1.4</v>
      </c>
      <c r="L44" s="83">
        <v>3</v>
      </c>
      <c r="M44" s="37">
        <v>2.2</v>
      </c>
      <c r="N44" s="253">
        <v>0.029</v>
      </c>
      <c r="O44" s="170">
        <v>0.059</v>
      </c>
      <c r="P44" s="184">
        <v>0.0015</v>
      </c>
    </row>
    <row r="45" spans="1:16" ht="15" customHeight="1">
      <c r="A45" s="801"/>
      <c r="B45" s="29" t="s">
        <v>130</v>
      </c>
      <c r="C45" s="795" t="s">
        <v>177</v>
      </c>
      <c r="D45" s="795" t="s">
        <v>178</v>
      </c>
      <c r="E45" s="84">
        <v>7.2</v>
      </c>
      <c r="F45" s="65" t="s">
        <v>162</v>
      </c>
      <c r="G45" s="84">
        <v>3.2</v>
      </c>
      <c r="H45" s="84">
        <v>10.5</v>
      </c>
      <c r="I45" s="86">
        <v>5.4</v>
      </c>
      <c r="J45" s="85">
        <v>0.03</v>
      </c>
      <c r="K45" s="86">
        <v>1.4</v>
      </c>
      <c r="L45" s="87">
        <v>3</v>
      </c>
      <c r="M45" s="86">
        <v>1.6</v>
      </c>
      <c r="N45" s="254">
        <v>0.011</v>
      </c>
      <c r="O45" s="174">
        <v>0.029</v>
      </c>
      <c r="P45" s="185" t="s">
        <v>264</v>
      </c>
    </row>
    <row r="46" spans="1:16" ht="15" customHeight="1">
      <c r="A46" s="802"/>
      <c r="B46" s="89" t="s">
        <v>131</v>
      </c>
      <c r="C46" s="797"/>
      <c r="D46" s="797"/>
      <c r="E46" s="69">
        <v>7.3</v>
      </c>
      <c r="F46" s="69">
        <v>0.9</v>
      </c>
      <c r="G46" s="69">
        <v>3.6</v>
      </c>
      <c r="H46" s="69">
        <v>10.8</v>
      </c>
      <c r="I46" s="71">
        <v>5.4</v>
      </c>
      <c r="J46" s="70">
        <v>0.03</v>
      </c>
      <c r="K46" s="71">
        <v>1.5</v>
      </c>
      <c r="L46" s="72">
        <v>3</v>
      </c>
      <c r="M46" s="71">
        <v>1.9</v>
      </c>
      <c r="N46" s="255">
        <v>0.015</v>
      </c>
      <c r="O46" s="173">
        <v>0.035</v>
      </c>
      <c r="P46" s="73" t="s">
        <v>264</v>
      </c>
    </row>
    <row r="47" spans="1:16" ht="15" customHeight="1">
      <c r="A47" s="819" t="s">
        <v>40</v>
      </c>
      <c r="B47" s="27" t="s">
        <v>132</v>
      </c>
      <c r="C47" s="798" t="s">
        <v>179</v>
      </c>
      <c r="D47" s="798" t="s">
        <v>180</v>
      </c>
      <c r="E47" s="74">
        <v>6.9</v>
      </c>
      <c r="F47" s="65" t="s">
        <v>161</v>
      </c>
      <c r="G47" s="74">
        <v>1.5</v>
      </c>
      <c r="H47" s="74">
        <v>10.7</v>
      </c>
      <c r="I47" s="75">
        <v>11.4</v>
      </c>
      <c r="J47" s="90">
        <v>0.06</v>
      </c>
      <c r="K47" s="75">
        <v>0.7</v>
      </c>
      <c r="L47" s="59">
        <v>2</v>
      </c>
      <c r="M47" s="75">
        <v>0.9</v>
      </c>
      <c r="N47" s="175">
        <v>0.008</v>
      </c>
      <c r="O47" s="172">
        <v>0.022</v>
      </c>
      <c r="P47" s="182" t="s">
        <v>264</v>
      </c>
    </row>
    <row r="48" spans="1:16" ht="15" customHeight="1">
      <c r="A48" s="801"/>
      <c r="B48" s="29" t="s">
        <v>133</v>
      </c>
      <c r="C48" s="803"/>
      <c r="D48" s="803"/>
      <c r="E48" s="76">
        <v>6.1</v>
      </c>
      <c r="F48" s="65" t="s">
        <v>161</v>
      </c>
      <c r="G48" s="76">
        <v>1.6</v>
      </c>
      <c r="H48" s="76">
        <v>11</v>
      </c>
      <c r="I48" s="37">
        <v>12.6</v>
      </c>
      <c r="J48" s="77">
        <v>0.07</v>
      </c>
      <c r="K48" s="37">
        <v>0.6</v>
      </c>
      <c r="L48" s="83">
        <v>3</v>
      </c>
      <c r="M48" s="37">
        <v>1</v>
      </c>
      <c r="N48" s="178">
        <v>0.0098</v>
      </c>
      <c r="O48" s="170">
        <v>0.022</v>
      </c>
      <c r="P48" s="261">
        <v>0.00095</v>
      </c>
    </row>
    <row r="49" spans="1:16" ht="15" customHeight="1">
      <c r="A49" s="801"/>
      <c r="B49" s="29" t="s">
        <v>136</v>
      </c>
      <c r="C49" s="795" t="s">
        <v>181</v>
      </c>
      <c r="D49" s="795" t="s">
        <v>182</v>
      </c>
      <c r="E49" s="65">
        <v>6.7</v>
      </c>
      <c r="F49" s="65" t="s">
        <v>162</v>
      </c>
      <c r="G49" s="65">
        <v>1.4</v>
      </c>
      <c r="H49" s="65">
        <v>10.8</v>
      </c>
      <c r="I49" s="67">
        <v>11.3</v>
      </c>
      <c r="J49" s="66">
        <v>0.06</v>
      </c>
      <c r="K49" s="67">
        <v>0.6</v>
      </c>
      <c r="L49" s="68">
        <v>2</v>
      </c>
      <c r="M49" s="67">
        <v>0.8</v>
      </c>
      <c r="N49" s="178">
        <v>0.0078</v>
      </c>
      <c r="O49" s="170">
        <v>0.022</v>
      </c>
      <c r="P49" s="82" t="s">
        <v>264</v>
      </c>
    </row>
    <row r="50" spans="1:16" ht="15" customHeight="1">
      <c r="A50" s="801"/>
      <c r="B50" s="29" t="s">
        <v>137</v>
      </c>
      <c r="C50" s="796"/>
      <c r="D50" s="796"/>
      <c r="E50" s="65">
        <v>6.7</v>
      </c>
      <c r="F50" s="65" t="s">
        <v>162</v>
      </c>
      <c r="G50" s="65">
        <v>1.7</v>
      </c>
      <c r="H50" s="65">
        <v>11</v>
      </c>
      <c r="I50" s="67">
        <v>11.3</v>
      </c>
      <c r="J50" s="66">
        <v>0.06</v>
      </c>
      <c r="K50" s="67">
        <v>0.6</v>
      </c>
      <c r="L50" s="68">
        <v>4</v>
      </c>
      <c r="M50" s="67">
        <v>1.9</v>
      </c>
      <c r="N50" s="251">
        <v>0.0076</v>
      </c>
      <c r="O50" s="174">
        <v>0.022</v>
      </c>
      <c r="P50" s="64" t="s">
        <v>264</v>
      </c>
    </row>
    <row r="51" spans="1:16" ht="15" customHeight="1">
      <c r="A51" s="801"/>
      <c r="B51" s="33" t="s">
        <v>134</v>
      </c>
      <c r="C51" s="795" t="s">
        <v>183</v>
      </c>
      <c r="D51" s="795" t="s">
        <v>184</v>
      </c>
      <c r="E51" s="65">
        <v>6.7</v>
      </c>
      <c r="F51" s="65">
        <v>0.6</v>
      </c>
      <c r="G51" s="65">
        <v>2.1</v>
      </c>
      <c r="H51" s="65">
        <v>11.3</v>
      </c>
      <c r="I51" s="67">
        <v>11.4</v>
      </c>
      <c r="J51" s="66">
        <v>0.06</v>
      </c>
      <c r="K51" s="67">
        <v>1.3</v>
      </c>
      <c r="L51" s="68">
        <v>2</v>
      </c>
      <c r="M51" s="67">
        <v>1</v>
      </c>
      <c r="N51" s="178">
        <v>0.0093</v>
      </c>
      <c r="O51" s="170">
        <v>0.021</v>
      </c>
      <c r="P51" s="82" t="s">
        <v>264</v>
      </c>
    </row>
    <row r="52" spans="1:16" ht="15" customHeight="1">
      <c r="A52" s="802"/>
      <c r="B52" s="30" t="s">
        <v>135</v>
      </c>
      <c r="C52" s="799"/>
      <c r="D52" s="799"/>
      <c r="E52" s="69">
        <v>6.7</v>
      </c>
      <c r="F52" s="69">
        <v>0.6</v>
      </c>
      <c r="G52" s="69">
        <v>2</v>
      </c>
      <c r="H52" s="69">
        <v>11.2</v>
      </c>
      <c r="I52" s="71">
        <v>11.4</v>
      </c>
      <c r="J52" s="70">
        <v>0.06</v>
      </c>
      <c r="K52" s="71">
        <v>1.1</v>
      </c>
      <c r="L52" s="72">
        <v>2</v>
      </c>
      <c r="M52" s="71">
        <v>1.4</v>
      </c>
      <c r="N52" s="255">
        <v>0.014</v>
      </c>
      <c r="O52" s="174">
        <v>0.031</v>
      </c>
      <c r="P52" s="88" t="s">
        <v>264</v>
      </c>
    </row>
    <row r="53" spans="1:16" ht="15" customHeight="1">
      <c r="A53" s="815" t="s">
        <v>151</v>
      </c>
      <c r="B53" s="33" t="s">
        <v>662</v>
      </c>
      <c r="C53" s="798" t="s">
        <v>248</v>
      </c>
      <c r="D53" s="798" t="s">
        <v>249</v>
      </c>
      <c r="E53" s="155">
        <v>8.1</v>
      </c>
      <c r="F53" s="60" t="s">
        <v>162</v>
      </c>
      <c r="G53" s="155">
        <v>1.2</v>
      </c>
      <c r="H53" s="155">
        <v>9.4</v>
      </c>
      <c r="I53" s="156">
        <v>4960</v>
      </c>
      <c r="J53" s="157">
        <v>32.38</v>
      </c>
      <c r="K53" s="124">
        <v>1</v>
      </c>
      <c r="L53" s="158">
        <v>1</v>
      </c>
      <c r="M53" s="124">
        <v>0.4</v>
      </c>
      <c r="N53" s="176">
        <v>0.0034</v>
      </c>
      <c r="O53" s="256">
        <v>0.0095</v>
      </c>
      <c r="P53" s="182" t="s">
        <v>264</v>
      </c>
    </row>
    <row r="54" spans="1:16" ht="15" customHeight="1">
      <c r="A54" s="816"/>
      <c r="B54" s="30" t="s">
        <v>663</v>
      </c>
      <c r="C54" s="797"/>
      <c r="D54" s="797"/>
      <c r="E54" s="78">
        <v>8.1</v>
      </c>
      <c r="F54" s="69" t="s">
        <v>162</v>
      </c>
      <c r="G54" s="78">
        <v>1.7</v>
      </c>
      <c r="H54" s="78">
        <v>8.7</v>
      </c>
      <c r="I54" s="125">
        <v>5220</v>
      </c>
      <c r="J54" s="79">
        <v>33.25</v>
      </c>
      <c r="K54" s="80">
        <v>1</v>
      </c>
      <c r="L54" s="92">
        <v>7</v>
      </c>
      <c r="M54" s="80">
        <v>2.9</v>
      </c>
      <c r="N54" s="251">
        <v>0.0093</v>
      </c>
      <c r="O54" s="255">
        <v>0.023</v>
      </c>
      <c r="P54" s="260">
        <v>0.00088</v>
      </c>
    </row>
    <row r="55" spans="1:16" ht="15" customHeight="1">
      <c r="A55" s="815" t="s">
        <v>150</v>
      </c>
      <c r="B55" s="33" t="s">
        <v>113</v>
      </c>
      <c r="C55" s="205" t="s">
        <v>254</v>
      </c>
      <c r="D55" s="33" t="s">
        <v>255</v>
      </c>
      <c r="E55" s="155">
        <v>8.1</v>
      </c>
      <c r="F55" s="60">
        <v>0.6</v>
      </c>
      <c r="G55" s="155">
        <v>1.4</v>
      </c>
      <c r="H55" s="155">
        <v>9.1</v>
      </c>
      <c r="I55" s="156">
        <v>4980</v>
      </c>
      <c r="J55" s="157">
        <v>32.54</v>
      </c>
      <c r="K55" s="124">
        <v>1.3</v>
      </c>
      <c r="L55" s="158">
        <v>2</v>
      </c>
      <c r="M55" s="124">
        <v>1.1</v>
      </c>
      <c r="N55" s="256">
        <v>0.0064</v>
      </c>
      <c r="O55" s="177">
        <v>0.017</v>
      </c>
      <c r="P55" s="325">
        <v>0.00078</v>
      </c>
    </row>
    <row r="56" spans="1:16" ht="15" customHeight="1">
      <c r="A56" s="816"/>
      <c r="B56" s="30" t="s">
        <v>114</v>
      </c>
      <c r="C56" s="209" t="s">
        <v>256</v>
      </c>
      <c r="D56" s="89" t="s">
        <v>257</v>
      </c>
      <c r="E56" s="246">
        <v>8.1</v>
      </c>
      <c r="F56" s="84">
        <v>0.7</v>
      </c>
      <c r="G56" s="246">
        <v>1.4</v>
      </c>
      <c r="H56" s="246">
        <v>9.2</v>
      </c>
      <c r="I56" s="247">
        <v>5080</v>
      </c>
      <c r="J56" s="248">
        <v>32.57</v>
      </c>
      <c r="K56" s="249">
        <v>0.9</v>
      </c>
      <c r="L56" s="250">
        <v>2</v>
      </c>
      <c r="M56" s="249">
        <v>0.9</v>
      </c>
      <c r="N56" s="179">
        <v>0.0062</v>
      </c>
      <c r="O56" s="173">
        <v>0.018</v>
      </c>
      <c r="P56" s="73" t="s">
        <v>264</v>
      </c>
    </row>
    <row r="57" spans="1:16" ht="15" customHeight="1">
      <c r="A57" s="817" t="s">
        <v>149</v>
      </c>
      <c r="B57" s="27" t="s">
        <v>153</v>
      </c>
      <c r="C57" s="798" t="s">
        <v>260</v>
      </c>
      <c r="D57" s="798" t="s">
        <v>261</v>
      </c>
      <c r="E57" s="74">
        <v>8.1</v>
      </c>
      <c r="F57" s="57" t="s">
        <v>266</v>
      </c>
      <c r="G57" s="74">
        <v>1</v>
      </c>
      <c r="H57" s="74">
        <v>8.1</v>
      </c>
      <c r="I57" s="159">
        <v>5280</v>
      </c>
      <c r="J57" s="90">
        <v>33.79</v>
      </c>
      <c r="K57" s="75">
        <v>0.8</v>
      </c>
      <c r="L57" s="59">
        <v>1</v>
      </c>
      <c r="M57" s="75">
        <v>0.4</v>
      </c>
      <c r="N57" s="763" t="s">
        <v>651</v>
      </c>
      <c r="O57" s="178">
        <v>0.0094</v>
      </c>
      <c r="P57" s="185" t="s">
        <v>264</v>
      </c>
    </row>
    <row r="58" spans="1:16" ht="15" customHeight="1">
      <c r="A58" s="818"/>
      <c r="B58" s="89" t="s">
        <v>154</v>
      </c>
      <c r="C58" s="799"/>
      <c r="D58" s="799"/>
      <c r="E58" s="78">
        <v>8.1</v>
      </c>
      <c r="F58" s="69">
        <v>0.6</v>
      </c>
      <c r="G58" s="78">
        <v>1.2</v>
      </c>
      <c r="H58" s="78">
        <v>8.5</v>
      </c>
      <c r="I58" s="125">
        <v>5240</v>
      </c>
      <c r="J58" s="79">
        <v>33.79</v>
      </c>
      <c r="K58" s="80">
        <v>0.9</v>
      </c>
      <c r="L58" s="92">
        <v>4</v>
      </c>
      <c r="M58" s="80">
        <v>0.6</v>
      </c>
      <c r="N58" s="244">
        <v>0.0035</v>
      </c>
      <c r="O58" s="259">
        <v>0.0086</v>
      </c>
      <c r="P58" s="186">
        <v>0.0012</v>
      </c>
    </row>
    <row r="59" spans="1:13" ht="15" customHeight="1">
      <c r="A59" s="116" t="s">
        <v>630</v>
      </c>
      <c r="E59" s="93"/>
      <c r="F59" s="93"/>
      <c r="G59" s="93"/>
      <c r="H59" s="93"/>
      <c r="I59" s="93"/>
      <c r="J59" s="93"/>
      <c r="K59" s="93"/>
      <c r="L59" s="93"/>
      <c r="M59" s="93"/>
    </row>
    <row r="60" spans="5:13" ht="15" customHeight="1">
      <c r="E60" s="95"/>
      <c r="F60" s="95"/>
      <c r="G60" s="95"/>
      <c r="H60" s="95"/>
      <c r="I60" s="95"/>
      <c r="J60" s="95"/>
      <c r="K60" s="95"/>
      <c r="L60" s="95"/>
      <c r="M60" s="95"/>
    </row>
    <row r="61" spans="5:13" ht="15" customHeight="1">
      <c r="E61" s="95"/>
      <c r="F61" s="95"/>
      <c r="G61" s="95"/>
      <c r="H61" s="95"/>
      <c r="I61" s="95"/>
      <c r="J61" s="95"/>
      <c r="K61" s="95"/>
      <c r="L61" s="95"/>
      <c r="M61" s="95"/>
    </row>
    <row r="62" spans="5:13" ht="15" customHeight="1">
      <c r="E62" s="95"/>
      <c r="F62" s="95"/>
      <c r="G62" s="95"/>
      <c r="H62" s="95"/>
      <c r="I62" s="95"/>
      <c r="J62" s="95"/>
      <c r="K62" s="95"/>
      <c r="L62" s="95"/>
      <c r="M62" s="95"/>
    </row>
    <row r="63" spans="5:13" ht="15" customHeight="1">
      <c r="E63" s="95"/>
      <c r="F63" s="95"/>
      <c r="G63" s="95"/>
      <c r="H63" s="95"/>
      <c r="I63" s="95"/>
      <c r="J63" s="95"/>
      <c r="K63" s="95"/>
      <c r="L63" s="95"/>
      <c r="M63" s="95"/>
    </row>
    <row r="64" spans="5:13" ht="15" customHeight="1">
      <c r="E64" s="95"/>
      <c r="F64" s="95"/>
      <c r="G64" s="95"/>
      <c r="H64" s="95"/>
      <c r="I64" s="95"/>
      <c r="J64" s="95"/>
      <c r="K64" s="95"/>
      <c r="L64" s="95"/>
      <c r="M64" s="95"/>
    </row>
    <row r="65" spans="5:13" ht="15" customHeight="1">
      <c r="E65" s="95"/>
      <c r="F65" s="95"/>
      <c r="G65" s="95"/>
      <c r="H65" s="95"/>
      <c r="I65" s="95"/>
      <c r="J65" s="95"/>
      <c r="K65" s="95"/>
      <c r="L65" s="95"/>
      <c r="M65" s="95"/>
    </row>
  </sheetData>
  <sheetProtection/>
  <mergeCells count="41">
    <mergeCell ref="A53:A54"/>
    <mergeCell ref="A57:A58"/>
    <mergeCell ref="A29:A34"/>
    <mergeCell ref="A55:A56"/>
    <mergeCell ref="A41:A46"/>
    <mergeCell ref="A47:A52"/>
    <mergeCell ref="A35:A40"/>
    <mergeCell ref="A23:A28"/>
    <mergeCell ref="E2:P2"/>
    <mergeCell ref="C5:C6"/>
    <mergeCell ref="D5:D6"/>
    <mergeCell ref="A5:A10"/>
    <mergeCell ref="E3:E4"/>
    <mergeCell ref="J3:J4"/>
    <mergeCell ref="D3:D4"/>
    <mergeCell ref="A2:D2"/>
    <mergeCell ref="C3:C4"/>
    <mergeCell ref="C35:C36"/>
    <mergeCell ref="D35:D36"/>
    <mergeCell ref="C37:C38"/>
    <mergeCell ref="D37:D38"/>
    <mergeCell ref="C39:C40"/>
    <mergeCell ref="D41:D42"/>
    <mergeCell ref="A11:A16"/>
    <mergeCell ref="C51:C52"/>
    <mergeCell ref="D51:D52"/>
    <mergeCell ref="D39:D40"/>
    <mergeCell ref="D43:D44"/>
    <mergeCell ref="C41:C42"/>
    <mergeCell ref="C47:C48"/>
    <mergeCell ref="D47:D48"/>
    <mergeCell ref="A17:A22"/>
    <mergeCell ref="C43:C44"/>
    <mergeCell ref="C49:C50"/>
    <mergeCell ref="D49:D50"/>
    <mergeCell ref="C45:C46"/>
    <mergeCell ref="D45:D46"/>
    <mergeCell ref="C57:C58"/>
    <mergeCell ref="D57:D58"/>
    <mergeCell ref="C53:C54"/>
    <mergeCell ref="D53:D54"/>
  </mergeCells>
  <conditionalFormatting sqref="E5:M58">
    <cfRule type="expression" priority="1" dxfId="0" stopIfTrue="1">
      <formula>LEN(TRIM(E5))=0</formula>
    </cfRule>
  </conditionalFormatting>
  <printOptions/>
  <pageMargins left="0.9055118110236221" right="0.5905511811023623" top="0.3937007874015748" bottom="0.3937007874015748" header="0.3937007874015748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19"/>
  <sheetViews>
    <sheetView tabSelected="1" zoomScale="70" zoomScaleNormal="70" zoomScaleSheetLayoutView="100" zoomScalePageLayoutView="0" workbookViewId="0" topLeftCell="A1">
      <pane xSplit="2" ySplit="6" topLeftCell="E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50" sqref="N50"/>
    </sheetView>
  </sheetViews>
  <sheetFormatPr defaultColWidth="9.00390625" defaultRowHeight="13.5"/>
  <cols>
    <col min="1" max="1" width="15.625" style="110" customWidth="1"/>
    <col min="2" max="2" width="8.125" style="49" customWidth="1"/>
    <col min="3" max="3" width="11.625" style="44" customWidth="1"/>
    <col min="4" max="4" width="11.625" style="144" customWidth="1"/>
    <col min="5" max="5" width="7.375" style="152" customWidth="1"/>
    <col min="6" max="6" width="10.625" style="146" customWidth="1"/>
    <col min="7" max="8" width="7.375" style="3" customWidth="1"/>
    <col min="9" max="16" width="11.00390625" style="45" customWidth="1"/>
    <col min="17" max="17" width="11.625" style="45" customWidth="1"/>
    <col min="18" max="18" width="11.125" style="45" customWidth="1"/>
    <col min="19" max="19" width="10.625" style="147" customWidth="1"/>
    <col min="20" max="21" width="10.625" style="0" customWidth="1"/>
  </cols>
  <sheetData>
    <row r="1" spans="1:21" ht="18" customHeight="1">
      <c r="A1" s="161" t="s">
        <v>60</v>
      </c>
      <c r="B1" s="1"/>
      <c r="C1" s="2"/>
      <c r="D1" s="127"/>
      <c r="E1" s="128"/>
      <c r="F1" s="129"/>
      <c r="G1" s="111"/>
      <c r="H1" s="111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1"/>
      <c r="T1" s="112"/>
      <c r="U1" s="112"/>
    </row>
    <row r="2" spans="1:21" ht="16.5" customHeight="1">
      <c r="A2" s="840" t="s">
        <v>1</v>
      </c>
      <c r="B2" s="841"/>
      <c r="C2" s="841"/>
      <c r="D2" s="842"/>
      <c r="E2" s="826" t="s">
        <v>660</v>
      </c>
      <c r="F2" s="826"/>
      <c r="G2" s="826"/>
      <c r="H2" s="826"/>
      <c r="I2" s="826"/>
      <c r="J2" s="826"/>
      <c r="K2" s="826"/>
      <c r="L2" s="826"/>
      <c r="M2" s="826"/>
      <c r="N2" s="826"/>
      <c r="O2" s="826"/>
      <c r="P2" s="826"/>
      <c r="Q2" s="826"/>
      <c r="R2" s="826"/>
      <c r="S2" s="834"/>
      <c r="T2" s="834"/>
      <c r="U2" s="834"/>
    </row>
    <row r="3" spans="1:21" ht="16.5" customHeight="1">
      <c r="A3" s="821"/>
      <c r="B3" s="822"/>
      <c r="C3" s="826" t="s">
        <v>2</v>
      </c>
      <c r="D3" s="828" t="s">
        <v>3</v>
      </c>
      <c r="E3" s="132"/>
      <c r="F3" s="133"/>
      <c r="G3" s="5"/>
      <c r="H3" s="5"/>
      <c r="I3" s="5"/>
      <c r="J3" s="6"/>
      <c r="K3" s="837" t="s">
        <v>4</v>
      </c>
      <c r="L3" s="838"/>
      <c r="M3" s="838"/>
      <c r="N3" s="838"/>
      <c r="O3" s="838"/>
      <c r="P3" s="838"/>
      <c r="Q3" s="838"/>
      <c r="R3" s="839"/>
      <c r="S3" s="118"/>
      <c r="T3" s="123"/>
      <c r="U3" s="122"/>
    </row>
    <row r="4" spans="1:21" ht="16.5" customHeight="1">
      <c r="A4" s="823"/>
      <c r="B4" s="822"/>
      <c r="C4" s="827"/>
      <c r="D4" s="829"/>
      <c r="E4" s="134" t="s">
        <v>5</v>
      </c>
      <c r="F4" s="135" t="s">
        <v>6</v>
      </c>
      <c r="G4" s="5" t="s">
        <v>7</v>
      </c>
      <c r="H4" s="5" t="s">
        <v>0</v>
      </c>
      <c r="I4" s="5" t="s">
        <v>8</v>
      </c>
      <c r="J4" s="6" t="s">
        <v>9</v>
      </c>
      <c r="K4" s="7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9" t="s">
        <v>15</v>
      </c>
      <c r="Q4" s="10" t="s">
        <v>16</v>
      </c>
      <c r="R4" s="11" t="s">
        <v>17</v>
      </c>
      <c r="S4" s="119" t="s">
        <v>18</v>
      </c>
      <c r="T4" s="119" t="s">
        <v>19</v>
      </c>
      <c r="U4" s="17" t="s">
        <v>20</v>
      </c>
    </row>
    <row r="5" spans="1:21" ht="16.5" customHeight="1">
      <c r="A5" s="823"/>
      <c r="B5" s="822"/>
      <c r="C5" s="827"/>
      <c r="D5" s="829"/>
      <c r="E5" s="132"/>
      <c r="F5" s="133" t="s">
        <v>21</v>
      </c>
      <c r="G5" s="5"/>
      <c r="H5" s="5"/>
      <c r="I5" s="5"/>
      <c r="J5" s="5"/>
      <c r="K5" s="12" t="s">
        <v>22</v>
      </c>
      <c r="L5" s="13" t="s">
        <v>23</v>
      </c>
      <c r="M5" s="13" t="s">
        <v>24</v>
      </c>
      <c r="N5" s="13" t="s">
        <v>25</v>
      </c>
      <c r="O5" s="13" t="s">
        <v>26</v>
      </c>
      <c r="P5" s="14" t="s">
        <v>27</v>
      </c>
      <c r="Q5" s="15"/>
      <c r="R5" s="16"/>
      <c r="S5" s="136"/>
      <c r="T5" s="120"/>
      <c r="U5" s="17"/>
    </row>
    <row r="6" spans="1:21" ht="16.5" customHeight="1">
      <c r="A6" s="824"/>
      <c r="B6" s="825"/>
      <c r="C6" s="827"/>
      <c r="D6" s="829"/>
      <c r="E6" s="137"/>
      <c r="F6" s="138" t="s">
        <v>28</v>
      </c>
      <c r="G6" s="18" t="s">
        <v>29</v>
      </c>
      <c r="H6" s="18" t="s">
        <v>29</v>
      </c>
      <c r="I6" s="18" t="s">
        <v>653</v>
      </c>
      <c r="J6" s="139" t="s">
        <v>30</v>
      </c>
      <c r="K6" s="140" t="s">
        <v>29</v>
      </c>
      <c r="L6" s="141" t="s">
        <v>29</v>
      </c>
      <c r="M6" s="141" t="s">
        <v>29</v>
      </c>
      <c r="N6" s="141" t="s">
        <v>29</v>
      </c>
      <c r="O6" s="141" t="s">
        <v>29</v>
      </c>
      <c r="P6" s="142" t="s">
        <v>29</v>
      </c>
      <c r="Q6" s="139" t="s">
        <v>31</v>
      </c>
      <c r="R6" s="143" t="s">
        <v>31</v>
      </c>
      <c r="S6" s="121" t="s">
        <v>654</v>
      </c>
      <c r="T6" s="121" t="s">
        <v>654</v>
      </c>
      <c r="U6" s="19" t="s">
        <v>654</v>
      </c>
    </row>
    <row r="7" spans="1:21" ht="16.5" customHeight="1">
      <c r="A7" s="809" t="s">
        <v>58</v>
      </c>
      <c r="B7" s="20" t="s">
        <v>32</v>
      </c>
      <c r="C7" s="210" t="s">
        <v>185</v>
      </c>
      <c r="D7" s="210" t="s">
        <v>186</v>
      </c>
      <c r="E7" s="22">
        <v>7.5</v>
      </c>
      <c r="F7" s="263">
        <v>160</v>
      </c>
      <c r="G7" s="22">
        <v>21</v>
      </c>
      <c r="H7" s="22">
        <v>0.9</v>
      </c>
      <c r="I7" s="264" t="s">
        <v>165</v>
      </c>
      <c r="J7" s="265">
        <v>2.702</v>
      </c>
      <c r="K7" s="266">
        <v>12.6</v>
      </c>
      <c r="L7" s="187">
        <v>46.4</v>
      </c>
      <c r="M7" s="187">
        <v>33.7</v>
      </c>
      <c r="N7" s="187">
        <v>4.3</v>
      </c>
      <c r="O7" s="187">
        <v>1.4</v>
      </c>
      <c r="P7" s="267">
        <v>1.6</v>
      </c>
      <c r="Q7" s="268">
        <v>1</v>
      </c>
      <c r="R7" s="269">
        <v>19</v>
      </c>
      <c r="S7" s="196">
        <v>86</v>
      </c>
      <c r="T7" s="196">
        <v>190</v>
      </c>
      <c r="U7" s="201" t="s">
        <v>655</v>
      </c>
    </row>
    <row r="8" spans="1:21" ht="16.5" customHeight="1">
      <c r="A8" s="835"/>
      <c r="B8" s="23" t="s">
        <v>61</v>
      </c>
      <c r="C8" s="206" t="s">
        <v>187</v>
      </c>
      <c r="D8" s="206" t="s">
        <v>188</v>
      </c>
      <c r="E8" s="24">
        <v>7.3</v>
      </c>
      <c r="F8" s="270">
        <v>131</v>
      </c>
      <c r="G8" s="24">
        <v>25</v>
      </c>
      <c r="H8" s="24">
        <v>2.4</v>
      </c>
      <c r="I8" s="271">
        <v>3</v>
      </c>
      <c r="J8" s="272">
        <v>2.696</v>
      </c>
      <c r="K8" s="273">
        <v>16.4</v>
      </c>
      <c r="L8" s="188">
        <v>60.6</v>
      </c>
      <c r="M8" s="188">
        <v>20.7</v>
      </c>
      <c r="N8" s="188">
        <v>1.1</v>
      </c>
      <c r="O8" s="188">
        <v>0.5</v>
      </c>
      <c r="P8" s="274">
        <v>0.7</v>
      </c>
      <c r="Q8" s="275">
        <v>1.2</v>
      </c>
      <c r="R8" s="275">
        <v>9.5</v>
      </c>
      <c r="S8" s="197">
        <v>95</v>
      </c>
      <c r="T8" s="197">
        <v>220</v>
      </c>
      <c r="U8" s="25" t="s">
        <v>265</v>
      </c>
    </row>
    <row r="9" spans="1:21" ht="16.5" customHeight="1">
      <c r="A9" s="835"/>
      <c r="B9" s="23" t="s">
        <v>62</v>
      </c>
      <c r="C9" s="206" t="s">
        <v>189</v>
      </c>
      <c r="D9" s="206" t="s">
        <v>190</v>
      </c>
      <c r="E9" s="24">
        <v>7.6</v>
      </c>
      <c r="F9" s="270">
        <v>126</v>
      </c>
      <c r="G9" s="24">
        <v>31.1</v>
      </c>
      <c r="H9" s="24">
        <v>2.6</v>
      </c>
      <c r="I9" s="271">
        <v>4</v>
      </c>
      <c r="J9" s="276">
        <v>2.726</v>
      </c>
      <c r="K9" s="273">
        <v>7.5</v>
      </c>
      <c r="L9" s="188">
        <v>18.6</v>
      </c>
      <c r="M9" s="188">
        <v>24.5</v>
      </c>
      <c r="N9" s="188">
        <v>37.7</v>
      </c>
      <c r="O9" s="188">
        <v>4.6</v>
      </c>
      <c r="P9" s="274">
        <v>7.1</v>
      </c>
      <c r="Q9" s="277">
        <v>0.25</v>
      </c>
      <c r="R9" s="271">
        <v>19</v>
      </c>
      <c r="S9" s="197">
        <v>200</v>
      </c>
      <c r="T9" s="197">
        <v>480</v>
      </c>
      <c r="U9" s="25" t="s">
        <v>264</v>
      </c>
    </row>
    <row r="10" spans="1:21" ht="16.5" customHeight="1">
      <c r="A10" s="835"/>
      <c r="B10" s="23" t="s">
        <v>63</v>
      </c>
      <c r="C10" s="206" t="s">
        <v>191</v>
      </c>
      <c r="D10" s="206" t="s">
        <v>192</v>
      </c>
      <c r="E10" s="24">
        <v>7.5</v>
      </c>
      <c r="F10" s="270">
        <v>128</v>
      </c>
      <c r="G10" s="24">
        <v>30.2</v>
      </c>
      <c r="H10" s="24">
        <v>1.5</v>
      </c>
      <c r="I10" s="264" t="s">
        <v>166</v>
      </c>
      <c r="J10" s="276">
        <v>2.752</v>
      </c>
      <c r="K10" s="278">
        <v>0</v>
      </c>
      <c r="L10" s="188">
        <v>0.7</v>
      </c>
      <c r="M10" s="188">
        <v>63.2</v>
      </c>
      <c r="N10" s="188">
        <v>28.4</v>
      </c>
      <c r="O10" s="188">
        <v>3.9</v>
      </c>
      <c r="P10" s="274">
        <v>3.8</v>
      </c>
      <c r="Q10" s="277">
        <v>0.29</v>
      </c>
      <c r="R10" s="271">
        <v>2</v>
      </c>
      <c r="S10" s="197">
        <v>87</v>
      </c>
      <c r="T10" s="197">
        <v>230</v>
      </c>
      <c r="U10" s="25" t="s">
        <v>264</v>
      </c>
    </row>
    <row r="11" spans="1:21" ht="16.5" customHeight="1">
      <c r="A11" s="836"/>
      <c r="B11" s="23" t="s">
        <v>64</v>
      </c>
      <c r="C11" s="211" t="s">
        <v>193</v>
      </c>
      <c r="D11" s="211" t="s">
        <v>194</v>
      </c>
      <c r="E11" s="24">
        <v>7.5</v>
      </c>
      <c r="F11" s="270">
        <v>119</v>
      </c>
      <c r="G11" s="24">
        <v>23.9</v>
      </c>
      <c r="H11" s="24">
        <v>1.4</v>
      </c>
      <c r="I11" s="279" t="s">
        <v>165</v>
      </c>
      <c r="J11" s="272">
        <v>2.682</v>
      </c>
      <c r="K11" s="273">
        <v>31.4</v>
      </c>
      <c r="L11" s="188">
        <v>44.8</v>
      </c>
      <c r="M11" s="188">
        <v>20</v>
      </c>
      <c r="N11" s="188">
        <v>1.7</v>
      </c>
      <c r="O11" s="188">
        <v>1.2</v>
      </c>
      <c r="P11" s="274">
        <v>0.9</v>
      </c>
      <c r="Q11" s="275">
        <v>1.4</v>
      </c>
      <c r="R11" s="275">
        <v>9.5</v>
      </c>
      <c r="S11" s="198">
        <v>120</v>
      </c>
      <c r="T11" s="198">
        <v>280</v>
      </c>
      <c r="U11" s="26" t="s">
        <v>264</v>
      </c>
    </row>
    <row r="12" spans="1:21" ht="16.5" customHeight="1">
      <c r="A12" s="809" t="s">
        <v>38</v>
      </c>
      <c r="B12" s="115" t="s">
        <v>65</v>
      </c>
      <c r="C12" s="204" t="s">
        <v>195</v>
      </c>
      <c r="D12" s="204" t="s">
        <v>196</v>
      </c>
      <c r="E12" s="22">
        <v>6.9</v>
      </c>
      <c r="F12" s="263">
        <v>114</v>
      </c>
      <c r="G12" s="22">
        <v>18.4</v>
      </c>
      <c r="H12" s="22">
        <v>2.1</v>
      </c>
      <c r="I12" s="295" t="s">
        <v>165</v>
      </c>
      <c r="J12" s="265">
        <v>2.762</v>
      </c>
      <c r="K12" s="266">
        <v>68.3</v>
      </c>
      <c r="L12" s="187">
        <v>27.3</v>
      </c>
      <c r="M12" s="187">
        <v>2.6</v>
      </c>
      <c r="N12" s="187">
        <v>0.8</v>
      </c>
      <c r="O12" s="187">
        <v>0.5</v>
      </c>
      <c r="P12" s="764">
        <v>0.5</v>
      </c>
      <c r="Q12" s="268">
        <v>2.4</v>
      </c>
      <c r="R12" s="280">
        <v>9.5</v>
      </c>
      <c r="S12" s="196">
        <v>160</v>
      </c>
      <c r="T12" s="196">
        <v>400</v>
      </c>
      <c r="U12" s="36" t="s">
        <v>264</v>
      </c>
    </row>
    <row r="13" spans="1:21" ht="16.5" customHeight="1">
      <c r="A13" s="835"/>
      <c r="B13" s="39" t="s">
        <v>66</v>
      </c>
      <c r="C13" s="205" t="s">
        <v>197</v>
      </c>
      <c r="D13" s="205" t="s">
        <v>198</v>
      </c>
      <c r="E13" s="24">
        <v>6.9</v>
      </c>
      <c r="F13" s="270">
        <v>90</v>
      </c>
      <c r="G13" s="24">
        <v>30.8</v>
      </c>
      <c r="H13" s="24">
        <v>4</v>
      </c>
      <c r="I13" s="271">
        <v>5</v>
      </c>
      <c r="J13" s="276">
        <v>2.794</v>
      </c>
      <c r="K13" s="273">
        <v>26.1</v>
      </c>
      <c r="L13" s="188">
        <v>19.6</v>
      </c>
      <c r="M13" s="188">
        <v>29.1</v>
      </c>
      <c r="N13" s="188">
        <v>11.4</v>
      </c>
      <c r="O13" s="188">
        <v>5.9</v>
      </c>
      <c r="P13" s="189">
        <v>7.9</v>
      </c>
      <c r="Q13" s="277">
        <v>0.71</v>
      </c>
      <c r="R13" s="281">
        <v>9.5</v>
      </c>
      <c r="S13" s="197">
        <v>270</v>
      </c>
      <c r="T13" s="197">
        <v>640</v>
      </c>
      <c r="U13" s="26" t="s">
        <v>264</v>
      </c>
    </row>
    <row r="14" spans="1:21" ht="16.5" customHeight="1">
      <c r="A14" s="835"/>
      <c r="B14" s="29" t="s">
        <v>105</v>
      </c>
      <c r="C14" s="205" t="s">
        <v>199</v>
      </c>
      <c r="D14" s="205" t="s">
        <v>200</v>
      </c>
      <c r="E14" s="24">
        <v>7.1</v>
      </c>
      <c r="F14" s="270">
        <v>121</v>
      </c>
      <c r="G14" s="24">
        <v>22.4</v>
      </c>
      <c r="H14" s="24">
        <v>1.5</v>
      </c>
      <c r="I14" s="264" t="s">
        <v>166</v>
      </c>
      <c r="J14" s="276">
        <v>2.748</v>
      </c>
      <c r="K14" s="273">
        <v>29.4</v>
      </c>
      <c r="L14" s="188">
        <v>32.1</v>
      </c>
      <c r="M14" s="188">
        <v>33.3</v>
      </c>
      <c r="N14" s="188">
        <v>4.2</v>
      </c>
      <c r="O14" s="188">
        <v>0.5</v>
      </c>
      <c r="P14" s="190">
        <v>0.5</v>
      </c>
      <c r="Q14" s="275">
        <v>1.2</v>
      </c>
      <c r="R14" s="271">
        <v>19</v>
      </c>
      <c r="S14" s="197">
        <v>290</v>
      </c>
      <c r="T14" s="197">
        <v>700</v>
      </c>
      <c r="U14" s="214">
        <v>0.61</v>
      </c>
    </row>
    <row r="15" spans="1:21" ht="16.5" customHeight="1">
      <c r="A15" s="835"/>
      <c r="B15" s="38" t="s">
        <v>146</v>
      </c>
      <c r="C15" s="212" t="s">
        <v>167</v>
      </c>
      <c r="D15" s="205" t="s">
        <v>201</v>
      </c>
      <c r="E15" s="24">
        <v>7</v>
      </c>
      <c r="F15" s="270">
        <v>152</v>
      </c>
      <c r="G15" s="24">
        <v>26.6</v>
      </c>
      <c r="H15" s="24">
        <v>1.8</v>
      </c>
      <c r="I15" s="271">
        <v>2</v>
      </c>
      <c r="J15" s="276">
        <v>2.717</v>
      </c>
      <c r="K15" s="273">
        <v>18.7</v>
      </c>
      <c r="L15" s="188">
        <v>21.3</v>
      </c>
      <c r="M15" s="188">
        <v>28</v>
      </c>
      <c r="N15" s="188">
        <v>13.2</v>
      </c>
      <c r="O15" s="188">
        <v>9.1</v>
      </c>
      <c r="P15" s="190">
        <v>9.7</v>
      </c>
      <c r="Q15" s="277">
        <v>0.59</v>
      </c>
      <c r="R15" s="275">
        <v>9.5</v>
      </c>
      <c r="S15" s="197">
        <v>170</v>
      </c>
      <c r="T15" s="197">
        <v>430</v>
      </c>
      <c r="U15" s="213" t="s">
        <v>264</v>
      </c>
    </row>
    <row r="16" spans="1:21" ht="16.5" customHeight="1">
      <c r="A16" s="836"/>
      <c r="B16" s="30" t="s">
        <v>147</v>
      </c>
      <c r="C16" s="243" t="s">
        <v>168</v>
      </c>
      <c r="D16" s="30" t="s">
        <v>202</v>
      </c>
      <c r="E16" s="31">
        <v>7.2</v>
      </c>
      <c r="F16" s="282">
        <v>142</v>
      </c>
      <c r="G16" s="31">
        <v>20.4</v>
      </c>
      <c r="H16" s="31">
        <v>1.2</v>
      </c>
      <c r="I16" s="321" t="s">
        <v>166</v>
      </c>
      <c r="J16" s="283">
        <v>2.756</v>
      </c>
      <c r="K16" s="284">
        <v>18</v>
      </c>
      <c r="L16" s="191">
        <v>39.8</v>
      </c>
      <c r="M16" s="191">
        <v>35.5</v>
      </c>
      <c r="N16" s="191">
        <v>5.3</v>
      </c>
      <c r="O16" s="191">
        <v>0.5</v>
      </c>
      <c r="P16" s="192">
        <v>0.9</v>
      </c>
      <c r="Q16" s="285">
        <v>1</v>
      </c>
      <c r="R16" s="286">
        <v>19</v>
      </c>
      <c r="S16" s="198">
        <v>190</v>
      </c>
      <c r="T16" s="198">
        <v>440</v>
      </c>
      <c r="U16" s="26" t="s">
        <v>264</v>
      </c>
    </row>
    <row r="17" spans="1:21" ht="16.5" customHeight="1">
      <c r="A17" s="809" t="s">
        <v>36</v>
      </c>
      <c r="B17" s="33" t="s">
        <v>67</v>
      </c>
      <c r="C17" s="205" t="s">
        <v>169</v>
      </c>
      <c r="D17" s="205" t="s">
        <v>203</v>
      </c>
      <c r="E17" s="34">
        <v>7</v>
      </c>
      <c r="F17" s="287">
        <v>137</v>
      </c>
      <c r="G17" s="34">
        <v>18.2</v>
      </c>
      <c r="H17" s="34">
        <v>1.4</v>
      </c>
      <c r="I17" s="322" t="s">
        <v>165</v>
      </c>
      <c r="J17" s="288">
        <v>2.726</v>
      </c>
      <c r="K17" s="289">
        <v>24.1</v>
      </c>
      <c r="L17" s="290">
        <v>41.6</v>
      </c>
      <c r="M17" s="290">
        <v>28.8</v>
      </c>
      <c r="N17" s="290">
        <v>4.2</v>
      </c>
      <c r="O17" s="290">
        <v>0.4</v>
      </c>
      <c r="P17" s="291">
        <v>0.9</v>
      </c>
      <c r="Q17" s="292">
        <v>1.2</v>
      </c>
      <c r="R17" s="293">
        <v>19</v>
      </c>
      <c r="S17" s="196">
        <v>400</v>
      </c>
      <c r="T17" s="196">
        <v>1000</v>
      </c>
      <c r="U17" s="324">
        <v>1.2</v>
      </c>
    </row>
    <row r="18" spans="1:21" ht="16.5" customHeight="1">
      <c r="A18" s="835"/>
      <c r="B18" s="29" t="s">
        <v>68</v>
      </c>
      <c r="C18" s="206" t="s">
        <v>204</v>
      </c>
      <c r="D18" s="206" t="s">
        <v>205</v>
      </c>
      <c r="E18" s="24">
        <v>7.2</v>
      </c>
      <c r="F18" s="270">
        <v>142</v>
      </c>
      <c r="G18" s="24">
        <v>21.8</v>
      </c>
      <c r="H18" s="24">
        <v>1.2</v>
      </c>
      <c r="I18" s="264" t="s">
        <v>165</v>
      </c>
      <c r="J18" s="276">
        <v>2.714</v>
      </c>
      <c r="K18" s="273">
        <v>15.9</v>
      </c>
      <c r="L18" s="188">
        <v>47</v>
      </c>
      <c r="M18" s="188">
        <v>35.2</v>
      </c>
      <c r="N18" s="188">
        <v>1.2</v>
      </c>
      <c r="O18" s="188">
        <v>0.2</v>
      </c>
      <c r="P18" s="189">
        <v>0.5</v>
      </c>
      <c r="Q18" s="275">
        <v>1.1</v>
      </c>
      <c r="R18" s="275">
        <v>9.5</v>
      </c>
      <c r="S18" s="197">
        <v>250</v>
      </c>
      <c r="T18" s="197">
        <v>580</v>
      </c>
      <c r="U18" s="213" t="s">
        <v>264</v>
      </c>
    </row>
    <row r="19" spans="1:21" ht="16.5" customHeight="1">
      <c r="A19" s="835"/>
      <c r="B19" s="29" t="s">
        <v>69</v>
      </c>
      <c r="C19" s="206" t="s">
        <v>170</v>
      </c>
      <c r="D19" s="206" t="s">
        <v>206</v>
      </c>
      <c r="E19" s="24">
        <v>7.1</v>
      </c>
      <c r="F19" s="270">
        <v>144</v>
      </c>
      <c r="G19" s="24">
        <v>20.2</v>
      </c>
      <c r="H19" s="24">
        <v>1.2</v>
      </c>
      <c r="I19" s="264" t="s">
        <v>165</v>
      </c>
      <c r="J19" s="276">
        <v>2.706</v>
      </c>
      <c r="K19" s="273">
        <v>41.5</v>
      </c>
      <c r="L19" s="188">
        <v>39.7</v>
      </c>
      <c r="M19" s="188">
        <v>18</v>
      </c>
      <c r="N19" s="188">
        <v>0.4</v>
      </c>
      <c r="O19" s="188">
        <v>0.2</v>
      </c>
      <c r="P19" s="189">
        <v>0.2</v>
      </c>
      <c r="Q19" s="275">
        <v>1.7</v>
      </c>
      <c r="R19" s="271">
        <v>19</v>
      </c>
      <c r="S19" s="197">
        <v>54</v>
      </c>
      <c r="T19" s="197">
        <v>130</v>
      </c>
      <c r="U19" s="25" t="s">
        <v>264</v>
      </c>
    </row>
    <row r="20" spans="1:21" ht="16.5" customHeight="1">
      <c r="A20" s="835"/>
      <c r="B20" s="29" t="s">
        <v>70</v>
      </c>
      <c r="C20" s="206" t="s">
        <v>207</v>
      </c>
      <c r="D20" s="206" t="s">
        <v>208</v>
      </c>
      <c r="E20" s="24">
        <v>7.3</v>
      </c>
      <c r="F20" s="270">
        <v>145</v>
      </c>
      <c r="G20" s="24">
        <v>25.9</v>
      </c>
      <c r="H20" s="24">
        <v>2</v>
      </c>
      <c r="I20" s="271">
        <v>1</v>
      </c>
      <c r="J20" s="276">
        <v>2.734</v>
      </c>
      <c r="K20" s="273">
        <v>12.9</v>
      </c>
      <c r="L20" s="188">
        <v>27.4</v>
      </c>
      <c r="M20" s="188">
        <v>51.5</v>
      </c>
      <c r="N20" s="188">
        <v>6.5</v>
      </c>
      <c r="O20" s="188">
        <v>0.7</v>
      </c>
      <c r="P20" s="189">
        <v>1</v>
      </c>
      <c r="Q20" s="277">
        <v>0.71</v>
      </c>
      <c r="R20" s="271">
        <v>19</v>
      </c>
      <c r="S20" s="197">
        <v>460</v>
      </c>
      <c r="T20" s="197">
        <v>1200</v>
      </c>
      <c r="U20" s="25" t="s">
        <v>264</v>
      </c>
    </row>
    <row r="21" spans="1:21" ht="16.5" customHeight="1">
      <c r="A21" s="836"/>
      <c r="B21" s="30" t="s">
        <v>71</v>
      </c>
      <c r="C21" s="207" t="s">
        <v>209</v>
      </c>
      <c r="D21" s="207" t="s">
        <v>210</v>
      </c>
      <c r="E21" s="31">
        <v>7.3</v>
      </c>
      <c r="F21" s="282">
        <v>148</v>
      </c>
      <c r="G21" s="31">
        <v>26.9</v>
      </c>
      <c r="H21" s="31">
        <v>2.4</v>
      </c>
      <c r="I21" s="286">
        <v>1</v>
      </c>
      <c r="J21" s="283">
        <v>2.715</v>
      </c>
      <c r="K21" s="284">
        <v>2.9</v>
      </c>
      <c r="L21" s="191">
        <v>13.9</v>
      </c>
      <c r="M21" s="191">
        <v>67.7</v>
      </c>
      <c r="N21" s="191">
        <v>10.7</v>
      </c>
      <c r="O21" s="191">
        <v>1.4</v>
      </c>
      <c r="P21" s="194">
        <v>3.4</v>
      </c>
      <c r="Q21" s="294">
        <v>0.52</v>
      </c>
      <c r="R21" s="285">
        <v>9.5</v>
      </c>
      <c r="S21" s="199">
        <v>490</v>
      </c>
      <c r="T21" s="199">
        <v>1200</v>
      </c>
      <c r="U21" s="32" t="s">
        <v>264</v>
      </c>
    </row>
    <row r="22" spans="1:21" ht="16.5" customHeight="1">
      <c r="A22" s="809" t="s">
        <v>33</v>
      </c>
      <c r="B22" s="27" t="s">
        <v>77</v>
      </c>
      <c r="C22" s="204" t="s">
        <v>211</v>
      </c>
      <c r="D22" s="204" t="s">
        <v>171</v>
      </c>
      <c r="E22" s="22">
        <v>7.2</v>
      </c>
      <c r="F22" s="263">
        <v>115</v>
      </c>
      <c r="G22" s="22">
        <v>19</v>
      </c>
      <c r="H22" s="22">
        <v>0.8</v>
      </c>
      <c r="I22" s="295" t="s">
        <v>166</v>
      </c>
      <c r="J22" s="265">
        <v>2.662</v>
      </c>
      <c r="K22" s="266">
        <v>39</v>
      </c>
      <c r="L22" s="187">
        <v>55.6</v>
      </c>
      <c r="M22" s="187">
        <v>4.2</v>
      </c>
      <c r="N22" s="296">
        <v>0</v>
      </c>
      <c r="O22" s="187">
        <v>1</v>
      </c>
      <c r="P22" s="193">
        <v>0.2</v>
      </c>
      <c r="Q22" s="268">
        <v>1.8</v>
      </c>
      <c r="R22" s="280">
        <v>9.5</v>
      </c>
      <c r="S22" s="196">
        <v>370</v>
      </c>
      <c r="T22" s="196">
        <v>880</v>
      </c>
      <c r="U22" s="323" t="s">
        <v>656</v>
      </c>
    </row>
    <row r="23" spans="1:21" ht="16.5" customHeight="1">
      <c r="A23" s="835"/>
      <c r="B23" s="29" t="s">
        <v>78</v>
      </c>
      <c r="C23" s="206" t="s">
        <v>212</v>
      </c>
      <c r="D23" s="206" t="s">
        <v>213</v>
      </c>
      <c r="E23" s="24">
        <v>6.8</v>
      </c>
      <c r="F23" s="270">
        <v>42</v>
      </c>
      <c r="G23" s="24">
        <v>56.5</v>
      </c>
      <c r="H23" s="24">
        <v>10.7</v>
      </c>
      <c r="I23" s="271">
        <v>26</v>
      </c>
      <c r="J23" s="276">
        <v>2.565</v>
      </c>
      <c r="K23" s="273">
        <v>18.1</v>
      </c>
      <c r="L23" s="188">
        <v>7.2</v>
      </c>
      <c r="M23" s="188">
        <v>11.3</v>
      </c>
      <c r="N23" s="188">
        <v>12.9</v>
      </c>
      <c r="O23" s="188">
        <v>22.1</v>
      </c>
      <c r="P23" s="189">
        <v>28.4</v>
      </c>
      <c r="Q23" s="297">
        <v>0.07</v>
      </c>
      <c r="R23" s="271">
        <v>19</v>
      </c>
      <c r="S23" s="197">
        <v>5600</v>
      </c>
      <c r="T23" s="197">
        <v>13000</v>
      </c>
      <c r="U23" s="25" t="s">
        <v>264</v>
      </c>
    </row>
    <row r="24" spans="1:21" ht="16.5" customHeight="1">
      <c r="A24" s="835"/>
      <c r="B24" s="29" t="s">
        <v>79</v>
      </c>
      <c r="C24" s="206" t="s">
        <v>214</v>
      </c>
      <c r="D24" s="206" t="s">
        <v>215</v>
      </c>
      <c r="E24" s="24">
        <v>7</v>
      </c>
      <c r="F24" s="270">
        <v>145</v>
      </c>
      <c r="G24" s="24">
        <v>21.5</v>
      </c>
      <c r="H24" s="24">
        <v>1</v>
      </c>
      <c r="I24" s="264" t="s">
        <v>165</v>
      </c>
      <c r="J24" s="276">
        <v>2.659</v>
      </c>
      <c r="K24" s="273">
        <v>5.1</v>
      </c>
      <c r="L24" s="188">
        <v>23.8</v>
      </c>
      <c r="M24" s="188">
        <v>62.7</v>
      </c>
      <c r="N24" s="188">
        <v>6.6</v>
      </c>
      <c r="O24" s="188">
        <v>1.3</v>
      </c>
      <c r="P24" s="189">
        <v>0.5</v>
      </c>
      <c r="Q24" s="277">
        <v>0.64</v>
      </c>
      <c r="R24" s="275">
        <v>9.5</v>
      </c>
      <c r="S24" s="197">
        <v>180</v>
      </c>
      <c r="T24" s="197">
        <v>450</v>
      </c>
      <c r="U24" s="25" t="s">
        <v>264</v>
      </c>
    </row>
    <row r="25" spans="1:21" ht="16.5" customHeight="1">
      <c r="A25" s="835"/>
      <c r="B25" s="29" t="s">
        <v>80</v>
      </c>
      <c r="C25" s="206" t="s">
        <v>214</v>
      </c>
      <c r="D25" s="206" t="s">
        <v>216</v>
      </c>
      <c r="E25" s="24">
        <v>7.2</v>
      </c>
      <c r="F25" s="270">
        <v>157</v>
      </c>
      <c r="G25" s="24">
        <v>22.8</v>
      </c>
      <c r="H25" s="24">
        <v>0.9</v>
      </c>
      <c r="I25" s="264" t="s">
        <v>165</v>
      </c>
      <c r="J25" s="276">
        <v>2.684</v>
      </c>
      <c r="K25" s="273">
        <v>5.1</v>
      </c>
      <c r="L25" s="188">
        <v>29.5</v>
      </c>
      <c r="M25" s="188">
        <v>61.1</v>
      </c>
      <c r="N25" s="188">
        <v>3.3</v>
      </c>
      <c r="O25" s="188">
        <v>0.8</v>
      </c>
      <c r="P25" s="189">
        <v>0.2</v>
      </c>
      <c r="Q25" s="277">
        <v>0.7</v>
      </c>
      <c r="R25" s="275">
        <v>9.5</v>
      </c>
      <c r="S25" s="197">
        <v>260</v>
      </c>
      <c r="T25" s="197">
        <v>600</v>
      </c>
      <c r="U25" s="25" t="s">
        <v>264</v>
      </c>
    </row>
    <row r="26" spans="1:21" ht="16.5" customHeight="1">
      <c r="A26" s="836"/>
      <c r="B26" s="30" t="s">
        <v>81</v>
      </c>
      <c r="C26" s="207" t="s">
        <v>217</v>
      </c>
      <c r="D26" s="207" t="s">
        <v>218</v>
      </c>
      <c r="E26" s="31">
        <v>7.1</v>
      </c>
      <c r="F26" s="282">
        <v>153</v>
      </c>
      <c r="G26" s="31">
        <v>19.6</v>
      </c>
      <c r="H26" s="31">
        <v>1.8</v>
      </c>
      <c r="I26" s="286">
        <v>2</v>
      </c>
      <c r="J26" s="283">
        <v>2.678</v>
      </c>
      <c r="K26" s="284">
        <v>43.8</v>
      </c>
      <c r="L26" s="191">
        <v>39.4</v>
      </c>
      <c r="M26" s="191">
        <v>13.9</v>
      </c>
      <c r="N26" s="191">
        <v>1.9</v>
      </c>
      <c r="O26" s="191">
        <v>0.6</v>
      </c>
      <c r="P26" s="194">
        <v>0.4</v>
      </c>
      <c r="Q26" s="285">
        <v>1.8</v>
      </c>
      <c r="R26" s="286">
        <v>19</v>
      </c>
      <c r="S26" s="199">
        <v>680</v>
      </c>
      <c r="T26" s="199">
        <v>1600</v>
      </c>
      <c r="U26" s="32" t="s">
        <v>264</v>
      </c>
    </row>
    <row r="27" spans="1:21" ht="16.5" customHeight="1">
      <c r="A27" s="809" t="s">
        <v>37</v>
      </c>
      <c r="B27" s="33" t="s">
        <v>82</v>
      </c>
      <c r="C27" s="205" t="s">
        <v>172</v>
      </c>
      <c r="D27" s="205" t="s">
        <v>219</v>
      </c>
      <c r="E27" s="22">
        <v>6.9</v>
      </c>
      <c r="F27" s="263">
        <v>189</v>
      </c>
      <c r="G27" s="22">
        <v>19.1</v>
      </c>
      <c r="H27" s="22">
        <v>1.3</v>
      </c>
      <c r="I27" s="269">
        <v>2</v>
      </c>
      <c r="J27" s="265">
        <v>2.68</v>
      </c>
      <c r="K27" s="266">
        <v>37.8</v>
      </c>
      <c r="L27" s="187">
        <v>32.9</v>
      </c>
      <c r="M27" s="187">
        <v>21.5</v>
      </c>
      <c r="N27" s="187">
        <v>4.5</v>
      </c>
      <c r="O27" s="187">
        <v>1.7</v>
      </c>
      <c r="P27" s="193">
        <v>1.6</v>
      </c>
      <c r="Q27" s="268">
        <v>1.5</v>
      </c>
      <c r="R27" s="269">
        <v>19</v>
      </c>
      <c r="S27" s="196">
        <v>2300</v>
      </c>
      <c r="T27" s="196">
        <v>5600</v>
      </c>
      <c r="U27" s="215" t="s">
        <v>264</v>
      </c>
    </row>
    <row r="28" spans="1:21" ht="16.5" customHeight="1">
      <c r="A28" s="835"/>
      <c r="B28" s="29" t="s">
        <v>83</v>
      </c>
      <c r="C28" s="206" t="s">
        <v>220</v>
      </c>
      <c r="D28" s="206" t="s">
        <v>221</v>
      </c>
      <c r="E28" s="24">
        <v>6.9</v>
      </c>
      <c r="F28" s="270">
        <v>183</v>
      </c>
      <c r="G28" s="24">
        <v>17.5</v>
      </c>
      <c r="H28" s="24">
        <v>0.8</v>
      </c>
      <c r="I28" s="264" t="s">
        <v>165</v>
      </c>
      <c r="J28" s="276">
        <v>2.661</v>
      </c>
      <c r="K28" s="273">
        <v>43.6</v>
      </c>
      <c r="L28" s="188">
        <v>43.4</v>
      </c>
      <c r="M28" s="188">
        <v>10.9</v>
      </c>
      <c r="N28" s="188">
        <v>1.1</v>
      </c>
      <c r="O28" s="188">
        <v>0.4</v>
      </c>
      <c r="P28" s="189">
        <v>0.6</v>
      </c>
      <c r="Q28" s="275">
        <v>1.8</v>
      </c>
      <c r="R28" s="275">
        <v>9.5</v>
      </c>
      <c r="S28" s="197">
        <v>1500</v>
      </c>
      <c r="T28" s="197">
        <v>3800</v>
      </c>
      <c r="U28" s="216">
        <v>0.21</v>
      </c>
    </row>
    <row r="29" spans="1:21" ht="16.5" customHeight="1">
      <c r="A29" s="835"/>
      <c r="B29" s="29" t="s">
        <v>84</v>
      </c>
      <c r="C29" s="206" t="s">
        <v>222</v>
      </c>
      <c r="D29" s="206" t="s">
        <v>223</v>
      </c>
      <c r="E29" s="24">
        <v>6.8</v>
      </c>
      <c r="F29" s="270">
        <v>187</v>
      </c>
      <c r="G29" s="24">
        <v>20.4</v>
      </c>
      <c r="H29" s="24">
        <v>0.8</v>
      </c>
      <c r="I29" s="264" t="s">
        <v>165</v>
      </c>
      <c r="J29" s="276">
        <v>2.661</v>
      </c>
      <c r="K29" s="273">
        <v>25.3</v>
      </c>
      <c r="L29" s="188">
        <v>33.5</v>
      </c>
      <c r="M29" s="188">
        <v>27.7</v>
      </c>
      <c r="N29" s="188">
        <v>10.6</v>
      </c>
      <c r="O29" s="188">
        <v>1.7</v>
      </c>
      <c r="P29" s="189">
        <v>1.2</v>
      </c>
      <c r="Q29" s="275">
        <v>1.1</v>
      </c>
      <c r="R29" s="271">
        <v>19</v>
      </c>
      <c r="S29" s="197">
        <v>1700</v>
      </c>
      <c r="T29" s="197">
        <v>4000</v>
      </c>
      <c r="U29" s="213" t="s">
        <v>264</v>
      </c>
    </row>
    <row r="30" spans="1:22" ht="16.5" customHeight="1">
      <c r="A30" s="835"/>
      <c r="B30" s="29" t="s">
        <v>85</v>
      </c>
      <c r="C30" s="206" t="s">
        <v>224</v>
      </c>
      <c r="D30" s="206" t="s">
        <v>225</v>
      </c>
      <c r="E30" s="24">
        <v>6.7</v>
      </c>
      <c r="F30" s="270">
        <v>234</v>
      </c>
      <c r="G30" s="24">
        <v>19.5</v>
      </c>
      <c r="H30" s="24">
        <v>0.5</v>
      </c>
      <c r="I30" s="264" t="s">
        <v>165</v>
      </c>
      <c r="J30" s="276">
        <v>2.666</v>
      </c>
      <c r="K30" s="273">
        <v>31.9</v>
      </c>
      <c r="L30" s="188">
        <v>44.1</v>
      </c>
      <c r="M30" s="188">
        <v>20.5</v>
      </c>
      <c r="N30" s="188">
        <v>2.8</v>
      </c>
      <c r="O30" s="188">
        <v>0.4</v>
      </c>
      <c r="P30" s="190">
        <v>0.3</v>
      </c>
      <c r="Q30" s="275">
        <v>1.5</v>
      </c>
      <c r="R30" s="271">
        <v>19</v>
      </c>
      <c r="S30" s="197">
        <v>430</v>
      </c>
      <c r="T30" s="197">
        <v>1100</v>
      </c>
      <c r="U30" s="25" t="s">
        <v>264</v>
      </c>
      <c r="V30" t="s">
        <v>264</v>
      </c>
    </row>
    <row r="31" spans="1:21" ht="16.5" customHeight="1">
      <c r="A31" s="836"/>
      <c r="B31" s="29" t="s">
        <v>86</v>
      </c>
      <c r="C31" s="206" t="s">
        <v>226</v>
      </c>
      <c r="D31" s="206" t="s">
        <v>227</v>
      </c>
      <c r="E31" s="24">
        <v>6.8</v>
      </c>
      <c r="F31" s="270">
        <v>212</v>
      </c>
      <c r="G31" s="24">
        <v>21.9</v>
      </c>
      <c r="H31" s="24">
        <v>0.5</v>
      </c>
      <c r="I31" s="264" t="s">
        <v>166</v>
      </c>
      <c r="J31" s="276">
        <v>2.673</v>
      </c>
      <c r="K31" s="273">
        <v>29.1</v>
      </c>
      <c r="L31" s="188">
        <v>44.6</v>
      </c>
      <c r="M31" s="188">
        <v>23.9</v>
      </c>
      <c r="N31" s="188">
        <v>1.3</v>
      </c>
      <c r="O31" s="188">
        <v>0.5</v>
      </c>
      <c r="P31" s="190">
        <v>0.6</v>
      </c>
      <c r="Q31" s="275">
        <v>1.4</v>
      </c>
      <c r="R31" s="271">
        <v>19</v>
      </c>
      <c r="S31" s="199">
        <v>200</v>
      </c>
      <c r="T31" s="199">
        <v>480</v>
      </c>
      <c r="U31" s="32" t="s">
        <v>264</v>
      </c>
    </row>
    <row r="32" spans="1:21" ht="16.5" customHeight="1">
      <c r="A32" s="820" t="s">
        <v>148</v>
      </c>
      <c r="B32" s="27" t="s">
        <v>72</v>
      </c>
      <c r="C32" s="204" t="s">
        <v>228</v>
      </c>
      <c r="D32" s="204" t="s">
        <v>229</v>
      </c>
      <c r="E32" s="22">
        <v>6.6</v>
      </c>
      <c r="F32" s="263">
        <v>154</v>
      </c>
      <c r="G32" s="22">
        <v>87.9</v>
      </c>
      <c r="H32" s="22">
        <v>74.3</v>
      </c>
      <c r="I32" s="269">
        <v>310</v>
      </c>
      <c r="J32" s="265">
        <v>2.038</v>
      </c>
      <c r="K32" s="298">
        <v>0</v>
      </c>
      <c r="L32" s="187">
        <v>24.2</v>
      </c>
      <c r="M32" s="187">
        <v>8.2</v>
      </c>
      <c r="N32" s="187">
        <v>9.2</v>
      </c>
      <c r="O32" s="187">
        <v>23.6</v>
      </c>
      <c r="P32" s="193">
        <v>34.8</v>
      </c>
      <c r="Q32" s="299">
        <v>0.039</v>
      </c>
      <c r="R32" s="269">
        <v>2</v>
      </c>
      <c r="S32" s="196">
        <v>3600</v>
      </c>
      <c r="T32" s="196">
        <v>8600</v>
      </c>
      <c r="U32" s="217">
        <v>3.8</v>
      </c>
    </row>
    <row r="33" spans="1:21" ht="16.5" customHeight="1">
      <c r="A33" s="831"/>
      <c r="B33" s="29" t="s">
        <v>73</v>
      </c>
      <c r="C33" s="206" t="s">
        <v>230</v>
      </c>
      <c r="D33" s="205" t="s">
        <v>231</v>
      </c>
      <c r="E33" s="24">
        <v>6.8</v>
      </c>
      <c r="F33" s="270">
        <v>25</v>
      </c>
      <c r="G33" s="24">
        <v>71.1</v>
      </c>
      <c r="H33" s="24">
        <v>19.6</v>
      </c>
      <c r="I33" s="271">
        <v>73</v>
      </c>
      <c r="J33" s="276">
        <v>2.436</v>
      </c>
      <c r="K33" s="273">
        <v>5</v>
      </c>
      <c r="L33" s="188">
        <v>2</v>
      </c>
      <c r="M33" s="188">
        <v>3.2</v>
      </c>
      <c r="N33" s="188">
        <v>5.3</v>
      </c>
      <c r="O33" s="188">
        <v>61.1</v>
      </c>
      <c r="P33" s="189">
        <v>23.4</v>
      </c>
      <c r="Q33" s="297">
        <v>0.018</v>
      </c>
      <c r="R33" s="275">
        <v>9.5</v>
      </c>
      <c r="S33" s="197">
        <v>3200</v>
      </c>
      <c r="T33" s="197">
        <v>7600</v>
      </c>
      <c r="U33" s="25" t="s">
        <v>264</v>
      </c>
    </row>
    <row r="34" spans="1:21" ht="16.5" customHeight="1">
      <c r="A34" s="831"/>
      <c r="B34" s="29" t="s">
        <v>74</v>
      </c>
      <c r="C34" s="206" t="s">
        <v>232</v>
      </c>
      <c r="D34" s="205" t="s">
        <v>233</v>
      </c>
      <c r="E34" s="24">
        <v>7.1</v>
      </c>
      <c r="F34" s="270">
        <v>11</v>
      </c>
      <c r="G34" s="24">
        <v>51</v>
      </c>
      <c r="H34" s="24">
        <v>8</v>
      </c>
      <c r="I34" s="271">
        <v>11</v>
      </c>
      <c r="J34" s="276">
        <v>2.623</v>
      </c>
      <c r="K34" s="273">
        <v>15.3</v>
      </c>
      <c r="L34" s="188">
        <v>9.7</v>
      </c>
      <c r="M34" s="188">
        <v>16.6</v>
      </c>
      <c r="N34" s="188">
        <v>15.6</v>
      </c>
      <c r="O34" s="188">
        <v>19.4</v>
      </c>
      <c r="P34" s="189">
        <v>23.4</v>
      </c>
      <c r="Q34" s="277">
        <v>0.15</v>
      </c>
      <c r="R34" s="271">
        <v>19</v>
      </c>
      <c r="S34" s="197">
        <v>1700</v>
      </c>
      <c r="T34" s="197">
        <v>4000</v>
      </c>
      <c r="U34" s="25" t="s">
        <v>264</v>
      </c>
    </row>
    <row r="35" spans="1:21" ht="16.5" customHeight="1">
      <c r="A35" s="831"/>
      <c r="B35" s="29" t="s">
        <v>75</v>
      </c>
      <c r="C35" s="206" t="s">
        <v>234</v>
      </c>
      <c r="D35" s="205" t="s">
        <v>235</v>
      </c>
      <c r="E35" s="24">
        <v>7.4</v>
      </c>
      <c r="F35" s="270">
        <v>85</v>
      </c>
      <c r="G35" s="24">
        <v>26.6</v>
      </c>
      <c r="H35" s="24">
        <v>3</v>
      </c>
      <c r="I35" s="271">
        <v>3</v>
      </c>
      <c r="J35" s="276">
        <v>2.693</v>
      </c>
      <c r="K35" s="273">
        <v>7.5</v>
      </c>
      <c r="L35" s="188">
        <v>23.3</v>
      </c>
      <c r="M35" s="188">
        <v>54.1</v>
      </c>
      <c r="N35" s="188">
        <v>9.9</v>
      </c>
      <c r="O35" s="188">
        <v>1.6</v>
      </c>
      <c r="P35" s="189">
        <v>3.6</v>
      </c>
      <c r="Q35" s="277">
        <v>0.61</v>
      </c>
      <c r="R35" s="271">
        <v>19</v>
      </c>
      <c r="S35" s="197">
        <v>1300</v>
      </c>
      <c r="T35" s="197">
        <v>3100</v>
      </c>
      <c r="U35" s="25" t="s">
        <v>264</v>
      </c>
    </row>
    <row r="36" spans="1:21" ht="16.5" customHeight="1">
      <c r="A36" s="832"/>
      <c r="B36" s="30" t="s">
        <v>76</v>
      </c>
      <c r="C36" s="207" t="s">
        <v>236</v>
      </c>
      <c r="D36" s="209" t="s">
        <v>237</v>
      </c>
      <c r="E36" s="31">
        <v>7</v>
      </c>
      <c r="F36" s="282">
        <v>78</v>
      </c>
      <c r="G36" s="31">
        <v>76.3</v>
      </c>
      <c r="H36" s="31">
        <v>24.7</v>
      </c>
      <c r="I36" s="286">
        <v>96</v>
      </c>
      <c r="J36" s="283">
        <v>2.389</v>
      </c>
      <c r="K36" s="300">
        <v>0</v>
      </c>
      <c r="L36" s="191">
        <v>4</v>
      </c>
      <c r="M36" s="191">
        <v>4</v>
      </c>
      <c r="N36" s="191">
        <v>14.9</v>
      </c>
      <c r="O36" s="191">
        <v>48.9</v>
      </c>
      <c r="P36" s="194">
        <v>28.2</v>
      </c>
      <c r="Q36" s="301">
        <v>0.018</v>
      </c>
      <c r="R36" s="286">
        <v>2</v>
      </c>
      <c r="S36" s="199">
        <v>8200</v>
      </c>
      <c r="T36" s="199">
        <v>19000</v>
      </c>
      <c r="U36" s="32" t="s">
        <v>264</v>
      </c>
    </row>
    <row r="37" spans="1:21" ht="16.5" customHeight="1">
      <c r="A37" s="819" t="s">
        <v>39</v>
      </c>
      <c r="B37" s="27" t="s">
        <v>87</v>
      </c>
      <c r="C37" s="204" t="s">
        <v>173</v>
      </c>
      <c r="D37" s="204" t="s">
        <v>174</v>
      </c>
      <c r="E37" s="22">
        <v>6.9</v>
      </c>
      <c r="F37" s="263">
        <v>-11</v>
      </c>
      <c r="G37" s="22">
        <v>66.7</v>
      </c>
      <c r="H37" s="22">
        <v>8.4</v>
      </c>
      <c r="I37" s="269">
        <v>21</v>
      </c>
      <c r="J37" s="265">
        <v>2.609</v>
      </c>
      <c r="K37" s="298">
        <v>0</v>
      </c>
      <c r="L37" s="187">
        <v>0.2</v>
      </c>
      <c r="M37" s="296">
        <v>0</v>
      </c>
      <c r="N37" s="187">
        <v>1.2</v>
      </c>
      <c r="O37" s="187">
        <v>54.9</v>
      </c>
      <c r="P37" s="193">
        <v>43.7</v>
      </c>
      <c r="Q37" s="302">
        <v>0.0063</v>
      </c>
      <c r="R37" s="269">
        <v>2</v>
      </c>
      <c r="S37" s="196">
        <v>71</v>
      </c>
      <c r="T37" s="196">
        <v>210</v>
      </c>
      <c r="U37" s="36" t="s">
        <v>264</v>
      </c>
    </row>
    <row r="38" spans="1:21" ht="16.5" customHeight="1">
      <c r="A38" s="831"/>
      <c r="B38" s="29" t="s">
        <v>88</v>
      </c>
      <c r="C38" s="205" t="s">
        <v>238</v>
      </c>
      <c r="D38" s="205" t="s">
        <v>239</v>
      </c>
      <c r="E38" s="24">
        <v>6.9</v>
      </c>
      <c r="F38" s="270">
        <v>16</v>
      </c>
      <c r="G38" s="24">
        <v>77.4</v>
      </c>
      <c r="H38" s="24">
        <v>11.7</v>
      </c>
      <c r="I38" s="271">
        <v>43</v>
      </c>
      <c r="J38" s="276">
        <v>2.516</v>
      </c>
      <c r="K38" s="278">
        <v>0</v>
      </c>
      <c r="L38" s="188">
        <v>1</v>
      </c>
      <c r="M38" s="188">
        <v>1</v>
      </c>
      <c r="N38" s="188">
        <v>1.5</v>
      </c>
      <c r="O38" s="188">
        <v>55.4</v>
      </c>
      <c r="P38" s="189">
        <v>41.1</v>
      </c>
      <c r="Q38" s="303">
        <v>0.0088</v>
      </c>
      <c r="R38" s="271">
        <v>2</v>
      </c>
      <c r="S38" s="197">
        <v>350</v>
      </c>
      <c r="T38" s="197">
        <v>900</v>
      </c>
      <c r="U38" s="26" t="s">
        <v>264</v>
      </c>
    </row>
    <row r="39" spans="1:21" ht="16.5" customHeight="1">
      <c r="A39" s="831"/>
      <c r="B39" s="29" t="s">
        <v>89</v>
      </c>
      <c r="C39" s="205" t="s">
        <v>175</v>
      </c>
      <c r="D39" s="205" t="s">
        <v>176</v>
      </c>
      <c r="E39" s="24">
        <v>6.7</v>
      </c>
      <c r="F39" s="270">
        <v>-15</v>
      </c>
      <c r="G39" s="24">
        <v>72.3</v>
      </c>
      <c r="H39" s="24">
        <v>15.3</v>
      </c>
      <c r="I39" s="271">
        <v>46</v>
      </c>
      <c r="J39" s="276">
        <v>2.508</v>
      </c>
      <c r="K39" s="278">
        <v>0</v>
      </c>
      <c r="L39" s="188">
        <v>0.3</v>
      </c>
      <c r="M39" s="188">
        <v>0.1</v>
      </c>
      <c r="N39" s="188">
        <v>13.6</v>
      </c>
      <c r="O39" s="188">
        <v>48.8</v>
      </c>
      <c r="P39" s="189">
        <v>37.2</v>
      </c>
      <c r="Q39" s="297">
        <v>0.011</v>
      </c>
      <c r="R39" s="271">
        <v>2</v>
      </c>
      <c r="S39" s="197">
        <v>970</v>
      </c>
      <c r="T39" s="197">
        <v>2300</v>
      </c>
      <c r="U39" s="218">
        <v>2.2</v>
      </c>
    </row>
    <row r="40" spans="1:21" ht="16.5" customHeight="1">
      <c r="A40" s="831"/>
      <c r="B40" s="29" t="s">
        <v>97</v>
      </c>
      <c r="C40" s="205" t="s">
        <v>240</v>
      </c>
      <c r="D40" s="205" t="s">
        <v>241</v>
      </c>
      <c r="E40" s="24">
        <v>6.8</v>
      </c>
      <c r="F40" s="270">
        <v>8</v>
      </c>
      <c r="G40" s="24">
        <v>71.8</v>
      </c>
      <c r="H40" s="24">
        <v>8.3</v>
      </c>
      <c r="I40" s="271">
        <v>21</v>
      </c>
      <c r="J40" s="276">
        <v>2.573</v>
      </c>
      <c r="K40" s="273">
        <v>2.2</v>
      </c>
      <c r="L40" s="188">
        <v>1.5</v>
      </c>
      <c r="M40" s="188">
        <v>2.2</v>
      </c>
      <c r="N40" s="188">
        <v>5.7</v>
      </c>
      <c r="O40" s="188">
        <v>43.4</v>
      </c>
      <c r="P40" s="189">
        <v>45</v>
      </c>
      <c r="Q40" s="303">
        <v>0.0069</v>
      </c>
      <c r="R40" s="275">
        <v>9.5</v>
      </c>
      <c r="S40" s="197">
        <v>550</v>
      </c>
      <c r="T40" s="197">
        <v>1300</v>
      </c>
      <c r="U40" s="213" t="s">
        <v>264</v>
      </c>
    </row>
    <row r="41" spans="1:21" ht="16.5" customHeight="1">
      <c r="A41" s="832"/>
      <c r="B41" s="30" t="s">
        <v>90</v>
      </c>
      <c r="C41" s="205" t="s">
        <v>177</v>
      </c>
      <c r="D41" s="205" t="s">
        <v>178</v>
      </c>
      <c r="E41" s="31">
        <v>6.6</v>
      </c>
      <c r="F41" s="282">
        <v>-10</v>
      </c>
      <c r="G41" s="31">
        <v>64.9</v>
      </c>
      <c r="H41" s="31">
        <v>8.8</v>
      </c>
      <c r="I41" s="286">
        <v>30</v>
      </c>
      <c r="J41" s="283">
        <v>2.596</v>
      </c>
      <c r="K41" s="300">
        <v>0</v>
      </c>
      <c r="L41" s="191">
        <v>0.1</v>
      </c>
      <c r="M41" s="191">
        <v>0.2</v>
      </c>
      <c r="N41" s="191">
        <v>10.8</v>
      </c>
      <c r="O41" s="191">
        <v>53.9</v>
      </c>
      <c r="P41" s="194">
        <v>35</v>
      </c>
      <c r="Q41" s="301">
        <v>0.012</v>
      </c>
      <c r="R41" s="286">
        <v>2</v>
      </c>
      <c r="S41" s="199">
        <v>600</v>
      </c>
      <c r="T41" s="199">
        <v>1400</v>
      </c>
      <c r="U41" s="32" t="s">
        <v>264</v>
      </c>
    </row>
    <row r="42" spans="1:21" ht="16.5" customHeight="1">
      <c r="A42" s="819" t="s">
        <v>40</v>
      </c>
      <c r="B42" s="160" t="s">
        <v>91</v>
      </c>
      <c r="C42" s="204" t="s">
        <v>179</v>
      </c>
      <c r="D42" s="204" t="s">
        <v>180</v>
      </c>
      <c r="E42" s="22">
        <v>6.8</v>
      </c>
      <c r="F42" s="263">
        <v>-48</v>
      </c>
      <c r="G42" s="22">
        <v>77.8</v>
      </c>
      <c r="H42" s="22">
        <v>9.4</v>
      </c>
      <c r="I42" s="269">
        <v>19</v>
      </c>
      <c r="J42" s="265">
        <v>2.538</v>
      </c>
      <c r="K42" s="298">
        <v>0</v>
      </c>
      <c r="L42" s="187">
        <v>0.6</v>
      </c>
      <c r="M42" s="187">
        <v>5.1</v>
      </c>
      <c r="N42" s="187">
        <v>44</v>
      </c>
      <c r="O42" s="187">
        <v>20.1</v>
      </c>
      <c r="P42" s="193">
        <v>30.2</v>
      </c>
      <c r="Q42" s="299">
        <v>0.073</v>
      </c>
      <c r="R42" s="269">
        <v>2</v>
      </c>
      <c r="S42" s="197">
        <v>380</v>
      </c>
      <c r="T42" s="197">
        <v>860</v>
      </c>
      <c r="U42" s="36" t="s">
        <v>657</v>
      </c>
    </row>
    <row r="43" spans="1:21" ht="16.5" customHeight="1">
      <c r="A43" s="831"/>
      <c r="B43" s="29" t="s">
        <v>92</v>
      </c>
      <c r="C43" s="206" t="s">
        <v>242</v>
      </c>
      <c r="D43" s="205" t="s">
        <v>243</v>
      </c>
      <c r="E43" s="24">
        <v>6.8</v>
      </c>
      <c r="F43" s="270">
        <v>-68</v>
      </c>
      <c r="G43" s="24">
        <v>69.4</v>
      </c>
      <c r="H43" s="24">
        <v>7.9</v>
      </c>
      <c r="I43" s="271">
        <v>18</v>
      </c>
      <c r="J43" s="276">
        <v>2.581</v>
      </c>
      <c r="K43" s="273">
        <v>2</v>
      </c>
      <c r="L43" s="188">
        <v>1</v>
      </c>
      <c r="M43" s="188">
        <v>1.8</v>
      </c>
      <c r="N43" s="188">
        <v>34.5</v>
      </c>
      <c r="O43" s="188">
        <v>30</v>
      </c>
      <c r="P43" s="189">
        <v>30.7</v>
      </c>
      <c r="Q43" s="297">
        <v>0.037</v>
      </c>
      <c r="R43" s="275">
        <v>9.5</v>
      </c>
      <c r="S43" s="197">
        <v>510</v>
      </c>
      <c r="T43" s="197">
        <v>1200</v>
      </c>
      <c r="U43" s="25" t="s">
        <v>264</v>
      </c>
    </row>
    <row r="44" spans="1:21" ht="16.5" customHeight="1">
      <c r="A44" s="831"/>
      <c r="B44" s="29" t="s">
        <v>98</v>
      </c>
      <c r="C44" s="206" t="s">
        <v>181</v>
      </c>
      <c r="D44" s="205" t="s">
        <v>182</v>
      </c>
      <c r="E44" s="24">
        <v>6.8</v>
      </c>
      <c r="F44" s="784">
        <v>-78</v>
      </c>
      <c r="G44" s="785">
        <v>68.5</v>
      </c>
      <c r="H44" s="785">
        <v>10.2</v>
      </c>
      <c r="I44" s="786">
        <v>17</v>
      </c>
      <c r="J44" s="787">
        <v>2.586</v>
      </c>
      <c r="K44" s="792">
        <v>0</v>
      </c>
      <c r="L44" s="789">
        <v>0.1</v>
      </c>
      <c r="M44" s="789">
        <v>2.5</v>
      </c>
      <c r="N44" s="789">
        <v>26.9</v>
      </c>
      <c r="O44" s="789">
        <v>45.1</v>
      </c>
      <c r="P44" s="790">
        <v>25.4</v>
      </c>
      <c r="Q44" s="793">
        <v>0.03</v>
      </c>
      <c r="R44" s="786">
        <v>2</v>
      </c>
      <c r="S44" s="197">
        <v>35</v>
      </c>
      <c r="T44" s="197">
        <v>99</v>
      </c>
      <c r="U44" s="25" t="s">
        <v>264</v>
      </c>
    </row>
    <row r="45" spans="1:21" ht="16.5" customHeight="1">
      <c r="A45" s="831"/>
      <c r="B45" s="29" t="s">
        <v>99</v>
      </c>
      <c r="C45" s="29" t="s">
        <v>244</v>
      </c>
      <c r="D45" s="205" t="s">
        <v>245</v>
      </c>
      <c r="E45" s="785">
        <v>6.5</v>
      </c>
      <c r="F45" s="784">
        <v>-15</v>
      </c>
      <c r="G45" s="785">
        <v>30.1</v>
      </c>
      <c r="H45" s="785">
        <v>3.3</v>
      </c>
      <c r="I45" s="786">
        <v>2</v>
      </c>
      <c r="J45" s="787">
        <v>2.717</v>
      </c>
      <c r="K45" s="788">
        <v>23.3</v>
      </c>
      <c r="L45" s="789">
        <v>14.1</v>
      </c>
      <c r="M45" s="789">
        <v>30.2</v>
      </c>
      <c r="N45" s="789">
        <v>6.7</v>
      </c>
      <c r="O45" s="789">
        <v>12.1</v>
      </c>
      <c r="P45" s="790">
        <v>13.6</v>
      </c>
      <c r="Q45" s="791">
        <v>0.54</v>
      </c>
      <c r="R45" s="786">
        <v>19</v>
      </c>
      <c r="S45" s="198">
        <v>22</v>
      </c>
      <c r="T45" s="198">
        <v>59</v>
      </c>
      <c r="U45" s="26" t="s">
        <v>264</v>
      </c>
    </row>
    <row r="46" spans="1:21" ht="16.5" customHeight="1">
      <c r="A46" s="832"/>
      <c r="B46" s="30" t="s">
        <v>93</v>
      </c>
      <c r="C46" s="205" t="s">
        <v>183</v>
      </c>
      <c r="D46" s="205" t="s">
        <v>184</v>
      </c>
      <c r="E46" s="776">
        <v>6.8</v>
      </c>
      <c r="F46" s="777">
        <v>156</v>
      </c>
      <c r="G46" s="776">
        <v>30.3</v>
      </c>
      <c r="H46" s="776">
        <v>1.6</v>
      </c>
      <c r="I46" s="778">
        <v>1</v>
      </c>
      <c r="J46" s="779">
        <v>2.676</v>
      </c>
      <c r="K46" s="780">
        <v>1.3</v>
      </c>
      <c r="L46" s="781">
        <v>5.6</v>
      </c>
      <c r="M46" s="781">
        <v>76.9</v>
      </c>
      <c r="N46" s="781">
        <v>14.7</v>
      </c>
      <c r="O46" s="781">
        <v>0.6</v>
      </c>
      <c r="P46" s="782">
        <v>0.9</v>
      </c>
      <c r="Q46" s="783">
        <v>0.34</v>
      </c>
      <c r="R46" s="794">
        <v>4.75</v>
      </c>
      <c r="S46" s="199">
        <v>51</v>
      </c>
      <c r="T46" s="200">
        <v>140</v>
      </c>
      <c r="U46" s="32" t="s">
        <v>264</v>
      </c>
    </row>
    <row r="47" spans="1:21" ht="16.5" customHeight="1">
      <c r="A47" s="815" t="s">
        <v>151</v>
      </c>
      <c r="B47" s="33" t="s">
        <v>155</v>
      </c>
      <c r="C47" s="204" t="s">
        <v>246</v>
      </c>
      <c r="D47" s="204" t="s">
        <v>247</v>
      </c>
      <c r="E47" s="292">
        <v>7.7</v>
      </c>
      <c r="F47" s="287">
        <v>172</v>
      </c>
      <c r="G47" s="34">
        <v>20.7</v>
      </c>
      <c r="H47" s="34">
        <v>1.6</v>
      </c>
      <c r="I47" s="322" t="s">
        <v>165</v>
      </c>
      <c r="J47" s="288">
        <v>2.747</v>
      </c>
      <c r="K47" s="304">
        <v>0</v>
      </c>
      <c r="L47" s="305">
        <v>8.8</v>
      </c>
      <c r="M47" s="305">
        <v>46.2</v>
      </c>
      <c r="N47" s="305">
        <v>38.8</v>
      </c>
      <c r="O47" s="305">
        <v>3.3</v>
      </c>
      <c r="P47" s="306">
        <v>2.9</v>
      </c>
      <c r="Q47" s="307">
        <v>0.28</v>
      </c>
      <c r="R47" s="287">
        <v>2</v>
      </c>
      <c r="S47" s="196">
        <v>34</v>
      </c>
      <c r="T47" s="196">
        <v>88</v>
      </c>
      <c r="U47" s="166" t="s">
        <v>264</v>
      </c>
    </row>
    <row r="48" spans="1:21" ht="16.5" customHeight="1">
      <c r="A48" s="833"/>
      <c r="B48" s="29" t="s">
        <v>156</v>
      </c>
      <c r="C48" s="206" t="s">
        <v>248</v>
      </c>
      <c r="D48" s="206" t="s">
        <v>249</v>
      </c>
      <c r="E48" s="275">
        <v>7.6</v>
      </c>
      <c r="F48" s="270">
        <v>136</v>
      </c>
      <c r="G48" s="24">
        <v>42.9</v>
      </c>
      <c r="H48" s="24">
        <v>4.2</v>
      </c>
      <c r="I48" s="96">
        <v>5</v>
      </c>
      <c r="J48" s="276">
        <v>2.716</v>
      </c>
      <c r="K48" s="308">
        <v>0</v>
      </c>
      <c r="L48" s="309">
        <v>0</v>
      </c>
      <c r="M48" s="310">
        <v>1.7</v>
      </c>
      <c r="N48" s="310">
        <v>52.9</v>
      </c>
      <c r="O48" s="310">
        <v>24.2</v>
      </c>
      <c r="P48" s="311">
        <v>21.2</v>
      </c>
      <c r="Q48" s="297">
        <v>0.094</v>
      </c>
      <c r="R48" s="312">
        <v>0.85</v>
      </c>
      <c r="S48" s="197">
        <v>180</v>
      </c>
      <c r="T48" s="197">
        <v>490</v>
      </c>
      <c r="U48" s="40" t="s">
        <v>658</v>
      </c>
    </row>
    <row r="49" spans="1:21" ht="16.5" customHeight="1">
      <c r="A49" s="816"/>
      <c r="B49" s="30" t="s">
        <v>157</v>
      </c>
      <c r="C49" s="207" t="s">
        <v>250</v>
      </c>
      <c r="D49" s="207" t="s">
        <v>251</v>
      </c>
      <c r="E49" s="285">
        <v>7.6</v>
      </c>
      <c r="F49" s="282">
        <v>118</v>
      </c>
      <c r="G49" s="31">
        <v>53.4</v>
      </c>
      <c r="H49" s="31">
        <v>6.5</v>
      </c>
      <c r="I49" s="97">
        <v>9</v>
      </c>
      <c r="J49" s="283">
        <v>2.703</v>
      </c>
      <c r="K49" s="313">
        <v>0</v>
      </c>
      <c r="L49" s="314">
        <v>0.2</v>
      </c>
      <c r="M49" s="314">
        <v>0.3</v>
      </c>
      <c r="N49" s="314">
        <v>13.3</v>
      </c>
      <c r="O49" s="314">
        <v>59.7</v>
      </c>
      <c r="P49" s="315">
        <v>26.5</v>
      </c>
      <c r="Q49" s="301">
        <v>0.024</v>
      </c>
      <c r="R49" s="286">
        <v>2</v>
      </c>
      <c r="S49" s="199">
        <v>240</v>
      </c>
      <c r="T49" s="199">
        <v>540</v>
      </c>
      <c r="U49" s="32" t="s">
        <v>264</v>
      </c>
    </row>
    <row r="50" spans="1:21" ht="16.5" customHeight="1">
      <c r="A50" s="817" t="s">
        <v>152</v>
      </c>
      <c r="B50" s="27" t="s">
        <v>94</v>
      </c>
      <c r="C50" s="205" t="s">
        <v>252</v>
      </c>
      <c r="D50" s="204" t="s">
        <v>253</v>
      </c>
      <c r="E50" s="268">
        <v>7.7</v>
      </c>
      <c r="F50" s="263">
        <v>102</v>
      </c>
      <c r="G50" s="22">
        <v>28.1</v>
      </c>
      <c r="H50" s="22">
        <v>2.6</v>
      </c>
      <c r="I50" s="316">
        <v>2</v>
      </c>
      <c r="J50" s="265">
        <v>2.721</v>
      </c>
      <c r="K50" s="317">
        <v>10.5</v>
      </c>
      <c r="L50" s="28">
        <v>20.8</v>
      </c>
      <c r="M50" s="28">
        <v>38.8</v>
      </c>
      <c r="N50" s="28">
        <v>14.3</v>
      </c>
      <c r="O50" s="28">
        <v>6.6</v>
      </c>
      <c r="P50" s="195">
        <v>9</v>
      </c>
      <c r="Q50" s="320">
        <v>0.46</v>
      </c>
      <c r="R50" s="268">
        <v>9.5</v>
      </c>
      <c r="S50" s="196">
        <v>44</v>
      </c>
      <c r="T50" s="196">
        <v>120</v>
      </c>
      <c r="U50" s="41" t="s">
        <v>264</v>
      </c>
    </row>
    <row r="51" spans="1:21" ht="16.5" customHeight="1">
      <c r="A51" s="833"/>
      <c r="B51" s="29" t="s">
        <v>95</v>
      </c>
      <c r="C51" s="206" t="s">
        <v>254</v>
      </c>
      <c r="D51" s="205" t="s">
        <v>255</v>
      </c>
      <c r="E51" s="275">
        <v>7.9</v>
      </c>
      <c r="F51" s="318">
        <v>98</v>
      </c>
      <c r="G51" s="24">
        <v>32.8</v>
      </c>
      <c r="H51" s="24">
        <v>2.7</v>
      </c>
      <c r="I51" s="319">
        <v>3</v>
      </c>
      <c r="J51" s="276">
        <v>2.692</v>
      </c>
      <c r="K51" s="308">
        <v>0</v>
      </c>
      <c r="L51" s="310">
        <v>0.3</v>
      </c>
      <c r="M51" s="310">
        <v>31</v>
      </c>
      <c r="N51" s="310">
        <v>48.1</v>
      </c>
      <c r="O51" s="310">
        <v>7.2</v>
      </c>
      <c r="P51" s="311">
        <v>13.4</v>
      </c>
      <c r="Q51" s="277">
        <v>0.19</v>
      </c>
      <c r="R51" s="271">
        <v>2</v>
      </c>
      <c r="S51" s="197">
        <v>99</v>
      </c>
      <c r="T51" s="197">
        <v>230</v>
      </c>
      <c r="U51" s="40" t="s">
        <v>661</v>
      </c>
    </row>
    <row r="52" spans="1:21" ht="16.5" customHeight="1">
      <c r="A52" s="816"/>
      <c r="B52" s="30" t="s">
        <v>96</v>
      </c>
      <c r="C52" s="207" t="s">
        <v>256</v>
      </c>
      <c r="D52" s="209" t="s">
        <v>257</v>
      </c>
      <c r="E52" s="285">
        <v>8</v>
      </c>
      <c r="F52" s="282">
        <v>112</v>
      </c>
      <c r="G52" s="31">
        <v>23.8</v>
      </c>
      <c r="H52" s="31">
        <v>1.2</v>
      </c>
      <c r="I52" s="279" t="s">
        <v>165</v>
      </c>
      <c r="J52" s="283">
        <v>2.721</v>
      </c>
      <c r="K52" s="313">
        <v>0</v>
      </c>
      <c r="L52" s="314">
        <v>0.7</v>
      </c>
      <c r="M52" s="314">
        <v>56.2</v>
      </c>
      <c r="N52" s="314">
        <v>38.1</v>
      </c>
      <c r="O52" s="314">
        <v>1.6</v>
      </c>
      <c r="P52" s="315">
        <v>3.4</v>
      </c>
      <c r="Q52" s="294">
        <v>0.27</v>
      </c>
      <c r="R52" s="286">
        <v>2</v>
      </c>
      <c r="S52" s="199">
        <v>11</v>
      </c>
      <c r="T52" s="199">
        <v>40</v>
      </c>
      <c r="U52" s="42" t="s">
        <v>264</v>
      </c>
    </row>
    <row r="53" spans="1:21" ht="16.5" customHeight="1">
      <c r="A53" s="817" t="s">
        <v>149</v>
      </c>
      <c r="B53" s="27" t="s">
        <v>158</v>
      </c>
      <c r="C53" s="205" t="s">
        <v>258</v>
      </c>
      <c r="D53" s="205" t="s">
        <v>259</v>
      </c>
      <c r="E53" s="22">
        <v>7.9</v>
      </c>
      <c r="F53" s="263">
        <v>182</v>
      </c>
      <c r="G53" s="22">
        <v>28.3</v>
      </c>
      <c r="H53" s="22">
        <v>1.7</v>
      </c>
      <c r="I53" s="295" t="s">
        <v>166</v>
      </c>
      <c r="J53" s="265">
        <v>2.787</v>
      </c>
      <c r="K53" s="298">
        <v>0</v>
      </c>
      <c r="L53" s="187">
        <v>0.4</v>
      </c>
      <c r="M53" s="187">
        <v>1.9</v>
      </c>
      <c r="N53" s="187">
        <v>89.9</v>
      </c>
      <c r="O53" s="187">
        <v>4.9</v>
      </c>
      <c r="P53" s="193">
        <v>2.9</v>
      </c>
      <c r="Q53" s="320">
        <v>0.16</v>
      </c>
      <c r="R53" s="269">
        <v>2</v>
      </c>
      <c r="S53" s="196">
        <v>56</v>
      </c>
      <c r="T53" s="196">
        <v>140</v>
      </c>
      <c r="U53" s="36" t="s">
        <v>264</v>
      </c>
    </row>
    <row r="54" spans="1:21" ht="16.5" customHeight="1">
      <c r="A54" s="833"/>
      <c r="B54" s="33" t="s">
        <v>159</v>
      </c>
      <c r="C54" s="206" t="s">
        <v>260</v>
      </c>
      <c r="D54" s="206" t="s">
        <v>261</v>
      </c>
      <c r="E54" s="24">
        <v>7.8</v>
      </c>
      <c r="F54" s="270">
        <v>168</v>
      </c>
      <c r="G54" s="24">
        <v>27.2</v>
      </c>
      <c r="H54" s="24">
        <v>1.8</v>
      </c>
      <c r="I54" s="264" t="s">
        <v>166</v>
      </c>
      <c r="J54" s="276">
        <v>2.781</v>
      </c>
      <c r="K54" s="278">
        <v>0</v>
      </c>
      <c r="L54" s="188">
        <v>0.8</v>
      </c>
      <c r="M54" s="188">
        <v>3.9</v>
      </c>
      <c r="N54" s="188">
        <v>91.8</v>
      </c>
      <c r="O54" s="188">
        <v>0.8</v>
      </c>
      <c r="P54" s="189">
        <v>2.7</v>
      </c>
      <c r="Q54" s="277">
        <v>0.16</v>
      </c>
      <c r="R54" s="271">
        <v>2</v>
      </c>
      <c r="S54" s="197">
        <v>64</v>
      </c>
      <c r="T54" s="197">
        <v>170</v>
      </c>
      <c r="U54" s="40" t="s">
        <v>659</v>
      </c>
    </row>
    <row r="55" spans="1:21" ht="16.5" customHeight="1">
      <c r="A55" s="816"/>
      <c r="B55" s="89" t="s">
        <v>160</v>
      </c>
      <c r="C55" s="207" t="s">
        <v>262</v>
      </c>
      <c r="D55" s="207" t="s">
        <v>263</v>
      </c>
      <c r="E55" s="31">
        <v>7.9</v>
      </c>
      <c r="F55" s="282">
        <v>172</v>
      </c>
      <c r="G55" s="31">
        <v>23.6</v>
      </c>
      <c r="H55" s="31">
        <v>2.1</v>
      </c>
      <c r="I55" s="321" t="s">
        <v>166</v>
      </c>
      <c r="J55" s="283">
        <v>2.784</v>
      </c>
      <c r="K55" s="300">
        <v>0</v>
      </c>
      <c r="L55" s="191">
        <v>1.1</v>
      </c>
      <c r="M55" s="191">
        <v>4.8</v>
      </c>
      <c r="N55" s="191">
        <v>87.8</v>
      </c>
      <c r="O55" s="191">
        <v>3.4</v>
      </c>
      <c r="P55" s="194">
        <v>2.9</v>
      </c>
      <c r="Q55" s="294">
        <v>0.17</v>
      </c>
      <c r="R55" s="286">
        <v>2</v>
      </c>
      <c r="S55" s="199">
        <v>48</v>
      </c>
      <c r="T55" s="200">
        <v>120</v>
      </c>
      <c r="U55" s="42" t="s">
        <v>264</v>
      </c>
    </row>
    <row r="56" spans="1:5" ht="16.5" customHeight="1">
      <c r="A56" s="116" t="s">
        <v>630</v>
      </c>
      <c r="E56" s="145"/>
    </row>
    <row r="57" spans="1:5" ht="13.5" customHeight="1">
      <c r="A57" s="126"/>
      <c r="B57" s="43"/>
      <c r="E57" s="145"/>
    </row>
    <row r="58" spans="1:16" ht="13.5">
      <c r="A58" s="126"/>
      <c r="B58" s="43"/>
      <c r="E58" s="145"/>
      <c r="P58" s="148"/>
    </row>
    <row r="61" spans="1:2" ht="13.5">
      <c r="A61" s="153"/>
      <c r="B61" s="4"/>
    </row>
    <row r="62" spans="1:8" ht="13.5">
      <c r="A62" s="153"/>
      <c r="B62" s="4"/>
      <c r="E62" s="149"/>
      <c r="F62" s="150"/>
      <c r="G62" s="45"/>
      <c r="H62" s="45"/>
    </row>
    <row r="63" spans="1:8" ht="13.5">
      <c r="A63" s="153"/>
      <c r="B63" s="4"/>
      <c r="E63" s="149"/>
      <c r="F63" s="150"/>
      <c r="G63" s="45"/>
      <c r="H63" s="45"/>
    </row>
    <row r="64" spans="1:8" ht="13.5">
      <c r="A64" s="153"/>
      <c r="B64" s="4"/>
      <c r="E64" s="149"/>
      <c r="F64" s="150"/>
      <c r="G64" s="45"/>
      <c r="H64" s="45"/>
    </row>
    <row r="65" spans="1:8" ht="13.5">
      <c r="A65" s="153"/>
      <c r="B65" s="4"/>
      <c r="E65" s="149"/>
      <c r="F65" s="150"/>
      <c r="G65" s="45"/>
      <c r="H65" s="45"/>
    </row>
    <row r="66" spans="1:8" ht="13.5">
      <c r="A66" s="153"/>
      <c r="B66" s="4"/>
      <c r="E66" s="149"/>
      <c r="F66" s="150"/>
      <c r="G66" s="45"/>
      <c r="H66" s="45"/>
    </row>
    <row r="67" spans="1:8" ht="13.5">
      <c r="A67" s="153"/>
      <c r="B67" s="4"/>
      <c r="E67" s="149"/>
      <c r="F67" s="150"/>
      <c r="G67" s="45"/>
      <c r="H67" s="45"/>
    </row>
    <row r="68" spans="1:8" ht="13.5">
      <c r="A68" s="153"/>
      <c r="B68" s="4"/>
      <c r="E68" s="149"/>
      <c r="F68" s="150"/>
      <c r="G68" s="45"/>
      <c r="H68" s="45"/>
    </row>
    <row r="69" spans="1:8" ht="13.5">
      <c r="A69" s="153"/>
      <c r="B69" s="4"/>
      <c r="E69" s="149"/>
      <c r="F69" s="150"/>
      <c r="G69" s="45"/>
      <c r="H69" s="45"/>
    </row>
    <row r="70" spans="1:8" ht="13.5">
      <c r="A70" s="153"/>
      <c r="B70" s="4"/>
      <c r="E70" s="149"/>
      <c r="F70" s="150"/>
      <c r="G70" s="45"/>
      <c r="H70" s="45"/>
    </row>
    <row r="71" spans="1:8" ht="13.5">
      <c r="A71" s="153"/>
      <c r="B71" s="4"/>
      <c r="E71" s="149"/>
      <c r="F71" s="150"/>
      <c r="G71" s="45"/>
      <c r="H71" s="45"/>
    </row>
    <row r="72" spans="1:8" ht="13.5">
      <c r="A72" s="153"/>
      <c r="B72" s="4"/>
      <c r="E72" s="149"/>
      <c r="F72" s="150"/>
      <c r="G72" s="45"/>
      <c r="H72" s="45"/>
    </row>
    <row r="73" spans="1:8" ht="13.5">
      <c r="A73" s="153"/>
      <c r="B73" s="4"/>
      <c r="E73" s="149"/>
      <c r="F73" s="150"/>
      <c r="G73" s="45"/>
      <c r="H73" s="45"/>
    </row>
    <row r="74" spans="1:8" ht="13.5">
      <c r="A74" s="153"/>
      <c r="B74" s="4"/>
      <c r="E74" s="149"/>
      <c r="F74" s="150"/>
      <c r="G74" s="45"/>
      <c r="H74" s="45"/>
    </row>
    <row r="75" spans="1:8" ht="13.5">
      <c r="A75" s="153"/>
      <c r="B75" s="4"/>
      <c r="E75" s="149"/>
      <c r="F75" s="150"/>
      <c r="G75" s="45"/>
      <c r="H75" s="45"/>
    </row>
    <row r="76" spans="1:8" ht="13.5">
      <c r="A76" s="153"/>
      <c r="B76" s="4"/>
      <c r="E76" s="149"/>
      <c r="F76" s="150"/>
      <c r="G76" s="45"/>
      <c r="H76" s="45"/>
    </row>
    <row r="77" spans="1:8" ht="13.5">
      <c r="A77" s="153"/>
      <c r="B77" s="4"/>
      <c r="E77" s="149"/>
      <c r="F77" s="150"/>
      <c r="G77" s="45"/>
      <c r="H77" s="45"/>
    </row>
    <row r="78" spans="1:8" ht="13.5">
      <c r="A78" s="153"/>
      <c r="B78" s="4"/>
      <c r="E78" s="149"/>
      <c r="F78" s="150"/>
      <c r="G78" s="45"/>
      <c r="H78" s="45"/>
    </row>
    <row r="79" spans="1:8" ht="13.5">
      <c r="A79" s="153"/>
      <c r="B79" s="4"/>
      <c r="E79" s="149"/>
      <c r="F79" s="150"/>
      <c r="G79" s="45"/>
      <c r="H79" s="45"/>
    </row>
    <row r="80" spans="1:8" ht="13.5">
      <c r="A80" s="153"/>
      <c r="B80" s="4"/>
      <c r="E80" s="149"/>
      <c r="F80" s="150"/>
      <c r="G80" s="45"/>
      <c r="H80" s="45"/>
    </row>
    <row r="81" spans="1:8" ht="13.5">
      <c r="A81" s="153"/>
      <c r="B81" s="4"/>
      <c r="E81" s="149"/>
      <c r="F81" s="150"/>
      <c r="G81" s="45"/>
      <c r="H81" s="45"/>
    </row>
    <row r="82" spans="1:8" ht="13.5">
      <c r="A82" s="153"/>
      <c r="B82" s="4"/>
      <c r="E82" s="149"/>
      <c r="F82" s="150"/>
      <c r="G82" s="45"/>
      <c r="H82" s="45"/>
    </row>
    <row r="83" spans="1:8" ht="13.5">
      <c r="A83" s="153"/>
      <c r="B83" s="4"/>
      <c r="E83" s="149"/>
      <c r="F83" s="150"/>
      <c r="G83" s="45"/>
      <c r="H83" s="45"/>
    </row>
    <row r="84" spans="1:8" ht="13.5">
      <c r="A84" s="153"/>
      <c r="B84" s="4"/>
      <c r="E84" s="149"/>
      <c r="F84" s="150"/>
      <c r="G84" s="45"/>
      <c r="H84" s="45"/>
    </row>
    <row r="85" spans="1:8" ht="13.5">
      <c r="A85" s="153"/>
      <c r="B85" s="4"/>
      <c r="E85" s="149"/>
      <c r="F85" s="150"/>
      <c r="G85" s="45"/>
      <c r="H85" s="45"/>
    </row>
    <row r="86" spans="1:8" ht="13.5">
      <c r="A86" s="153"/>
      <c r="B86" s="4"/>
      <c r="E86" s="149"/>
      <c r="F86" s="150"/>
      <c r="G86" s="45"/>
      <c r="H86" s="45"/>
    </row>
    <row r="87" spans="1:8" ht="13.5">
      <c r="A87" s="153"/>
      <c r="B87" s="4"/>
      <c r="E87" s="149"/>
      <c r="F87" s="150"/>
      <c r="G87" s="45"/>
      <c r="H87" s="45"/>
    </row>
    <row r="88" spans="1:8" ht="13.5">
      <c r="A88" s="153"/>
      <c r="B88" s="4"/>
      <c r="E88" s="149"/>
      <c r="F88" s="150"/>
      <c r="G88" s="45"/>
      <c r="H88" s="45"/>
    </row>
    <row r="89" spans="1:8" ht="13.5">
      <c r="A89" s="153"/>
      <c r="B89" s="4"/>
      <c r="E89" s="149"/>
      <c r="F89" s="150"/>
      <c r="G89" s="45"/>
      <c r="H89" s="45"/>
    </row>
    <row r="90" spans="1:8" ht="13.5">
      <c r="A90" s="153"/>
      <c r="B90" s="4"/>
      <c r="E90" s="149"/>
      <c r="F90" s="150"/>
      <c r="G90" s="45"/>
      <c r="H90" s="45"/>
    </row>
    <row r="91" spans="1:8" ht="13.5">
      <c r="A91" s="153"/>
      <c r="B91" s="4"/>
      <c r="E91" s="149"/>
      <c r="F91" s="150"/>
      <c r="G91" s="45"/>
      <c r="H91" s="45"/>
    </row>
    <row r="92" spans="1:8" ht="13.5">
      <c r="A92" s="153"/>
      <c r="B92" s="4"/>
      <c r="E92" s="149"/>
      <c r="F92" s="150"/>
      <c r="G92" s="45"/>
      <c r="H92" s="45"/>
    </row>
    <row r="93" spans="1:8" ht="13.5">
      <c r="A93" s="153"/>
      <c r="B93" s="4"/>
      <c r="E93" s="149"/>
      <c r="F93" s="150"/>
      <c r="G93" s="45"/>
      <c r="H93" s="45"/>
    </row>
    <row r="94" spans="1:8" ht="13.5">
      <c r="A94" s="153"/>
      <c r="B94" s="4"/>
      <c r="E94" s="149"/>
      <c r="F94" s="150"/>
      <c r="G94" s="45"/>
      <c r="H94" s="45"/>
    </row>
    <row r="95" spans="1:8" ht="13.5">
      <c r="A95" s="153"/>
      <c r="B95" s="4"/>
      <c r="E95" s="149"/>
      <c r="F95" s="150"/>
      <c r="G95" s="45"/>
      <c r="H95" s="45"/>
    </row>
    <row r="96" spans="1:8" ht="13.5">
      <c r="A96" s="153"/>
      <c r="B96" s="4"/>
      <c r="E96" s="149"/>
      <c r="F96" s="150"/>
      <c r="G96" s="45"/>
      <c r="H96" s="45"/>
    </row>
    <row r="97" spans="1:7" ht="13.5">
      <c r="A97" s="830"/>
      <c r="B97" s="43"/>
      <c r="E97" s="145"/>
      <c r="F97" s="145"/>
      <c r="G97" s="46"/>
    </row>
    <row r="98" spans="1:8" ht="13.5">
      <c r="A98" s="830"/>
      <c r="B98" s="43"/>
      <c r="E98" s="145"/>
      <c r="F98" s="145"/>
      <c r="G98" s="46"/>
      <c r="H98" s="98"/>
    </row>
    <row r="99" spans="1:8" ht="13.5">
      <c r="A99" s="830"/>
      <c r="B99" s="43"/>
      <c r="E99" s="145"/>
      <c r="F99" s="145"/>
      <c r="G99" s="46"/>
      <c r="H99" s="98"/>
    </row>
    <row r="100" spans="1:8" ht="13.5">
      <c r="A100" s="830"/>
      <c r="B100" s="43"/>
      <c r="E100" s="145"/>
      <c r="F100" s="145"/>
      <c r="G100" s="46"/>
      <c r="H100" s="98"/>
    </row>
    <row r="101" spans="1:8" ht="13.5">
      <c r="A101" s="830"/>
      <c r="B101" s="43"/>
      <c r="E101" s="145"/>
      <c r="F101" s="145"/>
      <c r="G101" s="46"/>
      <c r="H101" s="98"/>
    </row>
    <row r="102" spans="1:8" ht="13.5">
      <c r="A102" s="830"/>
      <c r="B102" s="43"/>
      <c r="E102" s="145"/>
      <c r="F102" s="145"/>
      <c r="G102" s="46"/>
      <c r="H102" s="98"/>
    </row>
    <row r="103" spans="1:7" ht="13.5">
      <c r="A103" s="830"/>
      <c r="B103" s="43"/>
      <c r="E103" s="145"/>
      <c r="F103" s="145"/>
      <c r="G103" s="46"/>
    </row>
    <row r="104" spans="1:7" ht="13.5">
      <c r="A104" s="830"/>
      <c r="B104" s="43"/>
      <c r="E104" s="145"/>
      <c r="F104" s="145"/>
      <c r="G104" s="46"/>
    </row>
    <row r="105" spans="1:7" ht="13.5">
      <c r="A105" s="830"/>
      <c r="B105" s="43"/>
      <c r="E105" s="145"/>
      <c r="F105" s="145"/>
      <c r="G105" s="46"/>
    </row>
    <row r="106" spans="1:7" ht="13.5">
      <c r="A106" s="830"/>
      <c r="B106" s="43"/>
      <c r="E106" s="145"/>
      <c r="F106" s="145"/>
      <c r="G106" s="46"/>
    </row>
    <row r="107" spans="1:7" ht="13.5">
      <c r="A107" s="126"/>
      <c r="B107" s="47"/>
      <c r="E107" s="145"/>
      <c r="F107" s="151"/>
      <c r="G107" s="48"/>
    </row>
    <row r="108" spans="1:7" ht="13.5">
      <c r="A108" s="126"/>
      <c r="B108" s="47"/>
      <c r="E108" s="145"/>
      <c r="F108" s="151"/>
      <c r="G108" s="48"/>
    </row>
    <row r="109" spans="1:7" ht="13.5">
      <c r="A109" s="126"/>
      <c r="B109" s="47"/>
      <c r="E109" s="145"/>
      <c r="F109" s="151"/>
      <c r="G109" s="48"/>
    </row>
    <row r="110" spans="1:7" ht="13.5">
      <c r="A110" s="126"/>
      <c r="B110" s="47"/>
      <c r="E110" s="145"/>
      <c r="F110" s="151"/>
      <c r="G110" s="48"/>
    </row>
    <row r="111" spans="1:7" ht="13.5">
      <c r="A111" s="126"/>
      <c r="B111" s="47"/>
      <c r="E111" s="145"/>
      <c r="F111" s="151"/>
      <c r="G111" s="48"/>
    </row>
    <row r="112" spans="1:7" ht="13.5">
      <c r="A112" s="126"/>
      <c r="B112" s="47"/>
      <c r="E112" s="145"/>
      <c r="F112" s="151"/>
      <c r="G112" s="48"/>
    </row>
    <row r="113" spans="1:7" ht="13.5">
      <c r="A113" s="126"/>
      <c r="B113" s="47"/>
      <c r="E113" s="145"/>
      <c r="F113" s="151"/>
      <c r="G113" s="48"/>
    </row>
    <row r="114" spans="1:7" ht="13.5">
      <c r="A114" s="126"/>
      <c r="B114" s="47"/>
      <c r="E114" s="145"/>
      <c r="F114" s="151"/>
      <c r="G114" s="48"/>
    </row>
    <row r="115" spans="1:7" ht="13.5">
      <c r="A115" s="126"/>
      <c r="B115" s="47"/>
      <c r="E115" s="145"/>
      <c r="F115" s="151"/>
      <c r="G115" s="48"/>
    </row>
    <row r="116" spans="1:7" ht="13.5">
      <c r="A116" s="126"/>
      <c r="B116" s="47"/>
      <c r="E116" s="145"/>
      <c r="F116" s="151"/>
      <c r="G116" s="48"/>
    </row>
    <row r="117" spans="1:7" ht="13.5">
      <c r="A117" s="126"/>
      <c r="B117" s="47"/>
      <c r="E117" s="145"/>
      <c r="F117" s="151"/>
      <c r="G117" s="48"/>
    </row>
    <row r="118" spans="1:7" ht="13.5">
      <c r="A118" s="126"/>
      <c r="B118" s="47"/>
      <c r="E118" s="145"/>
      <c r="F118" s="151"/>
      <c r="G118" s="48"/>
    </row>
    <row r="119" spans="1:7" ht="13.5">
      <c r="A119" s="126"/>
      <c r="B119" s="47"/>
      <c r="E119" s="145"/>
      <c r="F119" s="151"/>
      <c r="G119" s="48"/>
    </row>
  </sheetData>
  <sheetProtection/>
  <mergeCells count="18">
    <mergeCell ref="E2:U2"/>
    <mergeCell ref="A50:A52"/>
    <mergeCell ref="A47:A49"/>
    <mergeCell ref="A22:A26"/>
    <mergeCell ref="A17:A21"/>
    <mergeCell ref="A27:A31"/>
    <mergeCell ref="A12:A16"/>
    <mergeCell ref="K3:R3"/>
    <mergeCell ref="A7:A11"/>
    <mergeCell ref="A2:D2"/>
    <mergeCell ref="A3:B6"/>
    <mergeCell ref="C3:C6"/>
    <mergeCell ref="D3:D6"/>
    <mergeCell ref="A97:A106"/>
    <mergeCell ref="A37:A41"/>
    <mergeCell ref="A42:A46"/>
    <mergeCell ref="A32:A36"/>
    <mergeCell ref="A53:A55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59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262"/>
  <sheetViews>
    <sheetView view="pageBreakPreview" zoomScaleSheetLayoutView="100" zoomScalePageLayoutView="0" workbookViewId="0" topLeftCell="A154">
      <selection activeCell="I126" sqref="I126"/>
    </sheetView>
  </sheetViews>
  <sheetFormatPr defaultColWidth="9.00390625" defaultRowHeight="13.5"/>
  <cols>
    <col min="1" max="1" width="2.875" style="103" customWidth="1"/>
    <col min="2" max="2" width="16.75390625" style="103" customWidth="1"/>
    <col min="3" max="3" width="9.125" style="104" customWidth="1"/>
    <col min="4" max="6" width="9.00390625" style="49" customWidth="1"/>
    <col min="7" max="7" width="11.625" style="49" customWidth="1"/>
    <col min="8" max="8" width="26.625" style="105" customWidth="1"/>
    <col min="9" max="9" width="18.125" style="105" customWidth="1"/>
    <col min="10" max="10" width="8.625" style="106" customWidth="1"/>
    <col min="11" max="11" width="11.125" style="107" customWidth="1"/>
    <col min="12" max="12" width="11.125" style="108" customWidth="1"/>
    <col min="13" max="13" width="26.75390625" style="109" customWidth="1"/>
    <col min="14" max="14" width="11.125" style="107" customWidth="1"/>
    <col min="15" max="17" width="11.125" style="105" customWidth="1"/>
  </cols>
  <sheetData>
    <row r="1" spans="1:17" s="49" customFormat="1" ht="18" customHeight="1">
      <c r="A1" s="845" t="s">
        <v>1</v>
      </c>
      <c r="B1" s="846"/>
      <c r="C1" s="849" t="s">
        <v>282</v>
      </c>
      <c r="D1" s="851" t="s">
        <v>493</v>
      </c>
      <c r="E1" s="853" t="s">
        <v>494</v>
      </c>
      <c r="F1" s="855" t="s">
        <v>495</v>
      </c>
      <c r="G1" s="855" t="s">
        <v>496</v>
      </c>
      <c r="H1" s="857" t="s">
        <v>497</v>
      </c>
      <c r="I1" s="857" t="s">
        <v>498</v>
      </c>
      <c r="J1" s="906" t="s">
        <v>283</v>
      </c>
      <c r="K1" s="922" t="s">
        <v>284</v>
      </c>
      <c r="L1" s="921" t="s">
        <v>499</v>
      </c>
      <c r="M1" s="921"/>
      <c r="N1" s="917" t="s">
        <v>286</v>
      </c>
      <c r="O1" s="920"/>
      <c r="P1" s="920"/>
      <c r="Q1" s="911" t="s">
        <v>500</v>
      </c>
    </row>
    <row r="2" spans="1:20" s="49" customFormat="1" ht="18" customHeight="1">
      <c r="A2" s="847"/>
      <c r="B2" s="848"/>
      <c r="C2" s="850"/>
      <c r="D2" s="852"/>
      <c r="E2" s="854"/>
      <c r="F2" s="856"/>
      <c r="G2" s="856"/>
      <c r="H2" s="858"/>
      <c r="I2" s="858"/>
      <c r="J2" s="907"/>
      <c r="K2" s="923"/>
      <c r="L2" s="503" t="s">
        <v>285</v>
      </c>
      <c r="M2" s="327" t="s">
        <v>287</v>
      </c>
      <c r="N2" s="504" t="s">
        <v>288</v>
      </c>
      <c r="O2" s="505" t="s">
        <v>289</v>
      </c>
      <c r="P2" s="561" t="s">
        <v>327</v>
      </c>
      <c r="Q2" s="858"/>
      <c r="S2" s="401"/>
      <c r="T2" s="401"/>
    </row>
    <row r="3" spans="1:24" s="226" customFormat="1" ht="13.5" customHeight="1">
      <c r="A3" s="890" t="s">
        <v>58</v>
      </c>
      <c r="B3" s="895" t="s">
        <v>614</v>
      </c>
      <c r="C3" s="902">
        <v>41614</v>
      </c>
      <c r="D3" s="521" t="s">
        <v>502</v>
      </c>
      <c r="E3" s="515" t="s">
        <v>503</v>
      </c>
      <c r="F3" s="515" t="s">
        <v>503</v>
      </c>
      <c r="G3" s="711" t="s">
        <v>503</v>
      </c>
      <c r="H3" s="507" t="s">
        <v>264</v>
      </c>
      <c r="I3" s="331" t="s">
        <v>290</v>
      </c>
      <c r="J3" s="332" t="s">
        <v>264</v>
      </c>
      <c r="K3" s="333">
        <f>98.8539/1000</f>
        <v>0.0988539</v>
      </c>
      <c r="L3" s="334" t="s">
        <v>264</v>
      </c>
      <c r="M3" s="336" t="s">
        <v>264</v>
      </c>
      <c r="N3" s="335">
        <f>SUM(O3,P3)</f>
        <v>284</v>
      </c>
      <c r="O3" s="583">
        <v>84</v>
      </c>
      <c r="P3" s="576">
        <v>200</v>
      </c>
      <c r="Q3" s="567" t="s">
        <v>264</v>
      </c>
      <c r="R3" s="537"/>
      <c r="S3" s="537"/>
      <c r="T3" s="843"/>
      <c r="U3" s="844"/>
      <c r="V3" s="844"/>
      <c r="W3" s="844"/>
      <c r="X3" s="538"/>
    </row>
    <row r="4" spans="1:24" s="226" customFormat="1" ht="13.5" customHeight="1">
      <c r="A4" s="896"/>
      <c r="B4" s="877"/>
      <c r="C4" s="903"/>
      <c r="D4" s="627" t="s">
        <v>504</v>
      </c>
      <c r="E4" s="628" t="s">
        <v>505</v>
      </c>
      <c r="F4" s="516" t="s">
        <v>507</v>
      </c>
      <c r="G4" s="522" t="s">
        <v>508</v>
      </c>
      <c r="H4" s="508" t="s">
        <v>292</v>
      </c>
      <c r="I4" s="338" t="s">
        <v>293</v>
      </c>
      <c r="J4" s="974">
        <f>266+3</f>
        <v>269</v>
      </c>
      <c r="K4" s="975">
        <f>63.972/1000</f>
        <v>0.063972</v>
      </c>
      <c r="L4" s="930" t="s">
        <v>294</v>
      </c>
      <c r="M4" s="864" t="s">
        <v>264</v>
      </c>
      <c r="N4" s="970">
        <f>SUM(O4,P4)</f>
        <v>41</v>
      </c>
      <c r="O4" s="972">
        <v>13</v>
      </c>
      <c r="P4" s="873">
        <v>28</v>
      </c>
      <c r="Q4" s="870" t="s">
        <v>264</v>
      </c>
      <c r="R4" s="872"/>
      <c r="S4" s="859"/>
      <c r="T4" s="860"/>
      <c r="U4" s="861"/>
      <c r="V4" s="861"/>
      <c r="W4" s="861"/>
      <c r="X4" s="863"/>
    </row>
    <row r="5" spans="1:24" s="226" customFormat="1" ht="13.5" customHeight="1">
      <c r="A5" s="896"/>
      <c r="B5" s="877"/>
      <c r="C5" s="903"/>
      <c r="D5" s="627" t="s">
        <v>504</v>
      </c>
      <c r="E5" s="628" t="s">
        <v>505</v>
      </c>
      <c r="F5" s="516" t="s">
        <v>507</v>
      </c>
      <c r="G5" s="522" t="s">
        <v>508</v>
      </c>
      <c r="H5" s="509" t="s">
        <v>295</v>
      </c>
      <c r="I5" s="340" t="s">
        <v>328</v>
      </c>
      <c r="J5" s="943"/>
      <c r="K5" s="943"/>
      <c r="L5" s="943"/>
      <c r="M5" s="943"/>
      <c r="N5" s="971"/>
      <c r="O5" s="973"/>
      <c r="P5" s="874"/>
      <c r="Q5" s="871"/>
      <c r="R5" s="872"/>
      <c r="S5" s="859"/>
      <c r="T5" s="862"/>
      <c r="U5" s="862"/>
      <c r="V5" s="862"/>
      <c r="W5" s="862"/>
      <c r="X5" s="862"/>
    </row>
    <row r="6" spans="1:24" s="226" customFormat="1" ht="13.5">
      <c r="A6" s="896"/>
      <c r="B6" s="877"/>
      <c r="C6" s="903"/>
      <c r="D6" s="627" t="s">
        <v>504</v>
      </c>
      <c r="E6" s="628" t="s">
        <v>505</v>
      </c>
      <c r="F6" s="516" t="s">
        <v>511</v>
      </c>
      <c r="G6" s="522" t="s">
        <v>516</v>
      </c>
      <c r="H6" s="509" t="s">
        <v>302</v>
      </c>
      <c r="I6" s="340" t="s">
        <v>324</v>
      </c>
      <c r="J6" s="940">
        <v>82</v>
      </c>
      <c r="K6" s="975">
        <f>58.982/1000</f>
        <v>0.058982</v>
      </c>
      <c r="L6" s="930" t="s">
        <v>294</v>
      </c>
      <c r="M6" s="864" t="s">
        <v>264</v>
      </c>
      <c r="N6" s="865">
        <f>SUM(O6,P6)</f>
        <v>57</v>
      </c>
      <c r="O6" s="868">
        <v>18</v>
      </c>
      <c r="P6" s="882">
        <v>39</v>
      </c>
      <c r="Q6" s="864" t="s">
        <v>264</v>
      </c>
      <c r="R6" s="875"/>
      <c r="S6" s="876"/>
      <c r="T6" s="863"/>
      <c r="U6" s="884"/>
      <c r="V6" s="884"/>
      <c r="W6" s="884"/>
      <c r="X6" s="863"/>
    </row>
    <row r="7" spans="1:24" s="226" customFormat="1" ht="13.5">
      <c r="A7" s="896"/>
      <c r="B7" s="877"/>
      <c r="C7" s="903"/>
      <c r="D7" s="627" t="s">
        <v>504</v>
      </c>
      <c r="E7" s="628" t="s">
        <v>505</v>
      </c>
      <c r="F7" s="516" t="s">
        <v>511</v>
      </c>
      <c r="G7" s="522" t="s">
        <v>514</v>
      </c>
      <c r="H7" s="509" t="s">
        <v>301</v>
      </c>
      <c r="I7" s="341" t="s">
        <v>334</v>
      </c>
      <c r="J7" s="941"/>
      <c r="K7" s="977"/>
      <c r="L7" s="931"/>
      <c r="M7" s="835"/>
      <c r="N7" s="866"/>
      <c r="O7" s="869"/>
      <c r="P7" s="883"/>
      <c r="Q7" s="835"/>
      <c r="R7" s="875"/>
      <c r="S7" s="876"/>
      <c r="T7" s="863"/>
      <c r="U7" s="884"/>
      <c r="V7" s="884"/>
      <c r="W7" s="884"/>
      <c r="X7" s="863"/>
    </row>
    <row r="8" spans="1:24" s="226" customFormat="1" ht="13.5">
      <c r="A8" s="896"/>
      <c r="B8" s="877"/>
      <c r="C8" s="903"/>
      <c r="D8" s="627" t="s">
        <v>504</v>
      </c>
      <c r="E8" s="628" t="s">
        <v>505</v>
      </c>
      <c r="F8" s="516" t="s">
        <v>511</v>
      </c>
      <c r="G8" s="522" t="s">
        <v>513</v>
      </c>
      <c r="H8" s="509" t="s">
        <v>297</v>
      </c>
      <c r="I8" s="340" t="s">
        <v>330</v>
      </c>
      <c r="J8" s="891"/>
      <c r="K8" s="891"/>
      <c r="L8" s="891"/>
      <c r="M8" s="835"/>
      <c r="N8" s="867"/>
      <c r="O8" s="869"/>
      <c r="P8" s="883"/>
      <c r="Q8" s="835"/>
      <c r="R8" s="875"/>
      <c r="S8" s="876"/>
      <c r="T8" s="884"/>
      <c r="U8" s="884"/>
      <c r="V8" s="884"/>
      <c r="W8" s="884"/>
      <c r="X8" s="863"/>
    </row>
    <row r="9" spans="1:24" s="226" customFormat="1" ht="13.5">
      <c r="A9" s="896"/>
      <c r="B9" s="877"/>
      <c r="C9" s="903"/>
      <c r="D9" s="627" t="s">
        <v>504</v>
      </c>
      <c r="E9" s="628" t="s">
        <v>505</v>
      </c>
      <c r="F9" s="516" t="s">
        <v>509</v>
      </c>
      <c r="G9" s="522" t="s">
        <v>512</v>
      </c>
      <c r="H9" s="509" t="s">
        <v>298</v>
      </c>
      <c r="I9" s="340" t="s">
        <v>331</v>
      </c>
      <c r="J9" s="891"/>
      <c r="K9" s="891"/>
      <c r="L9" s="891"/>
      <c r="M9" s="835"/>
      <c r="N9" s="867"/>
      <c r="O9" s="869"/>
      <c r="P9" s="883"/>
      <c r="Q9" s="835"/>
      <c r="R9" s="875"/>
      <c r="S9" s="876"/>
      <c r="T9" s="884"/>
      <c r="U9" s="884"/>
      <c r="V9" s="884"/>
      <c r="W9" s="884"/>
      <c r="X9" s="863"/>
    </row>
    <row r="10" spans="1:24" s="226" customFormat="1" ht="13.5">
      <c r="A10" s="896"/>
      <c r="B10" s="877"/>
      <c r="C10" s="903"/>
      <c r="D10" s="627" t="s">
        <v>504</v>
      </c>
      <c r="E10" s="628" t="s">
        <v>505</v>
      </c>
      <c r="F10" s="516" t="s">
        <v>509</v>
      </c>
      <c r="G10" s="522" t="s">
        <v>512</v>
      </c>
      <c r="H10" s="509" t="s">
        <v>320</v>
      </c>
      <c r="I10" s="340" t="s">
        <v>332</v>
      </c>
      <c r="J10" s="891"/>
      <c r="K10" s="891"/>
      <c r="L10" s="891"/>
      <c r="M10" s="835"/>
      <c r="N10" s="867"/>
      <c r="O10" s="869"/>
      <c r="P10" s="883"/>
      <c r="Q10" s="835"/>
      <c r="R10" s="875"/>
      <c r="S10" s="876"/>
      <c r="T10" s="884"/>
      <c r="U10" s="884"/>
      <c r="V10" s="884"/>
      <c r="W10" s="884"/>
      <c r="X10" s="863"/>
    </row>
    <row r="11" spans="1:24" s="226" customFormat="1" ht="13.5">
      <c r="A11" s="896"/>
      <c r="B11" s="877"/>
      <c r="C11" s="903"/>
      <c r="D11" s="627" t="s">
        <v>504</v>
      </c>
      <c r="E11" s="628" t="s">
        <v>505</v>
      </c>
      <c r="F11" s="516" t="s">
        <v>509</v>
      </c>
      <c r="G11" s="522" t="s">
        <v>512</v>
      </c>
      <c r="H11" s="509" t="s">
        <v>299</v>
      </c>
      <c r="I11" s="340" t="s">
        <v>321</v>
      </c>
      <c r="J11" s="891"/>
      <c r="K11" s="891"/>
      <c r="L11" s="891"/>
      <c r="M11" s="835"/>
      <c r="N11" s="867"/>
      <c r="O11" s="869"/>
      <c r="P11" s="883"/>
      <c r="Q11" s="835"/>
      <c r="R11" s="875"/>
      <c r="S11" s="876"/>
      <c r="T11" s="884"/>
      <c r="U11" s="884"/>
      <c r="V11" s="884"/>
      <c r="W11" s="884"/>
      <c r="X11" s="863"/>
    </row>
    <row r="12" spans="1:24" s="226" customFormat="1" ht="13.5">
      <c r="A12" s="896"/>
      <c r="B12" s="877"/>
      <c r="C12" s="903"/>
      <c r="D12" s="627" t="s">
        <v>504</v>
      </c>
      <c r="E12" s="628" t="s">
        <v>505</v>
      </c>
      <c r="F12" s="516" t="s">
        <v>509</v>
      </c>
      <c r="G12" s="522" t="s">
        <v>512</v>
      </c>
      <c r="H12" s="509" t="s">
        <v>300</v>
      </c>
      <c r="I12" s="340" t="s">
        <v>333</v>
      </c>
      <c r="J12" s="891"/>
      <c r="K12" s="891"/>
      <c r="L12" s="891"/>
      <c r="M12" s="835"/>
      <c r="N12" s="867"/>
      <c r="O12" s="869"/>
      <c r="P12" s="883"/>
      <c r="Q12" s="835"/>
      <c r="R12" s="875"/>
      <c r="S12" s="876"/>
      <c r="T12" s="884"/>
      <c r="U12" s="884"/>
      <c r="V12" s="884"/>
      <c r="W12" s="884"/>
      <c r="X12" s="863"/>
    </row>
    <row r="13" spans="1:24" s="226" customFormat="1" ht="13.5">
      <c r="A13" s="896"/>
      <c r="B13" s="877"/>
      <c r="C13" s="903"/>
      <c r="D13" s="627" t="s">
        <v>504</v>
      </c>
      <c r="E13" s="628" t="s">
        <v>505</v>
      </c>
      <c r="F13" s="516" t="s">
        <v>509</v>
      </c>
      <c r="G13" s="522" t="s">
        <v>510</v>
      </c>
      <c r="H13" s="509" t="s">
        <v>296</v>
      </c>
      <c r="I13" s="340" t="s">
        <v>329</v>
      </c>
      <c r="J13" s="891"/>
      <c r="K13" s="891"/>
      <c r="L13" s="891"/>
      <c r="M13" s="835"/>
      <c r="N13" s="867"/>
      <c r="O13" s="869"/>
      <c r="P13" s="883"/>
      <c r="Q13" s="835"/>
      <c r="R13" s="875"/>
      <c r="S13" s="876"/>
      <c r="T13" s="884"/>
      <c r="U13" s="884"/>
      <c r="V13" s="884"/>
      <c r="W13" s="884"/>
      <c r="X13" s="863"/>
    </row>
    <row r="14" spans="1:24" s="226" customFormat="1" ht="13.5">
      <c r="A14" s="896"/>
      <c r="B14" s="877"/>
      <c r="C14" s="903"/>
      <c r="D14" s="523" t="s">
        <v>504</v>
      </c>
      <c r="E14" s="630" t="s">
        <v>517</v>
      </c>
      <c r="F14" s="517" t="s">
        <v>518</v>
      </c>
      <c r="G14" s="712" t="s">
        <v>519</v>
      </c>
      <c r="H14" s="510" t="s">
        <v>335</v>
      </c>
      <c r="I14" s="343" t="s">
        <v>303</v>
      </c>
      <c r="J14" s="344">
        <v>998</v>
      </c>
      <c r="K14" s="345">
        <f>132.336/1000</f>
        <v>0.132336</v>
      </c>
      <c r="L14" s="346" t="s">
        <v>304</v>
      </c>
      <c r="M14" s="23" t="s">
        <v>264</v>
      </c>
      <c r="N14" s="347">
        <f aca="true" t="shared" si="0" ref="N14:N26">SUM(O14,P14)</f>
        <v>37</v>
      </c>
      <c r="O14" s="584">
        <v>11</v>
      </c>
      <c r="P14" s="577">
        <v>26</v>
      </c>
      <c r="Q14" s="23" t="s">
        <v>264</v>
      </c>
      <c r="R14" s="403"/>
      <c r="S14" s="402"/>
      <c r="T14" s="844"/>
      <c r="U14" s="862"/>
      <c r="V14" s="862"/>
      <c r="W14" s="862"/>
      <c r="X14" s="401"/>
    </row>
    <row r="15" spans="1:24" s="226" customFormat="1" ht="13.5">
      <c r="A15" s="896"/>
      <c r="B15" s="877"/>
      <c r="C15" s="903"/>
      <c r="D15" s="523" t="s">
        <v>520</v>
      </c>
      <c r="E15" s="630" t="s">
        <v>521</v>
      </c>
      <c r="F15" s="517" t="s">
        <v>522</v>
      </c>
      <c r="G15" s="712" t="s">
        <v>337</v>
      </c>
      <c r="H15" s="511" t="s">
        <v>336</v>
      </c>
      <c r="I15" s="349" t="s">
        <v>337</v>
      </c>
      <c r="J15" s="344">
        <v>69</v>
      </c>
      <c r="K15" s="345">
        <f>119.5/1000</f>
        <v>0.1195</v>
      </c>
      <c r="L15" s="346" t="s">
        <v>304</v>
      </c>
      <c r="M15" s="23" t="s">
        <v>264</v>
      </c>
      <c r="N15" s="347">
        <f t="shared" si="0"/>
        <v>18.4</v>
      </c>
      <c r="O15" s="585">
        <v>5.4</v>
      </c>
      <c r="P15" s="577">
        <v>13</v>
      </c>
      <c r="Q15" s="23" t="s">
        <v>264</v>
      </c>
      <c r="R15" s="528"/>
      <c r="S15" s="528"/>
      <c r="T15" s="844"/>
      <c r="U15" s="862"/>
      <c r="V15" s="862"/>
      <c r="W15" s="862"/>
      <c r="X15" s="401"/>
    </row>
    <row r="16" spans="1:24" s="226" customFormat="1" ht="13.5">
      <c r="A16" s="896"/>
      <c r="B16" s="877"/>
      <c r="C16" s="903"/>
      <c r="D16" s="523" t="s">
        <v>523</v>
      </c>
      <c r="E16" s="630" t="s">
        <v>524</v>
      </c>
      <c r="F16" s="517" t="s">
        <v>526</v>
      </c>
      <c r="G16" s="712" t="s">
        <v>526</v>
      </c>
      <c r="H16" s="511" t="s">
        <v>340</v>
      </c>
      <c r="I16" s="349" t="s">
        <v>341</v>
      </c>
      <c r="J16" s="344">
        <v>20</v>
      </c>
      <c r="K16" s="345">
        <f>253.1/1000</f>
        <v>0.2531</v>
      </c>
      <c r="L16" s="351" t="s">
        <v>305</v>
      </c>
      <c r="M16" s="23" t="s">
        <v>264</v>
      </c>
      <c r="N16" s="347">
        <f t="shared" si="0"/>
        <v>30.9</v>
      </c>
      <c r="O16" s="585">
        <v>8.9</v>
      </c>
      <c r="P16" s="577">
        <v>22</v>
      </c>
      <c r="Q16" s="23" t="s">
        <v>264</v>
      </c>
      <c r="R16" s="403"/>
      <c r="S16" s="402"/>
      <c r="T16" s="844"/>
      <c r="U16" s="862"/>
      <c r="V16" s="862"/>
      <c r="W16" s="862"/>
      <c r="X16" s="401"/>
    </row>
    <row r="17" spans="1:24" s="226" customFormat="1" ht="13.5">
      <c r="A17" s="896"/>
      <c r="B17" s="877"/>
      <c r="C17" s="903"/>
      <c r="D17" s="523" t="s">
        <v>523</v>
      </c>
      <c r="E17" s="630" t="s">
        <v>524</v>
      </c>
      <c r="F17" s="517" t="s">
        <v>365</v>
      </c>
      <c r="G17" s="712" t="s">
        <v>365</v>
      </c>
      <c r="H17" s="511" t="s">
        <v>306</v>
      </c>
      <c r="I17" s="349" t="s">
        <v>342</v>
      </c>
      <c r="J17" s="344">
        <v>3</v>
      </c>
      <c r="K17" s="350">
        <f>48/1000</f>
        <v>0.048</v>
      </c>
      <c r="L17" s="351" t="s">
        <v>307</v>
      </c>
      <c r="M17" s="353" t="s">
        <v>308</v>
      </c>
      <c r="N17" s="347">
        <f t="shared" si="0"/>
        <v>45</v>
      </c>
      <c r="O17" s="584">
        <v>13</v>
      </c>
      <c r="P17" s="577">
        <v>32</v>
      </c>
      <c r="Q17" s="23" t="s">
        <v>264</v>
      </c>
      <c r="R17" s="403"/>
      <c r="S17" s="402"/>
      <c r="T17" s="844"/>
      <c r="U17" s="862"/>
      <c r="V17" s="862"/>
      <c r="W17" s="862"/>
      <c r="X17" s="528"/>
    </row>
    <row r="18" spans="1:24" s="226" customFormat="1" ht="13.5">
      <c r="A18" s="896"/>
      <c r="B18" s="877"/>
      <c r="C18" s="903"/>
      <c r="D18" s="523" t="s">
        <v>523</v>
      </c>
      <c r="E18" s="630" t="s">
        <v>524</v>
      </c>
      <c r="F18" s="517" t="s">
        <v>365</v>
      </c>
      <c r="G18" s="712" t="s">
        <v>339</v>
      </c>
      <c r="H18" s="511" t="s">
        <v>338</v>
      </c>
      <c r="I18" s="349" t="s">
        <v>339</v>
      </c>
      <c r="J18" s="344">
        <v>35</v>
      </c>
      <c r="K18" s="350">
        <f>34.6/1000</f>
        <v>0.0346</v>
      </c>
      <c r="L18" s="346" t="s">
        <v>304</v>
      </c>
      <c r="M18" s="23" t="s">
        <v>264</v>
      </c>
      <c r="N18" s="347">
        <f>SUM(O18,P18)</f>
        <v>22.3</v>
      </c>
      <c r="O18" s="585">
        <v>6.3</v>
      </c>
      <c r="P18" s="577">
        <v>16</v>
      </c>
      <c r="Q18" s="23" t="s">
        <v>264</v>
      </c>
      <c r="R18" s="403"/>
      <c r="S18" s="402"/>
      <c r="T18" s="401"/>
      <c r="U18" s="391"/>
      <c r="V18" s="391"/>
      <c r="W18" s="391"/>
      <c r="X18" s="528"/>
    </row>
    <row r="19" spans="1:24" s="226" customFormat="1" ht="13.5">
      <c r="A19" s="896"/>
      <c r="B19" s="877"/>
      <c r="C19" s="903"/>
      <c r="D19" s="632" t="s">
        <v>523</v>
      </c>
      <c r="E19" s="633" t="s">
        <v>524</v>
      </c>
      <c r="F19" s="520" t="s">
        <v>525</v>
      </c>
      <c r="G19" s="704" t="s">
        <v>525</v>
      </c>
      <c r="H19" s="511" t="s">
        <v>309</v>
      </c>
      <c r="I19" s="349" t="s">
        <v>343</v>
      </c>
      <c r="J19" s="344">
        <v>6</v>
      </c>
      <c r="K19" s="345">
        <f>228.4/1000</f>
        <v>0.2284</v>
      </c>
      <c r="L19" s="351" t="s">
        <v>310</v>
      </c>
      <c r="M19" s="353" t="s">
        <v>291</v>
      </c>
      <c r="N19" s="347">
        <f t="shared" si="0"/>
        <v>38</v>
      </c>
      <c r="O19" s="584">
        <v>11</v>
      </c>
      <c r="P19" s="577">
        <v>27</v>
      </c>
      <c r="Q19" s="23" t="s">
        <v>264</v>
      </c>
      <c r="R19" s="403"/>
      <c r="S19" s="402"/>
      <c r="T19" s="844"/>
      <c r="U19" s="862"/>
      <c r="V19" s="862"/>
      <c r="W19" s="862"/>
      <c r="X19" s="528"/>
    </row>
    <row r="20" spans="1:24" s="226" customFormat="1" ht="13.5">
      <c r="A20" s="896"/>
      <c r="B20" s="877"/>
      <c r="C20" s="903"/>
      <c r="D20" s="635" t="s">
        <v>523</v>
      </c>
      <c r="E20" s="636" t="s">
        <v>527</v>
      </c>
      <c r="F20" s="637" t="s">
        <v>528</v>
      </c>
      <c r="G20" s="713" t="s">
        <v>265</v>
      </c>
      <c r="H20" s="512" t="s">
        <v>264</v>
      </c>
      <c r="I20" s="355" t="s">
        <v>311</v>
      </c>
      <c r="J20" s="356">
        <v>21</v>
      </c>
      <c r="K20" s="357">
        <f>15.2/1000</f>
        <v>0.0152</v>
      </c>
      <c r="L20" s="354" t="s">
        <v>312</v>
      </c>
      <c r="M20" s="359" t="s">
        <v>264</v>
      </c>
      <c r="N20" s="358">
        <f t="shared" si="0"/>
        <v>330</v>
      </c>
      <c r="O20" s="586">
        <v>100</v>
      </c>
      <c r="P20" s="578">
        <v>230</v>
      </c>
      <c r="Q20" s="359" t="s">
        <v>264</v>
      </c>
      <c r="R20" s="541"/>
      <c r="S20" s="541"/>
      <c r="T20" s="880"/>
      <c r="U20" s="881"/>
      <c r="V20" s="881"/>
      <c r="W20" s="881"/>
      <c r="X20" s="542"/>
    </row>
    <row r="21" spans="1:24" s="226" customFormat="1" ht="13.5">
      <c r="A21" s="896"/>
      <c r="B21" s="878"/>
      <c r="C21" s="904"/>
      <c r="D21" s="638" t="s">
        <v>523</v>
      </c>
      <c r="E21" s="639" t="s">
        <v>527</v>
      </c>
      <c r="F21" s="532" t="s">
        <v>529</v>
      </c>
      <c r="G21" s="714" t="s">
        <v>530</v>
      </c>
      <c r="H21" s="513" t="s">
        <v>313</v>
      </c>
      <c r="I21" s="361" t="s">
        <v>314</v>
      </c>
      <c r="J21" s="362">
        <v>10</v>
      </c>
      <c r="K21" s="363">
        <f>68.9/1000</f>
        <v>0.0689</v>
      </c>
      <c r="L21" s="364" t="s">
        <v>304</v>
      </c>
      <c r="M21" s="366" t="s">
        <v>264</v>
      </c>
      <c r="N21" s="365">
        <f t="shared" si="0"/>
        <v>19.9</v>
      </c>
      <c r="O21" s="587">
        <v>5.9</v>
      </c>
      <c r="P21" s="579">
        <v>14</v>
      </c>
      <c r="Q21" s="366" t="s">
        <v>264</v>
      </c>
      <c r="R21" s="543"/>
      <c r="S21" s="544"/>
      <c r="T21" s="880"/>
      <c r="U21" s="881"/>
      <c r="V21" s="881"/>
      <c r="W21" s="881"/>
      <c r="X21" s="542"/>
    </row>
    <row r="22" spans="1:24" s="226" customFormat="1" ht="13.5">
      <c r="A22" s="896"/>
      <c r="B22" s="329" t="s">
        <v>616</v>
      </c>
      <c r="C22" s="741">
        <v>41618</v>
      </c>
      <c r="D22" s="742" t="s">
        <v>523</v>
      </c>
      <c r="E22" s="669" t="s">
        <v>535</v>
      </c>
      <c r="F22" s="743" t="s">
        <v>526</v>
      </c>
      <c r="G22" s="744" t="s">
        <v>526</v>
      </c>
      <c r="H22" s="487" t="s">
        <v>346</v>
      </c>
      <c r="I22" s="745" t="s">
        <v>347</v>
      </c>
      <c r="J22" s="746">
        <v>1</v>
      </c>
      <c r="K22" s="747">
        <f>1478.7/1000</f>
        <v>1.4787000000000001</v>
      </c>
      <c r="L22" s="748" t="s">
        <v>326</v>
      </c>
      <c r="M22" s="749" t="s">
        <v>308</v>
      </c>
      <c r="N22" s="750">
        <f>SUM(O22,P22)</f>
        <v>49</v>
      </c>
      <c r="O22" s="751">
        <v>14</v>
      </c>
      <c r="P22" s="752">
        <v>35</v>
      </c>
      <c r="Q22" s="753">
        <v>0.39</v>
      </c>
      <c r="R22" s="543"/>
      <c r="S22" s="544"/>
      <c r="T22" s="542"/>
      <c r="U22" s="664"/>
      <c r="V22" s="664"/>
      <c r="W22" s="664"/>
      <c r="X22" s="542"/>
    </row>
    <row r="23" spans="1:24" s="226" customFormat="1" ht="13.5" customHeight="1">
      <c r="A23" s="896"/>
      <c r="B23" s="895" t="s">
        <v>615</v>
      </c>
      <c r="C23" s="902">
        <v>41615</v>
      </c>
      <c r="D23" s="521" t="s">
        <v>502</v>
      </c>
      <c r="E23" s="515" t="s">
        <v>503</v>
      </c>
      <c r="F23" s="515" t="s">
        <v>503</v>
      </c>
      <c r="G23" s="711" t="s">
        <v>503</v>
      </c>
      <c r="H23" s="507" t="s">
        <v>264</v>
      </c>
      <c r="I23" s="331" t="s">
        <v>290</v>
      </c>
      <c r="J23" s="332" t="s">
        <v>264</v>
      </c>
      <c r="K23" s="333">
        <f>97.4295/1000</f>
        <v>0.0974295</v>
      </c>
      <c r="L23" s="334" t="s">
        <v>264</v>
      </c>
      <c r="M23" s="336" t="s">
        <v>264</v>
      </c>
      <c r="N23" s="424">
        <f t="shared" si="0"/>
        <v>134</v>
      </c>
      <c r="O23" s="583">
        <v>38</v>
      </c>
      <c r="P23" s="576">
        <v>96</v>
      </c>
      <c r="Q23" s="568" t="s">
        <v>264</v>
      </c>
      <c r="R23" s="537"/>
      <c r="S23" s="537"/>
      <c r="T23" s="843"/>
      <c r="U23" s="844"/>
      <c r="V23" s="844"/>
      <c r="W23" s="844"/>
      <c r="X23" s="538"/>
    </row>
    <row r="24" spans="1:24" s="226" customFormat="1" ht="13.5" customHeight="1">
      <c r="A24" s="896"/>
      <c r="B24" s="877"/>
      <c r="C24" s="903"/>
      <c r="D24" s="627" t="s">
        <v>504</v>
      </c>
      <c r="E24" s="628" t="s">
        <v>505</v>
      </c>
      <c r="F24" s="516" t="s">
        <v>507</v>
      </c>
      <c r="G24" s="522" t="s">
        <v>508</v>
      </c>
      <c r="H24" s="508" t="s">
        <v>292</v>
      </c>
      <c r="I24" s="338" t="s">
        <v>293</v>
      </c>
      <c r="J24" s="368">
        <v>274</v>
      </c>
      <c r="K24" s="369">
        <f>12.272/1000</f>
        <v>0.012272</v>
      </c>
      <c r="L24" s="370" t="s">
        <v>315</v>
      </c>
      <c r="M24" s="372" t="s">
        <v>264</v>
      </c>
      <c r="N24" s="738">
        <f t="shared" si="0"/>
        <v>152</v>
      </c>
      <c r="O24" s="588">
        <v>42</v>
      </c>
      <c r="P24" s="580">
        <v>110</v>
      </c>
      <c r="Q24" s="739" t="s">
        <v>264</v>
      </c>
      <c r="R24" s="540"/>
      <c r="S24" s="540"/>
      <c r="T24" s="860"/>
      <c r="U24" s="889"/>
      <c r="V24" s="889"/>
      <c r="W24" s="889"/>
      <c r="X24" s="530"/>
    </row>
    <row r="25" spans="1:24" s="226" customFormat="1" ht="13.5">
      <c r="A25" s="896"/>
      <c r="B25" s="877"/>
      <c r="C25" s="903"/>
      <c r="D25" s="627" t="s">
        <v>504</v>
      </c>
      <c r="E25" s="628" t="s">
        <v>505</v>
      </c>
      <c r="F25" s="516" t="s">
        <v>507</v>
      </c>
      <c r="G25" s="522" t="s">
        <v>508</v>
      </c>
      <c r="H25" s="508" t="s">
        <v>292</v>
      </c>
      <c r="I25" s="338" t="s">
        <v>293</v>
      </c>
      <c r="J25" s="368">
        <f>329</f>
        <v>329</v>
      </c>
      <c r="K25" s="369">
        <f>67.154/1000</f>
        <v>0.06715399999999999</v>
      </c>
      <c r="L25" s="370" t="s">
        <v>316</v>
      </c>
      <c r="M25" s="372" t="s">
        <v>264</v>
      </c>
      <c r="N25" s="665">
        <f t="shared" si="0"/>
        <v>50</v>
      </c>
      <c r="O25" s="588">
        <v>15</v>
      </c>
      <c r="P25" s="580">
        <v>35</v>
      </c>
      <c r="Q25" s="740" t="s">
        <v>264</v>
      </c>
      <c r="R25" s="539"/>
      <c r="S25" s="540"/>
      <c r="T25" s="860"/>
      <c r="U25" s="889"/>
      <c r="V25" s="889"/>
      <c r="W25" s="889"/>
      <c r="X25" s="530"/>
    </row>
    <row r="26" spans="1:24" s="226" customFormat="1" ht="13.5">
      <c r="A26" s="896"/>
      <c r="B26" s="877"/>
      <c r="C26" s="903"/>
      <c r="D26" s="627" t="s">
        <v>504</v>
      </c>
      <c r="E26" s="628" t="s">
        <v>505</v>
      </c>
      <c r="F26" s="642" t="s">
        <v>531</v>
      </c>
      <c r="G26" s="715" t="s">
        <v>531</v>
      </c>
      <c r="H26" s="508" t="s">
        <v>344</v>
      </c>
      <c r="I26" s="338" t="s">
        <v>319</v>
      </c>
      <c r="J26" s="940">
        <v>67</v>
      </c>
      <c r="K26" s="934">
        <f>73.185/1000</f>
        <v>0.073185</v>
      </c>
      <c r="L26" s="930" t="s">
        <v>294</v>
      </c>
      <c r="M26" s="864" t="s">
        <v>264</v>
      </c>
      <c r="N26" s="865">
        <f t="shared" si="0"/>
        <v>10.9</v>
      </c>
      <c r="O26" s="886">
        <v>3.2</v>
      </c>
      <c r="P26" s="888">
        <v>7.7</v>
      </c>
      <c r="Q26" s="864" t="s">
        <v>264</v>
      </c>
      <c r="R26" s="885"/>
      <c r="S26" s="876"/>
      <c r="T26" s="863"/>
      <c r="U26" s="884"/>
      <c r="V26" s="884"/>
      <c r="W26" s="884"/>
      <c r="X26" s="863"/>
    </row>
    <row r="27" spans="1:24" s="226" customFormat="1" ht="13.5">
      <c r="A27" s="896"/>
      <c r="B27" s="877"/>
      <c r="C27" s="903"/>
      <c r="D27" s="627" t="s">
        <v>504</v>
      </c>
      <c r="E27" s="628" t="s">
        <v>505</v>
      </c>
      <c r="F27" s="516" t="s">
        <v>532</v>
      </c>
      <c r="G27" s="522" t="s">
        <v>532</v>
      </c>
      <c r="H27" s="508" t="s">
        <v>317</v>
      </c>
      <c r="I27" s="373" t="s">
        <v>318</v>
      </c>
      <c r="J27" s="941"/>
      <c r="K27" s="935"/>
      <c r="L27" s="931"/>
      <c r="M27" s="835"/>
      <c r="N27" s="866"/>
      <c r="O27" s="887"/>
      <c r="P27" s="876"/>
      <c r="Q27" s="835"/>
      <c r="R27" s="885"/>
      <c r="S27" s="876"/>
      <c r="T27" s="863"/>
      <c r="U27" s="884"/>
      <c r="V27" s="884"/>
      <c r="W27" s="884"/>
      <c r="X27" s="863"/>
    </row>
    <row r="28" spans="1:24" s="226" customFormat="1" ht="13.5">
      <c r="A28" s="896"/>
      <c r="B28" s="877"/>
      <c r="C28" s="903"/>
      <c r="D28" s="627" t="s">
        <v>504</v>
      </c>
      <c r="E28" s="628" t="s">
        <v>505</v>
      </c>
      <c r="F28" s="516" t="s">
        <v>533</v>
      </c>
      <c r="G28" s="522" t="s">
        <v>534</v>
      </c>
      <c r="H28" s="509" t="s">
        <v>298</v>
      </c>
      <c r="I28" s="340" t="s">
        <v>331</v>
      </c>
      <c r="J28" s="940">
        <v>47</v>
      </c>
      <c r="K28" s="934">
        <f>13.573/1000</f>
        <v>0.013573</v>
      </c>
      <c r="L28" s="930" t="s">
        <v>294</v>
      </c>
      <c r="M28" s="864" t="s">
        <v>264</v>
      </c>
      <c r="N28" s="865">
        <f>SUM(O28,P28)</f>
        <v>73</v>
      </c>
      <c r="O28" s="868">
        <v>22</v>
      </c>
      <c r="P28" s="882">
        <v>51</v>
      </c>
      <c r="Q28" s="864" t="s">
        <v>264</v>
      </c>
      <c r="R28" s="910"/>
      <c r="S28" s="910"/>
      <c r="T28" s="863"/>
      <c r="U28" s="884"/>
      <c r="V28" s="884"/>
      <c r="W28" s="884"/>
      <c r="X28" s="863"/>
    </row>
    <row r="29" spans="1:24" s="226" customFormat="1" ht="13.5">
      <c r="A29" s="896"/>
      <c r="B29" s="877"/>
      <c r="C29" s="903"/>
      <c r="D29" s="627" t="s">
        <v>504</v>
      </c>
      <c r="E29" s="628" t="s">
        <v>505</v>
      </c>
      <c r="F29" s="516" t="s">
        <v>533</v>
      </c>
      <c r="G29" s="522" t="s">
        <v>534</v>
      </c>
      <c r="H29" s="509" t="s">
        <v>320</v>
      </c>
      <c r="I29" s="340" t="s">
        <v>332</v>
      </c>
      <c r="J29" s="891"/>
      <c r="K29" s="891"/>
      <c r="L29" s="891"/>
      <c r="M29" s="835"/>
      <c r="N29" s="867"/>
      <c r="O29" s="869"/>
      <c r="P29" s="883"/>
      <c r="Q29" s="835"/>
      <c r="R29" s="910"/>
      <c r="S29" s="910"/>
      <c r="T29" s="884"/>
      <c r="U29" s="884"/>
      <c r="V29" s="884"/>
      <c r="W29" s="884"/>
      <c r="X29" s="863"/>
    </row>
    <row r="30" spans="1:24" s="226" customFormat="1" ht="13.5">
      <c r="A30" s="896"/>
      <c r="B30" s="877"/>
      <c r="C30" s="903"/>
      <c r="D30" s="627" t="s">
        <v>504</v>
      </c>
      <c r="E30" s="628" t="s">
        <v>505</v>
      </c>
      <c r="F30" s="516" t="s">
        <v>509</v>
      </c>
      <c r="G30" s="522" t="s">
        <v>512</v>
      </c>
      <c r="H30" s="509" t="s">
        <v>299</v>
      </c>
      <c r="I30" s="341" t="s">
        <v>321</v>
      </c>
      <c r="J30" s="891"/>
      <c r="K30" s="891"/>
      <c r="L30" s="891"/>
      <c r="M30" s="835"/>
      <c r="N30" s="867"/>
      <c r="O30" s="869"/>
      <c r="P30" s="883"/>
      <c r="Q30" s="835"/>
      <c r="R30" s="910"/>
      <c r="S30" s="910"/>
      <c r="T30" s="884"/>
      <c r="U30" s="884"/>
      <c r="V30" s="884"/>
      <c r="W30" s="884"/>
      <c r="X30" s="863"/>
    </row>
    <row r="31" spans="1:24" s="226" customFormat="1" ht="13.5">
      <c r="A31" s="896"/>
      <c r="B31" s="877"/>
      <c r="C31" s="903"/>
      <c r="D31" s="627" t="s">
        <v>504</v>
      </c>
      <c r="E31" s="628" t="s">
        <v>505</v>
      </c>
      <c r="F31" s="516" t="s">
        <v>509</v>
      </c>
      <c r="G31" s="522" t="s">
        <v>512</v>
      </c>
      <c r="H31" s="509" t="s">
        <v>322</v>
      </c>
      <c r="I31" s="340" t="s">
        <v>323</v>
      </c>
      <c r="J31" s="891"/>
      <c r="K31" s="891"/>
      <c r="L31" s="891"/>
      <c r="M31" s="835"/>
      <c r="N31" s="867"/>
      <c r="O31" s="869"/>
      <c r="P31" s="883"/>
      <c r="Q31" s="835"/>
      <c r="R31" s="910"/>
      <c r="S31" s="910"/>
      <c r="T31" s="884"/>
      <c r="U31" s="884"/>
      <c r="V31" s="884"/>
      <c r="W31" s="884"/>
      <c r="X31" s="863"/>
    </row>
    <row r="32" spans="1:24" s="226" customFormat="1" ht="13.5">
      <c r="A32" s="896"/>
      <c r="B32" s="877"/>
      <c r="C32" s="903"/>
      <c r="D32" s="627" t="s">
        <v>504</v>
      </c>
      <c r="E32" s="628" t="s">
        <v>505</v>
      </c>
      <c r="F32" s="516" t="s">
        <v>509</v>
      </c>
      <c r="G32" s="522" t="s">
        <v>515</v>
      </c>
      <c r="H32" s="509" t="s">
        <v>302</v>
      </c>
      <c r="I32" s="340" t="s">
        <v>324</v>
      </c>
      <c r="J32" s="943"/>
      <c r="K32" s="943"/>
      <c r="L32" s="943"/>
      <c r="M32" s="908"/>
      <c r="N32" s="909"/>
      <c r="O32" s="916"/>
      <c r="P32" s="915"/>
      <c r="Q32" s="908"/>
      <c r="R32" s="910"/>
      <c r="S32" s="910"/>
      <c r="T32" s="884"/>
      <c r="U32" s="884"/>
      <c r="V32" s="884"/>
      <c r="W32" s="884"/>
      <c r="X32" s="863"/>
    </row>
    <row r="33" spans="1:24" s="226" customFormat="1" ht="13.5">
      <c r="A33" s="896"/>
      <c r="B33" s="877"/>
      <c r="C33" s="903"/>
      <c r="D33" s="644" t="s">
        <v>523</v>
      </c>
      <c r="E33" s="645" t="s">
        <v>535</v>
      </c>
      <c r="F33" s="517" t="s">
        <v>365</v>
      </c>
      <c r="G33" s="712" t="s">
        <v>365</v>
      </c>
      <c r="H33" s="511" t="s">
        <v>345</v>
      </c>
      <c r="I33" s="349" t="s">
        <v>342</v>
      </c>
      <c r="J33" s="344">
        <v>10</v>
      </c>
      <c r="K33" s="345">
        <f>307.5/1000</f>
        <v>0.3075</v>
      </c>
      <c r="L33" s="351" t="s">
        <v>305</v>
      </c>
      <c r="M33" s="23" t="s">
        <v>264</v>
      </c>
      <c r="N33" s="347">
        <f>SUM(O33,P33)</f>
        <v>44</v>
      </c>
      <c r="O33" s="584">
        <v>13</v>
      </c>
      <c r="P33" s="577">
        <v>31</v>
      </c>
      <c r="Q33" s="23" t="s">
        <v>264</v>
      </c>
      <c r="R33" s="403"/>
      <c r="S33" s="402"/>
      <c r="T33" s="844"/>
      <c r="U33" s="862"/>
      <c r="V33" s="862"/>
      <c r="W33" s="862"/>
      <c r="X33" s="401"/>
    </row>
    <row r="34" spans="1:24" s="226" customFormat="1" ht="13.5">
      <c r="A34" s="896"/>
      <c r="B34" s="877"/>
      <c r="C34" s="903"/>
      <c r="D34" s="632" t="s">
        <v>523</v>
      </c>
      <c r="E34" s="633" t="s">
        <v>524</v>
      </c>
      <c r="F34" s="520" t="s">
        <v>525</v>
      </c>
      <c r="G34" s="704" t="s">
        <v>525</v>
      </c>
      <c r="H34" s="511" t="s">
        <v>309</v>
      </c>
      <c r="I34" s="349" t="s">
        <v>343</v>
      </c>
      <c r="J34" s="344">
        <v>2</v>
      </c>
      <c r="K34" s="374">
        <v>0.13</v>
      </c>
      <c r="L34" s="351" t="s">
        <v>307</v>
      </c>
      <c r="M34" s="375" t="s">
        <v>291</v>
      </c>
      <c r="N34" s="347">
        <f>SUM(O34,P34)</f>
        <v>109</v>
      </c>
      <c r="O34" s="584">
        <v>32</v>
      </c>
      <c r="P34" s="577">
        <v>77</v>
      </c>
      <c r="Q34" s="23" t="s">
        <v>264</v>
      </c>
      <c r="R34" s="402"/>
      <c r="S34" s="402"/>
      <c r="T34" s="844"/>
      <c r="U34" s="862"/>
      <c r="V34" s="862"/>
      <c r="W34" s="862"/>
      <c r="X34" s="47"/>
    </row>
    <row r="35" spans="1:24" s="226" customFormat="1" ht="13.5">
      <c r="A35" s="897"/>
      <c r="B35" s="878"/>
      <c r="C35" s="904"/>
      <c r="D35" s="525" t="s">
        <v>536</v>
      </c>
      <c r="E35" s="646" t="s">
        <v>503</v>
      </c>
      <c r="F35" s="647" t="s">
        <v>503</v>
      </c>
      <c r="G35" s="716" t="s">
        <v>503</v>
      </c>
      <c r="H35" s="514" t="s">
        <v>264</v>
      </c>
      <c r="I35" s="377" t="s">
        <v>325</v>
      </c>
      <c r="J35" s="378" t="s">
        <v>264</v>
      </c>
      <c r="K35" s="379">
        <f>498.8/1000</f>
        <v>0.4988</v>
      </c>
      <c r="L35" s="380" t="s">
        <v>264</v>
      </c>
      <c r="M35" s="382" t="s">
        <v>264</v>
      </c>
      <c r="N35" s="381">
        <f>SUM(O35,P35)</f>
        <v>76</v>
      </c>
      <c r="O35" s="589">
        <v>22</v>
      </c>
      <c r="P35" s="581">
        <v>54</v>
      </c>
      <c r="Q35" s="570" t="s">
        <v>264</v>
      </c>
      <c r="R35" s="546"/>
      <c r="S35" s="546"/>
      <c r="T35" s="905"/>
      <c r="U35" s="844"/>
      <c r="V35" s="844"/>
      <c r="W35" s="844"/>
      <c r="X35" s="547"/>
    </row>
    <row r="36" spans="1:24" s="226" customFormat="1" ht="13.5">
      <c r="A36" s="761"/>
      <c r="B36" s="116"/>
      <c r="C36" s="393"/>
      <c r="D36" s="235"/>
      <c r="E36" s="98"/>
      <c r="F36" s="394"/>
      <c r="G36" s="395"/>
      <c r="H36" s="396"/>
      <c r="I36" s="397"/>
      <c r="J36" s="398"/>
      <c r="K36" s="399"/>
      <c r="L36" s="400"/>
      <c r="M36" s="401"/>
      <c r="N36" s="402"/>
      <c r="O36" s="402"/>
      <c r="P36" s="400"/>
      <c r="Q36" s="401"/>
      <c r="R36" s="402"/>
      <c r="S36" s="402"/>
      <c r="T36" s="403"/>
      <c r="U36" s="401"/>
      <c r="V36" s="404"/>
      <c r="W36" s="404"/>
      <c r="X36" s="47"/>
    </row>
    <row r="37" spans="1:24" s="49" customFormat="1" ht="18" customHeight="1">
      <c r="A37" s="845" t="s">
        <v>1</v>
      </c>
      <c r="B37" s="846"/>
      <c r="C37" s="849" t="s">
        <v>282</v>
      </c>
      <c r="D37" s="851" t="s">
        <v>493</v>
      </c>
      <c r="E37" s="853" t="s">
        <v>494</v>
      </c>
      <c r="F37" s="855" t="s">
        <v>495</v>
      </c>
      <c r="G37" s="855" t="s">
        <v>496</v>
      </c>
      <c r="H37" s="857" t="s">
        <v>497</v>
      </c>
      <c r="I37" s="857" t="s">
        <v>498</v>
      </c>
      <c r="J37" s="906" t="s">
        <v>283</v>
      </c>
      <c r="K37" s="922" t="s">
        <v>284</v>
      </c>
      <c r="L37" s="921" t="s">
        <v>499</v>
      </c>
      <c r="M37" s="921"/>
      <c r="N37" s="917" t="s">
        <v>286</v>
      </c>
      <c r="O37" s="920"/>
      <c r="P37" s="920"/>
      <c r="Q37" s="911" t="s">
        <v>500</v>
      </c>
      <c r="R37" s="47"/>
      <c r="S37" s="47"/>
      <c r="T37" s="47"/>
      <c r="U37" s="47"/>
      <c r="V37" s="47"/>
      <c r="W37" s="47"/>
      <c r="X37" s="47"/>
    </row>
    <row r="38" spans="1:24" s="49" customFormat="1" ht="18" customHeight="1">
      <c r="A38" s="847"/>
      <c r="B38" s="848"/>
      <c r="C38" s="850"/>
      <c r="D38" s="852"/>
      <c r="E38" s="854"/>
      <c r="F38" s="856"/>
      <c r="G38" s="856"/>
      <c r="H38" s="858"/>
      <c r="I38" s="858"/>
      <c r="J38" s="907"/>
      <c r="K38" s="923"/>
      <c r="L38" s="503" t="s">
        <v>285</v>
      </c>
      <c r="M38" s="327" t="s">
        <v>287</v>
      </c>
      <c r="N38" s="504" t="s">
        <v>288</v>
      </c>
      <c r="O38" s="505" t="s">
        <v>18</v>
      </c>
      <c r="P38" s="561" t="s">
        <v>19</v>
      </c>
      <c r="Q38" s="858"/>
      <c r="R38" s="47"/>
      <c r="S38" s="401"/>
      <c r="T38" s="401"/>
      <c r="U38" s="47"/>
      <c r="V38" s="47"/>
      <c r="W38" s="47"/>
      <c r="X38" s="47"/>
    </row>
    <row r="39" spans="1:24" s="226" customFormat="1" ht="13.5" customHeight="1">
      <c r="A39" s="890" t="s">
        <v>392</v>
      </c>
      <c r="B39" s="811" t="s">
        <v>620</v>
      </c>
      <c r="C39" s="849">
        <v>41618</v>
      </c>
      <c r="D39" s="654" t="s">
        <v>502</v>
      </c>
      <c r="E39" s="666" t="s">
        <v>555</v>
      </c>
      <c r="F39" s="667" t="s">
        <v>555</v>
      </c>
      <c r="G39" s="668" t="s">
        <v>555</v>
      </c>
      <c r="H39" s="330" t="s">
        <v>264</v>
      </c>
      <c r="I39" s="331" t="s">
        <v>290</v>
      </c>
      <c r="J39" s="421" t="s">
        <v>264</v>
      </c>
      <c r="K39" s="422">
        <f>78.8178/1000</f>
        <v>0.07881780000000001</v>
      </c>
      <c r="L39" s="423" t="s">
        <v>264</v>
      </c>
      <c r="M39" s="326" t="s">
        <v>264</v>
      </c>
      <c r="N39" s="424">
        <f>SUM(O39,P39)</f>
        <v>360</v>
      </c>
      <c r="O39" s="595">
        <v>110</v>
      </c>
      <c r="P39" s="593">
        <v>250</v>
      </c>
      <c r="Q39" s="568" t="s">
        <v>264</v>
      </c>
      <c r="R39" s="548"/>
      <c r="S39" s="537"/>
      <c r="T39" s="843"/>
      <c r="U39" s="844"/>
      <c r="V39" s="844"/>
      <c r="W39" s="844"/>
      <c r="X39" s="538"/>
    </row>
    <row r="40" spans="1:24" s="226" customFormat="1" ht="13.5" customHeight="1">
      <c r="A40" s="896"/>
      <c r="B40" s="877"/>
      <c r="C40" s="877"/>
      <c r="D40" s="627" t="s">
        <v>504</v>
      </c>
      <c r="E40" s="628" t="s">
        <v>505</v>
      </c>
      <c r="F40" s="516" t="s">
        <v>506</v>
      </c>
      <c r="G40" s="629" t="s">
        <v>349</v>
      </c>
      <c r="H40" s="339" t="s">
        <v>292</v>
      </c>
      <c r="I40" s="340" t="s">
        <v>293</v>
      </c>
      <c r="J40" s="442">
        <v>140</v>
      </c>
      <c r="K40" s="443">
        <f>21.23/1000</f>
        <v>0.02123</v>
      </c>
      <c r="L40" s="370" t="s">
        <v>294</v>
      </c>
      <c r="M40" s="372" t="s">
        <v>264</v>
      </c>
      <c r="N40" s="371">
        <f>SUM(O40,P40)</f>
        <v>110</v>
      </c>
      <c r="O40" s="592">
        <v>29</v>
      </c>
      <c r="P40" s="591">
        <v>81</v>
      </c>
      <c r="Q40" s="372" t="s">
        <v>264</v>
      </c>
      <c r="R40" s="545"/>
      <c r="S40" s="545"/>
      <c r="T40" s="863"/>
      <c r="U40" s="884"/>
      <c r="V40" s="884"/>
      <c r="W40" s="884"/>
      <c r="X40" s="530"/>
    </row>
    <row r="41" spans="1:24" s="226" customFormat="1" ht="13.5">
      <c r="A41" s="896"/>
      <c r="B41" s="877"/>
      <c r="C41" s="877"/>
      <c r="D41" s="627" t="s">
        <v>504</v>
      </c>
      <c r="E41" s="628" t="s">
        <v>505</v>
      </c>
      <c r="F41" s="516" t="s">
        <v>557</v>
      </c>
      <c r="G41" s="641" t="s">
        <v>557</v>
      </c>
      <c r="H41" s="337" t="s">
        <v>344</v>
      </c>
      <c r="I41" s="338" t="s">
        <v>319</v>
      </c>
      <c r="J41" s="940">
        <v>16</v>
      </c>
      <c r="K41" s="980">
        <f>9.801/1000</f>
        <v>0.009801</v>
      </c>
      <c r="L41" s="930" t="s">
        <v>294</v>
      </c>
      <c r="M41" s="864" t="s">
        <v>264</v>
      </c>
      <c r="N41" s="865">
        <f>SUM(O41,P41)</f>
        <v>27.1</v>
      </c>
      <c r="O41" s="886">
        <v>9.1</v>
      </c>
      <c r="P41" s="882">
        <v>18</v>
      </c>
      <c r="Q41" s="864" t="s">
        <v>264</v>
      </c>
      <c r="R41" s="876"/>
      <c r="S41" s="876"/>
      <c r="T41" s="863"/>
      <c r="U41" s="884"/>
      <c r="V41" s="884"/>
      <c r="W41" s="884"/>
      <c r="X41" s="863"/>
    </row>
    <row r="42" spans="1:24" s="226" customFormat="1" ht="13.5">
      <c r="A42" s="896"/>
      <c r="B42" s="877"/>
      <c r="C42" s="877"/>
      <c r="D42" s="627" t="s">
        <v>504</v>
      </c>
      <c r="E42" s="628" t="s">
        <v>505</v>
      </c>
      <c r="F42" s="642" t="s">
        <v>556</v>
      </c>
      <c r="G42" s="643" t="s">
        <v>557</v>
      </c>
      <c r="H42" s="337" t="s">
        <v>317</v>
      </c>
      <c r="I42" s="373" t="s">
        <v>318</v>
      </c>
      <c r="J42" s="941"/>
      <c r="K42" s="981"/>
      <c r="L42" s="931"/>
      <c r="M42" s="835"/>
      <c r="N42" s="866"/>
      <c r="O42" s="887"/>
      <c r="P42" s="883"/>
      <c r="Q42" s="835"/>
      <c r="R42" s="876"/>
      <c r="S42" s="876"/>
      <c r="T42" s="863"/>
      <c r="U42" s="884"/>
      <c r="V42" s="884"/>
      <c r="W42" s="884"/>
      <c r="X42" s="863"/>
    </row>
    <row r="43" spans="1:24" s="226" customFormat="1" ht="13.5">
      <c r="A43" s="896"/>
      <c r="B43" s="877"/>
      <c r="C43" s="877"/>
      <c r="D43" s="627" t="s">
        <v>504</v>
      </c>
      <c r="E43" s="628" t="s">
        <v>505</v>
      </c>
      <c r="F43" s="516" t="s">
        <v>509</v>
      </c>
      <c r="G43" s="629" t="s">
        <v>512</v>
      </c>
      <c r="H43" s="339" t="s">
        <v>297</v>
      </c>
      <c r="I43" s="340" t="s">
        <v>393</v>
      </c>
      <c r="J43" s="940">
        <v>46</v>
      </c>
      <c r="K43" s="975">
        <f>14.343/1000</f>
        <v>0.014343</v>
      </c>
      <c r="L43" s="930" t="s">
        <v>294</v>
      </c>
      <c r="M43" s="864" t="s">
        <v>264</v>
      </c>
      <c r="N43" s="865">
        <f>SUM(O43,P43)</f>
        <v>66</v>
      </c>
      <c r="O43" s="868">
        <v>21</v>
      </c>
      <c r="P43" s="882">
        <v>45</v>
      </c>
      <c r="Q43" s="864" t="s">
        <v>264</v>
      </c>
      <c r="R43" s="910"/>
      <c r="S43" s="910"/>
      <c r="T43" s="863"/>
      <c r="U43" s="884"/>
      <c r="V43" s="884"/>
      <c r="W43" s="884"/>
      <c r="X43" s="863"/>
    </row>
    <row r="44" spans="1:24" s="226" customFormat="1" ht="13.5">
      <c r="A44" s="896"/>
      <c r="B44" s="877"/>
      <c r="C44" s="877"/>
      <c r="D44" s="627" t="s">
        <v>504</v>
      </c>
      <c r="E44" s="628" t="s">
        <v>505</v>
      </c>
      <c r="F44" s="516" t="s">
        <v>509</v>
      </c>
      <c r="G44" s="629" t="s">
        <v>512</v>
      </c>
      <c r="H44" s="339" t="s">
        <v>298</v>
      </c>
      <c r="I44" s="340" t="s">
        <v>331</v>
      </c>
      <c r="J44" s="891"/>
      <c r="K44" s="891"/>
      <c r="L44" s="982"/>
      <c r="M44" s="835"/>
      <c r="N44" s="867"/>
      <c r="O44" s="869"/>
      <c r="P44" s="883"/>
      <c r="Q44" s="867"/>
      <c r="R44" s="910"/>
      <c r="S44" s="910"/>
      <c r="T44" s="884"/>
      <c r="U44" s="884"/>
      <c r="V44" s="884"/>
      <c r="W44" s="884"/>
      <c r="X44" s="863"/>
    </row>
    <row r="45" spans="1:24" s="226" customFormat="1" ht="13.5">
      <c r="A45" s="896"/>
      <c r="B45" s="877"/>
      <c r="C45" s="877"/>
      <c r="D45" s="627" t="s">
        <v>504</v>
      </c>
      <c r="E45" s="628" t="s">
        <v>505</v>
      </c>
      <c r="F45" s="516" t="s">
        <v>509</v>
      </c>
      <c r="G45" s="629" t="s">
        <v>512</v>
      </c>
      <c r="H45" s="339" t="s">
        <v>320</v>
      </c>
      <c r="I45" s="340" t="s">
        <v>332</v>
      </c>
      <c r="J45" s="891"/>
      <c r="K45" s="891"/>
      <c r="L45" s="982"/>
      <c r="M45" s="835"/>
      <c r="N45" s="867"/>
      <c r="O45" s="869"/>
      <c r="P45" s="883"/>
      <c r="Q45" s="867"/>
      <c r="R45" s="910"/>
      <c r="S45" s="910"/>
      <c r="T45" s="884"/>
      <c r="U45" s="884"/>
      <c r="V45" s="884"/>
      <c r="W45" s="884"/>
      <c r="X45" s="863"/>
    </row>
    <row r="46" spans="1:24" s="226" customFormat="1" ht="13.5">
      <c r="A46" s="896"/>
      <c r="B46" s="877"/>
      <c r="C46" s="877"/>
      <c r="D46" s="627" t="s">
        <v>504</v>
      </c>
      <c r="E46" s="628" t="s">
        <v>505</v>
      </c>
      <c r="F46" s="516" t="s">
        <v>509</v>
      </c>
      <c r="G46" s="629" t="s">
        <v>512</v>
      </c>
      <c r="H46" s="339" t="s">
        <v>299</v>
      </c>
      <c r="I46" s="340" t="s">
        <v>394</v>
      </c>
      <c r="J46" s="891"/>
      <c r="K46" s="891"/>
      <c r="L46" s="982"/>
      <c r="M46" s="835"/>
      <c r="N46" s="867"/>
      <c r="O46" s="869"/>
      <c r="P46" s="883"/>
      <c r="Q46" s="867"/>
      <c r="R46" s="910"/>
      <c r="S46" s="910"/>
      <c r="T46" s="884"/>
      <c r="U46" s="884"/>
      <c r="V46" s="884"/>
      <c r="W46" s="884"/>
      <c r="X46" s="863"/>
    </row>
    <row r="47" spans="1:24" s="226" customFormat="1" ht="13.5">
      <c r="A47" s="896"/>
      <c r="B47" s="877"/>
      <c r="C47" s="877"/>
      <c r="D47" s="627" t="s">
        <v>504</v>
      </c>
      <c r="E47" s="628" t="s">
        <v>505</v>
      </c>
      <c r="F47" s="516" t="s">
        <v>509</v>
      </c>
      <c r="G47" s="629" t="s">
        <v>512</v>
      </c>
      <c r="H47" s="339" t="s">
        <v>300</v>
      </c>
      <c r="I47" s="340" t="s">
        <v>395</v>
      </c>
      <c r="J47" s="891"/>
      <c r="K47" s="891"/>
      <c r="L47" s="982"/>
      <c r="M47" s="835"/>
      <c r="N47" s="867"/>
      <c r="O47" s="869"/>
      <c r="P47" s="883"/>
      <c r="Q47" s="867"/>
      <c r="R47" s="910"/>
      <c r="S47" s="910"/>
      <c r="T47" s="884"/>
      <c r="U47" s="884"/>
      <c r="V47" s="884"/>
      <c r="W47" s="884"/>
      <c r="X47" s="863"/>
    </row>
    <row r="48" spans="1:24" s="226" customFormat="1" ht="13.5">
      <c r="A48" s="896"/>
      <c r="B48" s="877"/>
      <c r="C48" s="877"/>
      <c r="D48" s="627" t="s">
        <v>504</v>
      </c>
      <c r="E48" s="628" t="s">
        <v>505</v>
      </c>
      <c r="F48" s="516" t="s">
        <v>558</v>
      </c>
      <c r="G48" s="629" t="s">
        <v>559</v>
      </c>
      <c r="H48" s="339" t="s">
        <v>322</v>
      </c>
      <c r="I48" s="340" t="s">
        <v>323</v>
      </c>
      <c r="J48" s="891"/>
      <c r="K48" s="891"/>
      <c r="L48" s="982"/>
      <c r="M48" s="835"/>
      <c r="N48" s="867"/>
      <c r="O48" s="869"/>
      <c r="P48" s="883"/>
      <c r="Q48" s="867"/>
      <c r="R48" s="910"/>
      <c r="S48" s="910"/>
      <c r="T48" s="884"/>
      <c r="U48" s="884"/>
      <c r="V48" s="884"/>
      <c r="W48" s="884"/>
      <c r="X48" s="863"/>
    </row>
    <row r="49" spans="1:24" s="226" customFormat="1" ht="13.5">
      <c r="A49" s="896"/>
      <c r="B49" s="877"/>
      <c r="C49" s="877"/>
      <c r="D49" s="627" t="s">
        <v>504</v>
      </c>
      <c r="E49" s="628" t="s">
        <v>505</v>
      </c>
      <c r="F49" s="516" t="s">
        <v>509</v>
      </c>
      <c r="G49" s="629" t="s">
        <v>512</v>
      </c>
      <c r="H49" s="339" t="s">
        <v>352</v>
      </c>
      <c r="I49" s="340" t="s">
        <v>353</v>
      </c>
      <c r="J49" s="891"/>
      <c r="K49" s="891"/>
      <c r="L49" s="982"/>
      <c r="M49" s="835"/>
      <c r="N49" s="867"/>
      <c r="O49" s="869"/>
      <c r="P49" s="883"/>
      <c r="Q49" s="867"/>
      <c r="R49" s="910"/>
      <c r="S49" s="910"/>
      <c r="T49" s="884"/>
      <c r="U49" s="884"/>
      <c r="V49" s="884"/>
      <c r="W49" s="884"/>
      <c r="X49" s="863"/>
    </row>
    <row r="50" spans="1:24" s="226" customFormat="1" ht="13.5">
      <c r="A50" s="896"/>
      <c r="B50" s="877"/>
      <c r="C50" s="877"/>
      <c r="D50" s="627" t="s">
        <v>504</v>
      </c>
      <c r="E50" s="628" t="s">
        <v>505</v>
      </c>
      <c r="F50" s="516" t="s">
        <v>509</v>
      </c>
      <c r="G50" s="367" t="s">
        <v>509</v>
      </c>
      <c r="H50" s="339" t="s">
        <v>302</v>
      </c>
      <c r="I50" s="341" t="s">
        <v>378</v>
      </c>
      <c r="J50" s="943"/>
      <c r="K50" s="943"/>
      <c r="L50" s="983"/>
      <c r="M50" s="909"/>
      <c r="N50" s="909"/>
      <c r="O50" s="945"/>
      <c r="P50" s="946"/>
      <c r="Q50" s="909"/>
      <c r="R50" s="947"/>
      <c r="S50" s="947"/>
      <c r="T50" s="884"/>
      <c r="U50" s="884"/>
      <c r="V50" s="884"/>
      <c r="W50" s="884"/>
      <c r="X50" s="884"/>
    </row>
    <row r="51" spans="1:24" s="226" customFormat="1" ht="13.5">
      <c r="A51" s="896"/>
      <c r="B51" s="877"/>
      <c r="C51" s="877"/>
      <c r="D51" s="523" t="s">
        <v>504</v>
      </c>
      <c r="E51" s="630" t="s">
        <v>517</v>
      </c>
      <c r="F51" s="517" t="s">
        <v>518</v>
      </c>
      <c r="G51" s="631" t="s">
        <v>519</v>
      </c>
      <c r="H51" s="349" t="s">
        <v>354</v>
      </c>
      <c r="I51" s="349" t="s">
        <v>355</v>
      </c>
      <c r="J51" s="444">
        <v>482</v>
      </c>
      <c r="K51" s="445">
        <f>73.114/1000</f>
        <v>0.073114</v>
      </c>
      <c r="L51" s="446" t="s">
        <v>304</v>
      </c>
      <c r="M51" s="23" t="s">
        <v>264</v>
      </c>
      <c r="N51" s="447">
        <f>SUM(O51,P51)</f>
        <v>33.8</v>
      </c>
      <c r="O51" s="599">
        <v>9.8</v>
      </c>
      <c r="P51" s="577">
        <v>24</v>
      </c>
      <c r="Q51" s="23" t="s">
        <v>264</v>
      </c>
      <c r="R51" s="402"/>
      <c r="S51" s="402"/>
      <c r="T51" s="844"/>
      <c r="U51" s="862"/>
      <c r="V51" s="862"/>
      <c r="W51" s="862"/>
      <c r="X51" s="401"/>
    </row>
    <row r="52" spans="1:24" s="226" customFormat="1" ht="13.5">
      <c r="A52" s="896"/>
      <c r="B52" s="877"/>
      <c r="C52" s="877"/>
      <c r="D52" s="632" t="s">
        <v>523</v>
      </c>
      <c r="E52" s="633" t="s">
        <v>524</v>
      </c>
      <c r="F52" s="520" t="s">
        <v>560</v>
      </c>
      <c r="G52" s="653" t="s">
        <v>560</v>
      </c>
      <c r="H52" s="416" t="s">
        <v>396</v>
      </c>
      <c r="I52" s="417" t="s">
        <v>397</v>
      </c>
      <c r="J52" s="444">
        <v>18</v>
      </c>
      <c r="K52" s="445">
        <f>47.5/1000</f>
        <v>0.0475</v>
      </c>
      <c r="L52" s="449" t="s">
        <v>310</v>
      </c>
      <c r="M52" s="353" t="s">
        <v>308</v>
      </c>
      <c r="N52" s="447">
        <f>SUM(O52,P52)</f>
        <v>27</v>
      </c>
      <c r="O52" s="601">
        <v>8</v>
      </c>
      <c r="P52" s="577">
        <v>19</v>
      </c>
      <c r="Q52" s="23" t="s">
        <v>264</v>
      </c>
      <c r="R52" s="402"/>
      <c r="S52" s="402"/>
      <c r="T52" s="401"/>
      <c r="U52" s="391"/>
      <c r="V52" s="391"/>
      <c r="W52" s="391"/>
      <c r="X52" s="401"/>
    </row>
    <row r="53" spans="1:24" s="226" customFormat="1" ht="13.5">
      <c r="A53" s="896"/>
      <c r="B53" s="877"/>
      <c r="C53" s="877"/>
      <c r="D53" s="524" t="s">
        <v>523</v>
      </c>
      <c r="E53" s="520" t="s">
        <v>535</v>
      </c>
      <c r="F53" s="536" t="s">
        <v>553</v>
      </c>
      <c r="G53" s="662" t="s">
        <v>554</v>
      </c>
      <c r="H53" s="348" t="s">
        <v>391</v>
      </c>
      <c r="I53" s="349" t="s">
        <v>389</v>
      </c>
      <c r="J53" s="444">
        <v>10</v>
      </c>
      <c r="K53" s="445">
        <f>47.4/1000</f>
        <v>0.0474</v>
      </c>
      <c r="L53" s="446" t="s">
        <v>383</v>
      </c>
      <c r="M53" s="23" t="s">
        <v>264</v>
      </c>
      <c r="N53" s="447">
        <f>SUM(O53,P53)</f>
        <v>77</v>
      </c>
      <c r="O53" s="600">
        <v>25</v>
      </c>
      <c r="P53" s="577">
        <v>52</v>
      </c>
      <c r="Q53" s="23" t="s">
        <v>264</v>
      </c>
      <c r="R53" s="402"/>
      <c r="S53" s="402"/>
      <c r="T53" s="844"/>
      <c r="U53" s="862"/>
      <c r="V53" s="862"/>
      <c r="W53" s="862"/>
      <c r="X53" s="401"/>
    </row>
    <row r="54" spans="1:24" s="226" customFormat="1" ht="13.5">
      <c r="A54" s="897"/>
      <c r="B54" s="878"/>
      <c r="C54" s="878"/>
      <c r="D54" s="525" t="s">
        <v>536</v>
      </c>
      <c r="E54" s="646" t="s">
        <v>555</v>
      </c>
      <c r="F54" s="647" t="s">
        <v>555</v>
      </c>
      <c r="G54" s="648" t="s">
        <v>555</v>
      </c>
      <c r="H54" s="450" t="s">
        <v>264</v>
      </c>
      <c r="I54" s="377" t="s">
        <v>325</v>
      </c>
      <c r="J54" s="378" t="s">
        <v>264</v>
      </c>
      <c r="K54" s="379">
        <f>364.2/1000</f>
        <v>0.36419999999999997</v>
      </c>
      <c r="L54" s="380" t="s">
        <v>264</v>
      </c>
      <c r="M54" s="382" t="s">
        <v>264</v>
      </c>
      <c r="N54" s="381">
        <f>SUM(O54,P54)</f>
        <v>32.8</v>
      </c>
      <c r="O54" s="602">
        <v>9.8</v>
      </c>
      <c r="P54" s="581">
        <v>23</v>
      </c>
      <c r="Q54" s="570" t="s">
        <v>264</v>
      </c>
      <c r="R54" s="551"/>
      <c r="S54" s="551"/>
      <c r="T54" s="905"/>
      <c r="U54" s="844"/>
      <c r="V54" s="844"/>
      <c r="W54" s="844"/>
      <c r="X54" s="547"/>
    </row>
    <row r="55" spans="1:24" s="226" customFormat="1" ht="13.5">
      <c r="A55" s="761"/>
      <c r="B55" s="116"/>
      <c r="C55" s="393"/>
      <c r="D55" s="235"/>
      <c r="E55" s="98"/>
      <c r="F55" s="394"/>
      <c r="G55" s="395"/>
      <c r="H55" s="396"/>
      <c r="I55" s="397"/>
      <c r="J55" s="398"/>
      <c r="K55" s="399"/>
      <c r="L55" s="400"/>
      <c r="M55" s="401"/>
      <c r="N55" s="402"/>
      <c r="O55" s="402"/>
      <c r="P55" s="400"/>
      <c r="Q55" s="401"/>
      <c r="R55" s="402"/>
      <c r="S55" s="402"/>
      <c r="T55" s="403"/>
      <c r="U55" s="401"/>
      <c r="V55" s="404"/>
      <c r="W55" s="404"/>
      <c r="X55" s="47"/>
    </row>
    <row r="56" spans="1:17" s="49" customFormat="1" ht="18" customHeight="1">
      <c r="A56" s="845" t="s">
        <v>1</v>
      </c>
      <c r="B56" s="846"/>
      <c r="C56" s="849" t="s">
        <v>282</v>
      </c>
      <c r="D56" s="851" t="s">
        <v>493</v>
      </c>
      <c r="E56" s="853" t="s">
        <v>494</v>
      </c>
      <c r="F56" s="855" t="s">
        <v>495</v>
      </c>
      <c r="G56" s="855" t="s">
        <v>496</v>
      </c>
      <c r="H56" s="857" t="s">
        <v>497</v>
      </c>
      <c r="I56" s="857" t="s">
        <v>498</v>
      </c>
      <c r="J56" s="906" t="s">
        <v>283</v>
      </c>
      <c r="K56" s="922" t="s">
        <v>284</v>
      </c>
      <c r="L56" s="921" t="s">
        <v>499</v>
      </c>
      <c r="M56" s="921"/>
      <c r="N56" s="917" t="s">
        <v>286</v>
      </c>
      <c r="O56" s="920"/>
      <c r="P56" s="984"/>
      <c r="Q56" s="911" t="s">
        <v>500</v>
      </c>
    </row>
    <row r="57" spans="1:20" s="49" customFormat="1" ht="18" customHeight="1">
      <c r="A57" s="847"/>
      <c r="B57" s="848"/>
      <c r="C57" s="850"/>
      <c r="D57" s="968"/>
      <c r="E57" s="969"/>
      <c r="F57" s="856"/>
      <c r="G57" s="856"/>
      <c r="H57" s="858"/>
      <c r="I57" s="858"/>
      <c r="J57" s="907"/>
      <c r="K57" s="923"/>
      <c r="L57" s="503" t="s">
        <v>285</v>
      </c>
      <c r="M57" s="327" t="s">
        <v>287</v>
      </c>
      <c r="N57" s="504" t="s">
        <v>288</v>
      </c>
      <c r="O57" s="505" t="s">
        <v>649</v>
      </c>
      <c r="P57" s="762" t="s">
        <v>650</v>
      </c>
      <c r="Q57" s="858"/>
      <c r="S57" s="401"/>
      <c r="T57" s="401"/>
    </row>
    <row r="58" spans="1:24" s="226" customFormat="1" ht="13.5">
      <c r="A58" s="890" t="s">
        <v>366</v>
      </c>
      <c r="B58" s="895" t="s">
        <v>618</v>
      </c>
      <c r="C58" s="849">
        <v>41619</v>
      </c>
      <c r="D58" s="521" t="s">
        <v>502</v>
      </c>
      <c r="E58" s="515" t="s">
        <v>503</v>
      </c>
      <c r="F58" s="515" t="s">
        <v>503</v>
      </c>
      <c r="G58" s="507" t="s">
        <v>503</v>
      </c>
      <c r="H58" s="330" t="s">
        <v>264</v>
      </c>
      <c r="I58" s="331" t="s">
        <v>290</v>
      </c>
      <c r="J58" s="421" t="s">
        <v>264</v>
      </c>
      <c r="K58" s="422">
        <f>78.5945/1000</f>
        <v>0.0785945</v>
      </c>
      <c r="L58" s="423" t="s">
        <v>264</v>
      </c>
      <c r="M58" s="326" t="s">
        <v>264</v>
      </c>
      <c r="N58" s="424">
        <f>SUM(O58,P58)</f>
        <v>910</v>
      </c>
      <c r="O58" s="595">
        <v>250</v>
      </c>
      <c r="P58" s="593">
        <v>660</v>
      </c>
      <c r="Q58" s="568" t="s">
        <v>264</v>
      </c>
      <c r="R58" s="402"/>
      <c r="S58" s="402"/>
      <c r="T58" s="403"/>
      <c r="U58" s="401"/>
      <c r="V58" s="404"/>
      <c r="W58" s="404"/>
      <c r="X58" s="47"/>
    </row>
    <row r="59" spans="1:24" s="226" customFormat="1" ht="13.5">
      <c r="A59" s="891"/>
      <c r="B59" s="891"/>
      <c r="C59" s="891"/>
      <c r="D59" s="654" t="s">
        <v>540</v>
      </c>
      <c r="E59" s="655" t="s">
        <v>541</v>
      </c>
      <c r="F59" s="656" t="s">
        <v>542</v>
      </c>
      <c r="G59" s="493" t="s">
        <v>542</v>
      </c>
      <c r="H59" s="425" t="s">
        <v>367</v>
      </c>
      <c r="I59" s="426" t="s">
        <v>368</v>
      </c>
      <c r="J59" s="427" t="s">
        <v>264</v>
      </c>
      <c r="K59" s="428">
        <f>22.7/1000</f>
        <v>0.022699999999999998</v>
      </c>
      <c r="L59" s="429" t="s">
        <v>264</v>
      </c>
      <c r="M59" s="431" t="s">
        <v>264</v>
      </c>
      <c r="N59" s="430" t="s">
        <v>501</v>
      </c>
      <c r="O59" s="596" t="s">
        <v>645</v>
      </c>
      <c r="P59" s="451" t="s">
        <v>646</v>
      </c>
      <c r="Q59" s="569" t="s">
        <v>264</v>
      </c>
      <c r="R59" s="402"/>
      <c r="S59" s="402"/>
      <c r="T59" s="403"/>
      <c r="U59" s="401"/>
      <c r="V59" s="404"/>
      <c r="W59" s="404"/>
      <c r="X59" s="47"/>
    </row>
    <row r="60" spans="1:24" s="226" customFormat="1" ht="13.5">
      <c r="A60" s="891"/>
      <c r="B60" s="891"/>
      <c r="C60" s="891"/>
      <c r="D60" s="722" t="s">
        <v>636</v>
      </c>
      <c r="E60" s="722" t="s">
        <v>603</v>
      </c>
      <c r="F60" s="722" t="s">
        <v>635</v>
      </c>
      <c r="G60" s="531" t="s">
        <v>635</v>
      </c>
      <c r="H60" s="432" t="s">
        <v>369</v>
      </c>
      <c r="I60" s="433" t="s">
        <v>370</v>
      </c>
      <c r="J60" s="427" t="s">
        <v>264</v>
      </c>
      <c r="K60" s="434">
        <f>1330.8/1000</f>
        <v>1.3308</v>
      </c>
      <c r="L60" s="429" t="s">
        <v>264</v>
      </c>
      <c r="M60" s="431" t="s">
        <v>264</v>
      </c>
      <c r="N60" s="435">
        <f>SUM(O60,P60)</f>
        <v>64</v>
      </c>
      <c r="O60" s="597">
        <v>19</v>
      </c>
      <c r="P60" s="594">
        <v>45</v>
      </c>
      <c r="Q60" s="569" t="s">
        <v>264</v>
      </c>
      <c r="R60" s="402"/>
      <c r="S60" s="402"/>
      <c r="T60" s="403"/>
      <c r="U60" s="401"/>
      <c r="V60" s="404"/>
      <c r="W60" s="404"/>
      <c r="X60" s="47"/>
    </row>
    <row r="61" spans="1:24" s="226" customFormat="1" ht="13.5">
      <c r="A61" s="891"/>
      <c r="B61" s="891"/>
      <c r="C61" s="891"/>
      <c r="D61" s="627" t="s">
        <v>504</v>
      </c>
      <c r="E61" s="628" t="s">
        <v>505</v>
      </c>
      <c r="F61" s="516" t="s">
        <v>506</v>
      </c>
      <c r="G61" s="629" t="s">
        <v>349</v>
      </c>
      <c r="H61" s="339" t="s">
        <v>292</v>
      </c>
      <c r="I61" s="341" t="s">
        <v>349</v>
      </c>
      <c r="J61" s="965">
        <v>473</v>
      </c>
      <c r="K61" s="966">
        <f>39.309/1000</f>
        <v>0.039309</v>
      </c>
      <c r="L61" s="967" t="s">
        <v>294</v>
      </c>
      <c r="M61" s="912" t="s">
        <v>264</v>
      </c>
      <c r="N61" s="944">
        <f>SUM(O61,P61)</f>
        <v>440</v>
      </c>
      <c r="O61" s="879">
        <v>120</v>
      </c>
      <c r="P61" s="914">
        <v>320</v>
      </c>
      <c r="Q61" s="912" t="s">
        <v>264</v>
      </c>
      <c r="R61" s="402"/>
      <c r="S61" s="402"/>
      <c r="T61" s="403"/>
      <c r="U61" s="401"/>
      <c r="V61" s="404"/>
      <c r="W61" s="404"/>
      <c r="X61" s="47"/>
    </row>
    <row r="62" spans="1:24" s="226" customFormat="1" ht="13.5">
      <c r="A62" s="891"/>
      <c r="B62" s="891"/>
      <c r="C62" s="891"/>
      <c r="D62" s="627" t="s">
        <v>504</v>
      </c>
      <c r="E62" s="628" t="s">
        <v>505</v>
      </c>
      <c r="F62" s="516" t="s">
        <v>506</v>
      </c>
      <c r="G62" s="629" t="s">
        <v>349</v>
      </c>
      <c r="H62" s="339" t="s">
        <v>295</v>
      </c>
      <c r="I62" s="340" t="s">
        <v>328</v>
      </c>
      <c r="J62" s="965"/>
      <c r="K62" s="966"/>
      <c r="L62" s="967"/>
      <c r="M62" s="912"/>
      <c r="N62" s="913"/>
      <c r="O62" s="879"/>
      <c r="P62" s="914"/>
      <c r="Q62" s="913"/>
      <c r="R62" s="402"/>
      <c r="S62" s="402"/>
      <c r="T62" s="403"/>
      <c r="U62" s="401"/>
      <c r="V62" s="404"/>
      <c r="W62" s="404"/>
      <c r="X62" s="47"/>
    </row>
    <row r="63" spans="1:24" s="226" customFormat="1" ht="13.5">
      <c r="A63" s="891"/>
      <c r="B63" s="891"/>
      <c r="C63" s="891"/>
      <c r="D63" s="627" t="s">
        <v>504</v>
      </c>
      <c r="E63" s="628" t="s">
        <v>505</v>
      </c>
      <c r="F63" s="642" t="s">
        <v>531</v>
      </c>
      <c r="G63" s="643" t="s">
        <v>531</v>
      </c>
      <c r="H63" s="337" t="s">
        <v>344</v>
      </c>
      <c r="I63" s="338" t="s">
        <v>319</v>
      </c>
      <c r="J63" s="940">
        <v>103</v>
      </c>
      <c r="K63" s="934">
        <f>65.14/1000</f>
        <v>0.06514</v>
      </c>
      <c r="L63" s="930" t="s">
        <v>294</v>
      </c>
      <c r="M63" s="864" t="s">
        <v>264</v>
      </c>
      <c r="N63" s="865">
        <f>SUM(O63,P63)</f>
        <v>44</v>
      </c>
      <c r="O63" s="868">
        <v>12</v>
      </c>
      <c r="P63" s="882">
        <v>32</v>
      </c>
      <c r="Q63" s="864" t="s">
        <v>264</v>
      </c>
      <c r="R63" s="402"/>
      <c r="S63" s="402"/>
      <c r="T63" s="403"/>
      <c r="U63" s="401"/>
      <c r="V63" s="404"/>
      <c r="W63" s="404"/>
      <c r="X63" s="47"/>
    </row>
    <row r="64" spans="1:24" s="226" customFormat="1" ht="13.5">
      <c r="A64" s="891"/>
      <c r="B64" s="891"/>
      <c r="C64" s="891"/>
      <c r="D64" s="627" t="s">
        <v>504</v>
      </c>
      <c r="E64" s="628" t="s">
        <v>505</v>
      </c>
      <c r="F64" s="516" t="s">
        <v>531</v>
      </c>
      <c r="G64" s="641" t="s">
        <v>531</v>
      </c>
      <c r="H64" s="337" t="s">
        <v>317</v>
      </c>
      <c r="I64" s="373" t="s">
        <v>318</v>
      </c>
      <c r="J64" s="941"/>
      <c r="K64" s="935"/>
      <c r="L64" s="931"/>
      <c r="M64" s="835"/>
      <c r="N64" s="866"/>
      <c r="O64" s="869"/>
      <c r="P64" s="883"/>
      <c r="Q64" s="835"/>
      <c r="R64" s="402"/>
      <c r="S64" s="402"/>
      <c r="T64" s="403"/>
      <c r="U64" s="401"/>
      <c r="V64" s="404"/>
      <c r="W64" s="404"/>
      <c r="X64" s="47"/>
    </row>
    <row r="65" spans="1:24" s="226" customFormat="1" ht="13.5">
      <c r="A65" s="891"/>
      <c r="B65" s="891"/>
      <c r="C65" s="891"/>
      <c r="D65" s="627" t="s">
        <v>504</v>
      </c>
      <c r="E65" s="628" t="s">
        <v>505</v>
      </c>
      <c r="F65" s="516" t="s">
        <v>547</v>
      </c>
      <c r="G65" s="629" t="s">
        <v>548</v>
      </c>
      <c r="H65" s="339" t="s">
        <v>302</v>
      </c>
      <c r="I65" s="341" t="s">
        <v>324</v>
      </c>
      <c r="J65" s="940">
        <v>159</v>
      </c>
      <c r="K65" s="975">
        <f>49.062/1000</f>
        <v>0.049061999999999995</v>
      </c>
      <c r="L65" s="930" t="s">
        <v>294</v>
      </c>
      <c r="M65" s="864" t="s">
        <v>264</v>
      </c>
      <c r="N65" s="865">
        <f>SUM(O65,P65)</f>
        <v>108</v>
      </c>
      <c r="O65" s="868">
        <v>32</v>
      </c>
      <c r="P65" s="882">
        <v>76</v>
      </c>
      <c r="Q65" s="864" t="s">
        <v>264</v>
      </c>
      <c r="R65" s="402"/>
      <c r="S65" s="402"/>
      <c r="T65" s="403"/>
      <c r="U65" s="401"/>
      <c r="V65" s="404"/>
      <c r="W65" s="404"/>
      <c r="X65" s="47"/>
    </row>
    <row r="66" spans="1:24" s="226" customFormat="1" ht="13.5">
      <c r="A66" s="891"/>
      <c r="B66" s="891"/>
      <c r="C66" s="891"/>
      <c r="D66" s="627" t="s">
        <v>504</v>
      </c>
      <c r="E66" s="628" t="s">
        <v>505</v>
      </c>
      <c r="F66" s="516" t="s">
        <v>509</v>
      </c>
      <c r="G66" s="629" t="s">
        <v>334</v>
      </c>
      <c r="H66" s="339" t="s">
        <v>301</v>
      </c>
      <c r="I66" s="340" t="s">
        <v>334</v>
      </c>
      <c r="J66" s="941"/>
      <c r="K66" s="977"/>
      <c r="L66" s="931"/>
      <c r="M66" s="835"/>
      <c r="N66" s="867"/>
      <c r="O66" s="869"/>
      <c r="P66" s="883"/>
      <c r="Q66" s="867"/>
      <c r="R66" s="402"/>
      <c r="S66" s="402"/>
      <c r="T66" s="403"/>
      <c r="U66" s="401"/>
      <c r="V66" s="404"/>
      <c r="W66" s="404"/>
      <c r="X66" s="47"/>
    </row>
    <row r="67" spans="1:24" s="226" customFormat="1" ht="13.5">
      <c r="A67" s="891"/>
      <c r="B67" s="891"/>
      <c r="C67" s="891"/>
      <c r="D67" s="627" t="s">
        <v>504</v>
      </c>
      <c r="E67" s="628" t="s">
        <v>505</v>
      </c>
      <c r="F67" s="516" t="s">
        <v>509</v>
      </c>
      <c r="G67" s="629" t="s">
        <v>512</v>
      </c>
      <c r="H67" s="339" t="s">
        <v>373</v>
      </c>
      <c r="I67" s="340" t="s">
        <v>374</v>
      </c>
      <c r="J67" s="941"/>
      <c r="K67" s="977"/>
      <c r="L67" s="931"/>
      <c r="M67" s="835"/>
      <c r="N67" s="867"/>
      <c r="O67" s="869"/>
      <c r="P67" s="883"/>
      <c r="Q67" s="867"/>
      <c r="R67" s="402"/>
      <c r="S67" s="402"/>
      <c r="T67" s="403"/>
      <c r="U67" s="401"/>
      <c r="V67" s="404"/>
      <c r="W67" s="404"/>
      <c r="X67" s="47"/>
    </row>
    <row r="68" spans="1:24" s="226" customFormat="1" ht="13.5">
      <c r="A68" s="891"/>
      <c r="B68" s="891"/>
      <c r="C68" s="891"/>
      <c r="D68" s="627" t="s">
        <v>504</v>
      </c>
      <c r="E68" s="628" t="s">
        <v>505</v>
      </c>
      <c r="F68" s="516" t="s">
        <v>544</v>
      </c>
      <c r="G68" s="629" t="s">
        <v>545</v>
      </c>
      <c r="H68" s="339" t="s">
        <v>297</v>
      </c>
      <c r="I68" s="340" t="s">
        <v>330</v>
      </c>
      <c r="J68" s="941"/>
      <c r="K68" s="977"/>
      <c r="L68" s="931"/>
      <c r="M68" s="835"/>
      <c r="N68" s="867"/>
      <c r="O68" s="869"/>
      <c r="P68" s="883"/>
      <c r="Q68" s="867"/>
      <c r="R68" s="402"/>
      <c r="S68" s="402"/>
      <c r="T68" s="403"/>
      <c r="U68" s="401"/>
      <c r="V68" s="404"/>
      <c r="W68" s="404"/>
      <c r="X68" s="47"/>
    </row>
    <row r="69" spans="1:24" s="226" customFormat="1" ht="13.5">
      <c r="A69" s="891"/>
      <c r="B69" s="891"/>
      <c r="C69" s="891"/>
      <c r="D69" s="627" t="s">
        <v>504</v>
      </c>
      <c r="E69" s="628" t="s">
        <v>505</v>
      </c>
      <c r="F69" s="516" t="s">
        <v>509</v>
      </c>
      <c r="G69" s="629" t="s">
        <v>512</v>
      </c>
      <c r="H69" s="339" t="s">
        <v>298</v>
      </c>
      <c r="I69" s="340" t="s">
        <v>331</v>
      </c>
      <c r="J69" s="941"/>
      <c r="K69" s="977"/>
      <c r="L69" s="931"/>
      <c r="M69" s="835"/>
      <c r="N69" s="867"/>
      <c r="O69" s="869"/>
      <c r="P69" s="883"/>
      <c r="Q69" s="867"/>
      <c r="R69" s="402"/>
      <c r="S69" s="402"/>
      <c r="T69" s="403"/>
      <c r="U69" s="401"/>
      <c r="V69" s="404"/>
      <c r="W69" s="404"/>
      <c r="X69" s="47"/>
    </row>
    <row r="70" spans="1:24" s="226" customFormat="1" ht="13.5">
      <c r="A70" s="891"/>
      <c r="B70" s="891"/>
      <c r="C70" s="891"/>
      <c r="D70" s="627" t="s">
        <v>504</v>
      </c>
      <c r="E70" s="628" t="s">
        <v>505</v>
      </c>
      <c r="F70" s="516" t="s">
        <v>509</v>
      </c>
      <c r="G70" s="629" t="s">
        <v>512</v>
      </c>
      <c r="H70" s="339" t="s">
        <v>320</v>
      </c>
      <c r="I70" s="340" t="s">
        <v>351</v>
      </c>
      <c r="J70" s="941"/>
      <c r="K70" s="977"/>
      <c r="L70" s="931"/>
      <c r="M70" s="835"/>
      <c r="N70" s="867"/>
      <c r="O70" s="869"/>
      <c r="P70" s="883"/>
      <c r="Q70" s="867"/>
      <c r="R70" s="402"/>
      <c r="S70" s="402"/>
      <c r="T70" s="403"/>
      <c r="U70" s="401"/>
      <c r="V70" s="404"/>
      <c r="W70" s="404"/>
      <c r="X70" s="47"/>
    </row>
    <row r="71" spans="1:24" s="226" customFormat="1" ht="13.5">
      <c r="A71" s="891"/>
      <c r="B71" s="891"/>
      <c r="C71" s="891"/>
      <c r="D71" s="627" t="s">
        <v>504</v>
      </c>
      <c r="E71" s="628" t="s">
        <v>505</v>
      </c>
      <c r="F71" s="516" t="s">
        <v>511</v>
      </c>
      <c r="G71" s="629" t="s">
        <v>513</v>
      </c>
      <c r="H71" s="339" t="s">
        <v>375</v>
      </c>
      <c r="I71" s="340" t="s">
        <v>376</v>
      </c>
      <c r="J71" s="941"/>
      <c r="K71" s="977"/>
      <c r="L71" s="931"/>
      <c r="M71" s="835"/>
      <c r="N71" s="867"/>
      <c r="O71" s="869"/>
      <c r="P71" s="883"/>
      <c r="Q71" s="867"/>
      <c r="R71" s="402"/>
      <c r="S71" s="402"/>
      <c r="T71" s="403"/>
      <c r="U71" s="401"/>
      <c r="V71" s="404"/>
      <c r="W71" s="404"/>
      <c r="X71" s="47"/>
    </row>
    <row r="72" spans="1:24" s="226" customFormat="1" ht="13.5">
      <c r="A72" s="891"/>
      <c r="B72" s="891"/>
      <c r="C72" s="891"/>
      <c r="D72" s="627" t="s">
        <v>504</v>
      </c>
      <c r="E72" s="628" t="s">
        <v>505</v>
      </c>
      <c r="F72" s="516" t="s">
        <v>509</v>
      </c>
      <c r="G72" s="629" t="s">
        <v>512</v>
      </c>
      <c r="H72" s="339" t="s">
        <v>299</v>
      </c>
      <c r="I72" s="340" t="s">
        <v>321</v>
      </c>
      <c r="J72" s="941"/>
      <c r="K72" s="977"/>
      <c r="L72" s="931"/>
      <c r="M72" s="835"/>
      <c r="N72" s="867"/>
      <c r="O72" s="869"/>
      <c r="P72" s="883"/>
      <c r="Q72" s="867"/>
      <c r="R72" s="402"/>
      <c r="S72" s="402"/>
      <c r="T72" s="403"/>
      <c r="U72" s="401"/>
      <c r="V72" s="404"/>
      <c r="W72" s="404"/>
      <c r="X72" s="47"/>
    </row>
    <row r="73" spans="1:24" s="226" customFormat="1" ht="13.5">
      <c r="A73" s="891"/>
      <c r="B73" s="891"/>
      <c r="C73" s="891"/>
      <c r="D73" s="627" t="s">
        <v>504</v>
      </c>
      <c r="E73" s="628" t="s">
        <v>505</v>
      </c>
      <c r="F73" s="516" t="s">
        <v>511</v>
      </c>
      <c r="G73" s="629" t="s">
        <v>513</v>
      </c>
      <c r="H73" s="339" t="s">
        <v>300</v>
      </c>
      <c r="I73" s="340" t="s">
        <v>333</v>
      </c>
      <c r="J73" s="941"/>
      <c r="K73" s="977"/>
      <c r="L73" s="931"/>
      <c r="M73" s="835"/>
      <c r="N73" s="867"/>
      <c r="O73" s="869"/>
      <c r="P73" s="883"/>
      <c r="Q73" s="867"/>
      <c r="R73" s="402"/>
      <c r="S73" s="402"/>
      <c r="T73" s="403"/>
      <c r="U73" s="401"/>
      <c r="V73" s="404"/>
      <c r="W73" s="404"/>
      <c r="X73" s="47"/>
    </row>
    <row r="74" spans="1:24" s="226" customFormat="1" ht="13.5">
      <c r="A74" s="891"/>
      <c r="B74" s="891"/>
      <c r="C74" s="891"/>
      <c r="D74" s="627" t="s">
        <v>504</v>
      </c>
      <c r="E74" s="628" t="s">
        <v>505</v>
      </c>
      <c r="F74" s="516" t="s">
        <v>511</v>
      </c>
      <c r="G74" s="629" t="s">
        <v>513</v>
      </c>
      <c r="H74" s="339" t="s">
        <v>322</v>
      </c>
      <c r="I74" s="340" t="s">
        <v>323</v>
      </c>
      <c r="J74" s="941"/>
      <c r="K74" s="977"/>
      <c r="L74" s="931"/>
      <c r="M74" s="835"/>
      <c r="N74" s="867"/>
      <c r="O74" s="869"/>
      <c r="P74" s="883"/>
      <c r="Q74" s="867"/>
      <c r="R74" s="402"/>
      <c r="S74" s="402"/>
      <c r="T74" s="403"/>
      <c r="U74" s="401"/>
      <c r="V74" s="404"/>
      <c r="W74" s="404"/>
      <c r="X74" s="47"/>
    </row>
    <row r="75" spans="1:24" s="226" customFormat="1" ht="13.5">
      <c r="A75" s="891"/>
      <c r="B75" s="891"/>
      <c r="C75" s="891"/>
      <c r="D75" s="627" t="s">
        <v>504</v>
      </c>
      <c r="E75" s="628" t="s">
        <v>505</v>
      </c>
      <c r="F75" s="516" t="s">
        <v>509</v>
      </c>
      <c r="G75" s="629" t="s">
        <v>512</v>
      </c>
      <c r="H75" s="339" t="s">
        <v>352</v>
      </c>
      <c r="I75" s="340" t="s">
        <v>353</v>
      </c>
      <c r="J75" s="941"/>
      <c r="K75" s="977"/>
      <c r="L75" s="931"/>
      <c r="M75" s="835"/>
      <c r="N75" s="867"/>
      <c r="O75" s="869"/>
      <c r="P75" s="883"/>
      <c r="Q75" s="867"/>
      <c r="R75" s="402"/>
      <c r="S75" s="402"/>
      <c r="T75" s="403"/>
      <c r="U75" s="401"/>
      <c r="V75" s="404"/>
      <c r="W75" s="404"/>
      <c r="X75" s="47"/>
    </row>
    <row r="76" spans="1:24" s="226" customFormat="1" ht="13.5">
      <c r="A76" s="891"/>
      <c r="B76" s="891"/>
      <c r="C76" s="891"/>
      <c r="D76" s="627" t="s">
        <v>504</v>
      </c>
      <c r="E76" s="628" t="s">
        <v>505</v>
      </c>
      <c r="F76" s="516" t="s">
        <v>509</v>
      </c>
      <c r="G76" s="367" t="s">
        <v>509</v>
      </c>
      <c r="H76" s="339" t="s">
        <v>377</v>
      </c>
      <c r="I76" s="340" t="s">
        <v>378</v>
      </c>
      <c r="J76" s="941"/>
      <c r="K76" s="977"/>
      <c r="L76" s="931"/>
      <c r="M76" s="835"/>
      <c r="N76" s="867"/>
      <c r="O76" s="869"/>
      <c r="P76" s="883"/>
      <c r="Q76" s="867"/>
      <c r="R76" s="402"/>
      <c r="S76" s="402"/>
      <c r="T76" s="403"/>
      <c r="U76" s="401"/>
      <c r="V76" s="404"/>
      <c r="W76" s="404"/>
      <c r="X76" s="47"/>
    </row>
    <row r="77" spans="1:24" s="226" customFormat="1" ht="13.5">
      <c r="A77" s="891"/>
      <c r="B77" s="891"/>
      <c r="C77" s="891"/>
      <c r="D77" s="627" t="s">
        <v>504</v>
      </c>
      <c r="E77" s="628" t="s">
        <v>505</v>
      </c>
      <c r="F77" s="516" t="s">
        <v>546</v>
      </c>
      <c r="G77" s="367" t="s">
        <v>546</v>
      </c>
      <c r="H77" s="339" t="s">
        <v>379</v>
      </c>
      <c r="I77" s="340" t="s">
        <v>380</v>
      </c>
      <c r="J77" s="941"/>
      <c r="K77" s="977"/>
      <c r="L77" s="931"/>
      <c r="M77" s="835"/>
      <c r="N77" s="867"/>
      <c r="O77" s="869"/>
      <c r="P77" s="883"/>
      <c r="Q77" s="867"/>
      <c r="R77" s="402"/>
      <c r="S77" s="402"/>
      <c r="T77" s="403"/>
      <c r="U77" s="401"/>
      <c r="V77" s="404"/>
      <c r="W77" s="404"/>
      <c r="X77" s="47"/>
    </row>
    <row r="78" spans="1:24" s="226" customFormat="1" ht="13.5">
      <c r="A78" s="891"/>
      <c r="B78" s="891"/>
      <c r="C78" s="891"/>
      <c r="D78" s="627" t="s">
        <v>504</v>
      </c>
      <c r="E78" s="628" t="s">
        <v>505</v>
      </c>
      <c r="F78" s="516" t="s">
        <v>511</v>
      </c>
      <c r="G78" s="522" t="s">
        <v>543</v>
      </c>
      <c r="H78" s="339" t="s">
        <v>296</v>
      </c>
      <c r="I78" s="340" t="s">
        <v>329</v>
      </c>
      <c r="J78" s="941"/>
      <c r="K78" s="977"/>
      <c r="L78" s="931"/>
      <c r="M78" s="835"/>
      <c r="N78" s="867"/>
      <c r="O78" s="869"/>
      <c r="P78" s="883"/>
      <c r="Q78" s="867"/>
      <c r="R78" s="402"/>
      <c r="S78" s="402"/>
      <c r="T78" s="403"/>
      <c r="U78" s="401"/>
      <c r="V78" s="404"/>
      <c r="W78" s="404"/>
      <c r="X78" s="47"/>
    </row>
    <row r="79" spans="1:24" s="226" customFormat="1" ht="13.5">
      <c r="A79" s="891"/>
      <c r="B79" s="891"/>
      <c r="C79" s="891"/>
      <c r="D79" s="627" t="s">
        <v>504</v>
      </c>
      <c r="E79" s="628" t="s">
        <v>505</v>
      </c>
      <c r="F79" s="516" t="s">
        <v>509</v>
      </c>
      <c r="G79" s="522" t="s">
        <v>510</v>
      </c>
      <c r="H79" s="339" t="s">
        <v>371</v>
      </c>
      <c r="I79" s="340" t="s">
        <v>372</v>
      </c>
      <c r="J79" s="942"/>
      <c r="K79" s="976"/>
      <c r="L79" s="932"/>
      <c r="M79" s="908"/>
      <c r="N79" s="909"/>
      <c r="O79" s="916"/>
      <c r="P79" s="915"/>
      <c r="Q79" s="909"/>
      <c r="R79" s="402"/>
      <c r="S79" s="402"/>
      <c r="T79" s="403"/>
      <c r="U79" s="401"/>
      <c r="V79" s="404"/>
      <c r="W79" s="404"/>
      <c r="X79" s="47"/>
    </row>
    <row r="80" spans="1:24" s="226" customFormat="1" ht="13.5">
      <c r="A80" s="891"/>
      <c r="B80" s="891"/>
      <c r="C80" s="891"/>
      <c r="D80" s="523" t="s">
        <v>504</v>
      </c>
      <c r="E80" s="630" t="s">
        <v>517</v>
      </c>
      <c r="F80" s="517" t="s">
        <v>518</v>
      </c>
      <c r="G80" s="631" t="s">
        <v>519</v>
      </c>
      <c r="H80" s="349" t="s">
        <v>354</v>
      </c>
      <c r="I80" s="349" t="s">
        <v>355</v>
      </c>
      <c r="J80" s="418">
        <v>304</v>
      </c>
      <c r="K80" s="414">
        <f>36.072/1000</f>
        <v>0.036072</v>
      </c>
      <c r="L80" s="415" t="s">
        <v>304</v>
      </c>
      <c r="M80" s="23" t="s">
        <v>264</v>
      </c>
      <c r="N80" s="347">
        <f aca="true" t="shared" si="1" ref="N80:N85">SUM(O80,P80)</f>
        <v>161</v>
      </c>
      <c r="O80" s="584">
        <v>51</v>
      </c>
      <c r="P80" s="577">
        <v>110</v>
      </c>
      <c r="Q80" s="23" t="s">
        <v>264</v>
      </c>
      <c r="R80" s="402"/>
      <c r="S80" s="402"/>
      <c r="T80" s="403"/>
      <c r="U80" s="401"/>
      <c r="V80" s="404"/>
      <c r="W80" s="404"/>
      <c r="X80" s="47"/>
    </row>
    <row r="81" spans="1:24" s="226" customFormat="1" ht="13.5">
      <c r="A81" s="891"/>
      <c r="B81" s="891"/>
      <c r="C81" s="891"/>
      <c r="D81" s="523" t="s">
        <v>520</v>
      </c>
      <c r="E81" s="630" t="s">
        <v>521</v>
      </c>
      <c r="F81" s="517" t="s">
        <v>522</v>
      </c>
      <c r="G81" s="631" t="s">
        <v>337</v>
      </c>
      <c r="H81" s="348" t="s">
        <v>336</v>
      </c>
      <c r="I81" s="349" t="s">
        <v>337</v>
      </c>
      <c r="J81" s="418">
        <v>15</v>
      </c>
      <c r="K81" s="414">
        <f>29.4/1000</f>
        <v>0.0294</v>
      </c>
      <c r="L81" s="415" t="s">
        <v>304</v>
      </c>
      <c r="M81" s="23" t="s">
        <v>264</v>
      </c>
      <c r="N81" s="347">
        <f t="shared" si="1"/>
        <v>27.8</v>
      </c>
      <c r="O81" s="598">
        <v>8.8</v>
      </c>
      <c r="P81" s="577">
        <v>19</v>
      </c>
      <c r="Q81" s="23" t="s">
        <v>264</v>
      </c>
      <c r="R81" s="402"/>
      <c r="S81" s="402"/>
      <c r="T81" s="403"/>
      <c r="U81" s="401"/>
      <c r="V81" s="404"/>
      <c r="W81" s="404"/>
      <c r="X81" s="47"/>
    </row>
    <row r="82" spans="1:24" s="226" customFormat="1" ht="13.5">
      <c r="A82" s="891"/>
      <c r="B82" s="891"/>
      <c r="C82" s="891"/>
      <c r="D82" s="644" t="s">
        <v>523</v>
      </c>
      <c r="E82" s="645" t="s">
        <v>535</v>
      </c>
      <c r="F82" s="517" t="s">
        <v>365</v>
      </c>
      <c r="G82" s="631" t="s">
        <v>365</v>
      </c>
      <c r="H82" s="348" t="s">
        <v>384</v>
      </c>
      <c r="I82" s="349" t="s">
        <v>385</v>
      </c>
      <c r="J82" s="418">
        <v>20</v>
      </c>
      <c r="K82" s="419">
        <f>121.8/1000</f>
        <v>0.12179999999999999</v>
      </c>
      <c r="L82" s="420" t="s">
        <v>307</v>
      </c>
      <c r="M82" s="353" t="s">
        <v>308</v>
      </c>
      <c r="N82" s="347">
        <f t="shared" si="1"/>
        <v>90</v>
      </c>
      <c r="O82" s="584">
        <v>27</v>
      </c>
      <c r="P82" s="577">
        <v>63</v>
      </c>
      <c r="Q82" s="23" t="s">
        <v>264</v>
      </c>
      <c r="R82" s="402"/>
      <c r="S82" s="402"/>
      <c r="T82" s="403"/>
      <c r="U82" s="401"/>
      <c r="V82" s="404"/>
      <c r="W82" s="404"/>
      <c r="X82" s="47"/>
    </row>
    <row r="83" spans="1:24" s="226" customFormat="1" ht="13.5">
      <c r="A83" s="891"/>
      <c r="B83" s="891"/>
      <c r="C83" s="891"/>
      <c r="D83" s="632" t="s">
        <v>523</v>
      </c>
      <c r="E83" s="633" t="s">
        <v>524</v>
      </c>
      <c r="F83" s="520" t="s">
        <v>549</v>
      </c>
      <c r="G83" s="634" t="s">
        <v>550</v>
      </c>
      <c r="H83" s="348" t="s">
        <v>381</v>
      </c>
      <c r="I83" s="349" t="s">
        <v>382</v>
      </c>
      <c r="J83" s="418">
        <v>19</v>
      </c>
      <c r="K83" s="414">
        <f>41.5/1000</f>
        <v>0.0415</v>
      </c>
      <c r="L83" s="415" t="s">
        <v>383</v>
      </c>
      <c r="M83" s="23" t="s">
        <v>264</v>
      </c>
      <c r="N83" s="347">
        <f t="shared" si="1"/>
        <v>205</v>
      </c>
      <c r="O83" s="584">
        <v>65</v>
      </c>
      <c r="P83" s="577">
        <v>140</v>
      </c>
      <c r="Q83" s="23" t="s">
        <v>264</v>
      </c>
      <c r="R83" s="402"/>
      <c r="S83" s="402"/>
      <c r="T83" s="403"/>
      <c r="U83" s="401"/>
      <c r="V83" s="404"/>
      <c r="W83" s="404"/>
      <c r="X83" s="47"/>
    </row>
    <row r="84" spans="1:24" s="226" customFormat="1" ht="13.5">
      <c r="A84" s="891"/>
      <c r="B84" s="891"/>
      <c r="C84" s="891"/>
      <c r="D84" s="657" t="s">
        <v>551</v>
      </c>
      <c r="E84" s="658" t="s">
        <v>527</v>
      </c>
      <c r="F84" s="658" t="s">
        <v>528</v>
      </c>
      <c r="G84" s="659" t="s">
        <v>552</v>
      </c>
      <c r="H84" s="436" t="s">
        <v>386</v>
      </c>
      <c r="I84" s="437" t="s">
        <v>387</v>
      </c>
      <c r="J84" s="438">
        <v>10</v>
      </c>
      <c r="K84" s="439">
        <f>31.6/1000</f>
        <v>0.0316</v>
      </c>
      <c r="L84" s="440" t="s">
        <v>312</v>
      </c>
      <c r="M84" s="359" t="s">
        <v>264</v>
      </c>
      <c r="N84" s="358">
        <f t="shared" si="1"/>
        <v>610</v>
      </c>
      <c r="O84" s="586">
        <v>190</v>
      </c>
      <c r="P84" s="578">
        <v>420</v>
      </c>
      <c r="Q84" s="359" t="s">
        <v>264</v>
      </c>
      <c r="R84" s="402"/>
      <c r="S84" s="402"/>
      <c r="T84" s="403"/>
      <c r="U84" s="401"/>
      <c r="V84" s="404"/>
      <c r="W84" s="404"/>
      <c r="X84" s="47"/>
    </row>
    <row r="85" spans="1:24" s="226" customFormat="1" ht="13.5">
      <c r="A85" s="892"/>
      <c r="B85" s="892"/>
      <c r="C85" s="892"/>
      <c r="D85" s="660" t="s">
        <v>536</v>
      </c>
      <c r="E85" s="518" t="s">
        <v>503</v>
      </c>
      <c r="F85" s="518" t="s">
        <v>503</v>
      </c>
      <c r="G85" s="661" t="s">
        <v>503</v>
      </c>
      <c r="H85" s="376" t="s">
        <v>264</v>
      </c>
      <c r="I85" s="377" t="s">
        <v>325</v>
      </c>
      <c r="J85" s="378" t="s">
        <v>264</v>
      </c>
      <c r="K85" s="379">
        <f>757.8/1000</f>
        <v>0.7577999999999999</v>
      </c>
      <c r="L85" s="380" t="s">
        <v>264</v>
      </c>
      <c r="M85" s="382" t="s">
        <v>264</v>
      </c>
      <c r="N85" s="381">
        <f t="shared" si="1"/>
        <v>188</v>
      </c>
      <c r="O85" s="589">
        <v>58</v>
      </c>
      <c r="P85" s="581">
        <v>130</v>
      </c>
      <c r="Q85" s="570" t="s">
        <v>264</v>
      </c>
      <c r="R85" s="402"/>
      <c r="S85" s="402"/>
      <c r="T85" s="403"/>
      <c r="U85" s="401"/>
      <c r="V85" s="404"/>
      <c r="W85" s="404"/>
      <c r="X85" s="47"/>
    </row>
    <row r="86" spans="1:24" s="226" customFormat="1" ht="13.5">
      <c r="A86" s="761"/>
      <c r="B86" s="116"/>
      <c r="C86" s="393"/>
      <c r="D86" s="235"/>
      <c r="E86" s="98"/>
      <c r="F86" s="394"/>
      <c r="G86" s="395"/>
      <c r="H86" s="396"/>
      <c r="I86" s="397"/>
      <c r="J86" s="398"/>
      <c r="K86" s="399"/>
      <c r="L86" s="400"/>
      <c r="M86" s="401"/>
      <c r="N86" s="402"/>
      <c r="O86" s="402"/>
      <c r="P86" s="400"/>
      <c r="Q86" s="401"/>
      <c r="R86" s="402"/>
      <c r="S86" s="402"/>
      <c r="T86" s="403"/>
      <c r="U86" s="401"/>
      <c r="V86" s="404"/>
      <c r="W86" s="404"/>
      <c r="X86" s="47"/>
    </row>
    <row r="87" spans="1:24" s="49" customFormat="1" ht="18" customHeight="1">
      <c r="A87" s="845" t="s">
        <v>1</v>
      </c>
      <c r="B87" s="846"/>
      <c r="C87" s="849" t="s">
        <v>282</v>
      </c>
      <c r="D87" s="851" t="s">
        <v>493</v>
      </c>
      <c r="E87" s="985" t="s">
        <v>494</v>
      </c>
      <c r="F87" s="938" t="s">
        <v>495</v>
      </c>
      <c r="G87" s="936" t="s">
        <v>496</v>
      </c>
      <c r="H87" s="811" t="s">
        <v>497</v>
      </c>
      <c r="I87" s="811" t="s">
        <v>498</v>
      </c>
      <c r="J87" s="978" t="s">
        <v>283</v>
      </c>
      <c r="K87" s="987" t="s">
        <v>284</v>
      </c>
      <c r="L87" s="989" t="s">
        <v>499</v>
      </c>
      <c r="M87" s="990"/>
      <c r="N87" s="917" t="s">
        <v>286</v>
      </c>
      <c r="O87" s="918"/>
      <c r="P87" s="919"/>
      <c r="Q87" s="895" t="s">
        <v>500</v>
      </c>
      <c r="R87" s="47"/>
      <c r="S87" s="47"/>
      <c r="T87" s="47"/>
      <c r="U87" s="47"/>
      <c r="V87" s="47"/>
      <c r="W87" s="47"/>
      <c r="X87" s="47"/>
    </row>
    <row r="88" spans="1:24" s="49" customFormat="1" ht="18" customHeight="1">
      <c r="A88" s="847"/>
      <c r="B88" s="848"/>
      <c r="C88" s="850"/>
      <c r="D88" s="898"/>
      <c r="E88" s="986"/>
      <c r="F88" s="939"/>
      <c r="G88" s="937"/>
      <c r="H88" s="956"/>
      <c r="I88" s="956"/>
      <c r="J88" s="979"/>
      <c r="K88" s="988"/>
      <c r="L88" s="503" t="s">
        <v>285</v>
      </c>
      <c r="M88" s="327" t="s">
        <v>287</v>
      </c>
      <c r="N88" s="504" t="s">
        <v>288</v>
      </c>
      <c r="O88" s="505" t="s">
        <v>289</v>
      </c>
      <c r="P88" s="561" t="s">
        <v>327</v>
      </c>
      <c r="Q88" s="900"/>
      <c r="R88" s="47"/>
      <c r="S88" s="401"/>
      <c r="T88" s="401"/>
      <c r="U88" s="47"/>
      <c r="V88" s="47"/>
      <c r="W88" s="47"/>
      <c r="X88" s="47"/>
    </row>
    <row r="89" spans="1:24" s="226" customFormat="1" ht="13.5" customHeight="1">
      <c r="A89" s="890" t="s">
        <v>348</v>
      </c>
      <c r="B89" s="895" t="s">
        <v>617</v>
      </c>
      <c r="C89" s="849">
        <v>41616</v>
      </c>
      <c r="D89" s="521" t="s">
        <v>502</v>
      </c>
      <c r="E89" s="515" t="s">
        <v>265</v>
      </c>
      <c r="F89" s="515" t="s">
        <v>265</v>
      </c>
      <c r="G89" s="507" t="s">
        <v>265</v>
      </c>
      <c r="H89" s="330" t="s">
        <v>264</v>
      </c>
      <c r="I89" s="331" t="s">
        <v>290</v>
      </c>
      <c r="J89" s="332" t="s">
        <v>264</v>
      </c>
      <c r="K89" s="333">
        <f>67.5054/1000</f>
        <v>0.0675054</v>
      </c>
      <c r="L89" s="334" t="s">
        <v>264</v>
      </c>
      <c r="M89" s="336" t="s">
        <v>264</v>
      </c>
      <c r="N89" s="335">
        <f>SUM(O89,P89)</f>
        <v>1810</v>
      </c>
      <c r="O89" s="583">
        <v>510</v>
      </c>
      <c r="P89" s="576">
        <v>1300</v>
      </c>
      <c r="Q89" s="567" t="s">
        <v>264</v>
      </c>
      <c r="R89" s="548"/>
      <c r="S89" s="548"/>
      <c r="T89" s="843"/>
      <c r="U89" s="843"/>
      <c r="V89" s="843"/>
      <c r="W89" s="843"/>
      <c r="X89" s="538"/>
    </row>
    <row r="90" spans="1:24" s="226" customFormat="1" ht="13.5" customHeight="1">
      <c r="A90" s="893"/>
      <c r="B90" s="899"/>
      <c r="C90" s="901"/>
      <c r="D90" s="627" t="s">
        <v>504</v>
      </c>
      <c r="E90" s="628" t="s">
        <v>505</v>
      </c>
      <c r="F90" s="516" t="s">
        <v>507</v>
      </c>
      <c r="G90" s="629" t="s">
        <v>508</v>
      </c>
      <c r="H90" s="339" t="s">
        <v>292</v>
      </c>
      <c r="I90" s="341" t="s">
        <v>349</v>
      </c>
      <c r="J90" s="940">
        <v>382</v>
      </c>
      <c r="K90" s="975">
        <f>70.541/1000</f>
        <v>0.07054099999999999</v>
      </c>
      <c r="L90" s="930" t="s">
        <v>294</v>
      </c>
      <c r="M90" s="864" t="s">
        <v>264</v>
      </c>
      <c r="N90" s="865">
        <f>SUM(O90,P90)</f>
        <v>800</v>
      </c>
      <c r="O90" s="868">
        <v>240</v>
      </c>
      <c r="P90" s="927">
        <v>560</v>
      </c>
      <c r="Q90" s="864" t="s">
        <v>264</v>
      </c>
      <c r="R90" s="991"/>
      <c r="S90" s="925"/>
      <c r="T90" s="863"/>
      <c r="U90" s="863"/>
      <c r="V90" s="863"/>
      <c r="W90" s="863"/>
      <c r="X90" s="863"/>
    </row>
    <row r="91" spans="1:24" s="226" customFormat="1" ht="13.5">
      <c r="A91" s="893"/>
      <c r="B91" s="899"/>
      <c r="C91" s="901"/>
      <c r="D91" s="627" t="s">
        <v>504</v>
      </c>
      <c r="E91" s="628" t="s">
        <v>505</v>
      </c>
      <c r="F91" s="516" t="s">
        <v>507</v>
      </c>
      <c r="G91" s="629" t="s">
        <v>508</v>
      </c>
      <c r="H91" s="339" t="s">
        <v>295</v>
      </c>
      <c r="I91" s="340" t="s">
        <v>328</v>
      </c>
      <c r="J91" s="942"/>
      <c r="K91" s="976"/>
      <c r="L91" s="932"/>
      <c r="M91" s="908"/>
      <c r="N91" s="924"/>
      <c r="O91" s="916"/>
      <c r="P91" s="929"/>
      <c r="Q91" s="908"/>
      <c r="R91" s="991"/>
      <c r="S91" s="925"/>
      <c r="T91" s="863"/>
      <c r="U91" s="863"/>
      <c r="V91" s="863"/>
      <c r="W91" s="863"/>
      <c r="X91" s="863"/>
    </row>
    <row r="92" spans="1:24" s="226" customFormat="1" ht="13.5">
      <c r="A92" s="893"/>
      <c r="B92" s="899"/>
      <c r="C92" s="901"/>
      <c r="D92" s="627" t="s">
        <v>504</v>
      </c>
      <c r="E92" s="628" t="s">
        <v>505</v>
      </c>
      <c r="F92" s="516" t="s">
        <v>634</v>
      </c>
      <c r="G92" s="526" t="s">
        <v>634</v>
      </c>
      <c r="H92" s="339" t="s">
        <v>350</v>
      </c>
      <c r="I92" s="341" t="s">
        <v>357</v>
      </c>
      <c r="J92" s="940">
        <v>571</v>
      </c>
      <c r="K92" s="975">
        <f>37.532/1000</f>
        <v>0.037531999999999996</v>
      </c>
      <c r="L92" s="930" t="s">
        <v>294</v>
      </c>
      <c r="M92" s="864" t="s">
        <v>264</v>
      </c>
      <c r="N92" s="865">
        <f>SUM(O92,P92)</f>
        <v>32</v>
      </c>
      <c r="O92" s="868">
        <v>10</v>
      </c>
      <c r="P92" s="927">
        <v>22</v>
      </c>
      <c r="Q92" s="864" t="s">
        <v>264</v>
      </c>
      <c r="R92" s="926"/>
      <c r="S92" s="910"/>
      <c r="T92" s="863"/>
      <c r="U92" s="863"/>
      <c r="V92" s="863"/>
      <c r="W92" s="863"/>
      <c r="X92" s="863"/>
    </row>
    <row r="93" spans="1:24" s="226" customFormat="1" ht="13.5">
      <c r="A93" s="893"/>
      <c r="B93" s="899"/>
      <c r="C93" s="901"/>
      <c r="D93" s="627" t="s">
        <v>504</v>
      </c>
      <c r="E93" s="628" t="s">
        <v>505</v>
      </c>
      <c r="F93" s="516" t="s">
        <v>634</v>
      </c>
      <c r="G93" s="367" t="s">
        <v>634</v>
      </c>
      <c r="H93" s="339" t="s">
        <v>358</v>
      </c>
      <c r="I93" s="340" t="s">
        <v>359</v>
      </c>
      <c r="J93" s="942"/>
      <c r="K93" s="976"/>
      <c r="L93" s="932"/>
      <c r="M93" s="908"/>
      <c r="N93" s="924"/>
      <c r="O93" s="916"/>
      <c r="P93" s="929"/>
      <c r="Q93" s="908"/>
      <c r="R93" s="926"/>
      <c r="S93" s="910"/>
      <c r="T93" s="863"/>
      <c r="U93" s="863"/>
      <c r="V93" s="863"/>
      <c r="W93" s="863"/>
      <c r="X93" s="863"/>
    </row>
    <row r="94" spans="1:24" s="226" customFormat="1" ht="13.5">
      <c r="A94" s="893"/>
      <c r="B94" s="899"/>
      <c r="C94" s="901"/>
      <c r="D94" s="627" t="s">
        <v>504</v>
      </c>
      <c r="E94" s="628" t="s">
        <v>505</v>
      </c>
      <c r="F94" s="516" t="s">
        <v>509</v>
      </c>
      <c r="G94" s="629" t="s">
        <v>515</v>
      </c>
      <c r="H94" s="339" t="s">
        <v>302</v>
      </c>
      <c r="I94" s="340" t="s">
        <v>324</v>
      </c>
      <c r="J94" s="940">
        <v>81</v>
      </c>
      <c r="K94" s="975">
        <f>24.994/1000</f>
        <v>0.024994</v>
      </c>
      <c r="L94" s="930" t="s">
        <v>294</v>
      </c>
      <c r="M94" s="864" t="s">
        <v>264</v>
      </c>
      <c r="N94" s="865">
        <f>SUM(O94,P94)</f>
        <v>203</v>
      </c>
      <c r="O94" s="868">
        <v>63</v>
      </c>
      <c r="P94" s="927">
        <v>140</v>
      </c>
      <c r="Q94" s="864" t="s">
        <v>264</v>
      </c>
      <c r="R94" s="926"/>
      <c r="S94" s="925"/>
      <c r="T94" s="863"/>
      <c r="U94" s="863"/>
      <c r="V94" s="863"/>
      <c r="W94" s="863"/>
      <c r="X94" s="863"/>
    </row>
    <row r="95" spans="1:24" s="226" customFormat="1" ht="13.5">
      <c r="A95" s="893"/>
      <c r="B95" s="899"/>
      <c r="C95" s="901"/>
      <c r="D95" s="627" t="s">
        <v>504</v>
      </c>
      <c r="E95" s="628" t="s">
        <v>505</v>
      </c>
      <c r="F95" s="516" t="s">
        <v>509</v>
      </c>
      <c r="G95" s="629" t="s">
        <v>334</v>
      </c>
      <c r="H95" s="339" t="s">
        <v>301</v>
      </c>
      <c r="I95" s="340" t="s">
        <v>334</v>
      </c>
      <c r="J95" s="941"/>
      <c r="K95" s="977"/>
      <c r="L95" s="931"/>
      <c r="M95" s="835"/>
      <c r="N95" s="866"/>
      <c r="O95" s="869"/>
      <c r="P95" s="928"/>
      <c r="Q95" s="835"/>
      <c r="R95" s="926"/>
      <c r="S95" s="925"/>
      <c r="T95" s="863"/>
      <c r="U95" s="863"/>
      <c r="V95" s="863"/>
      <c r="W95" s="863"/>
      <c r="X95" s="863"/>
    </row>
    <row r="96" spans="1:24" s="226" customFormat="1" ht="13.5">
      <c r="A96" s="893"/>
      <c r="B96" s="899"/>
      <c r="C96" s="901"/>
      <c r="D96" s="627" t="s">
        <v>504</v>
      </c>
      <c r="E96" s="628" t="s">
        <v>505</v>
      </c>
      <c r="F96" s="516" t="s">
        <v>509</v>
      </c>
      <c r="G96" s="629" t="s">
        <v>512</v>
      </c>
      <c r="H96" s="339" t="s">
        <v>297</v>
      </c>
      <c r="I96" s="340" t="s">
        <v>330</v>
      </c>
      <c r="J96" s="941"/>
      <c r="K96" s="977"/>
      <c r="L96" s="931"/>
      <c r="M96" s="835"/>
      <c r="N96" s="866"/>
      <c r="O96" s="869"/>
      <c r="P96" s="928"/>
      <c r="Q96" s="835"/>
      <c r="R96" s="926"/>
      <c r="S96" s="925"/>
      <c r="T96" s="863"/>
      <c r="U96" s="863"/>
      <c r="V96" s="863"/>
      <c r="W96" s="863"/>
      <c r="X96" s="863"/>
    </row>
    <row r="97" spans="1:24" s="226" customFormat="1" ht="13.5">
      <c r="A97" s="893"/>
      <c r="B97" s="899"/>
      <c r="C97" s="901"/>
      <c r="D97" s="627" t="s">
        <v>504</v>
      </c>
      <c r="E97" s="628" t="s">
        <v>505</v>
      </c>
      <c r="F97" s="516" t="s">
        <v>509</v>
      </c>
      <c r="G97" s="629" t="s">
        <v>512</v>
      </c>
      <c r="H97" s="339" t="s">
        <v>298</v>
      </c>
      <c r="I97" s="340" t="s">
        <v>331</v>
      </c>
      <c r="J97" s="941"/>
      <c r="K97" s="977"/>
      <c r="L97" s="931"/>
      <c r="M97" s="835"/>
      <c r="N97" s="866"/>
      <c r="O97" s="869"/>
      <c r="P97" s="928"/>
      <c r="Q97" s="835"/>
      <c r="R97" s="926"/>
      <c r="S97" s="925"/>
      <c r="T97" s="863"/>
      <c r="U97" s="863"/>
      <c r="V97" s="863"/>
      <c r="W97" s="863"/>
      <c r="X97" s="863"/>
    </row>
    <row r="98" spans="1:24" s="226" customFormat="1" ht="13.5">
      <c r="A98" s="893"/>
      <c r="B98" s="899"/>
      <c r="C98" s="901"/>
      <c r="D98" s="627" t="s">
        <v>504</v>
      </c>
      <c r="E98" s="628" t="s">
        <v>505</v>
      </c>
      <c r="F98" s="516" t="s">
        <v>509</v>
      </c>
      <c r="G98" s="629" t="s">
        <v>512</v>
      </c>
      <c r="H98" s="339" t="s">
        <v>320</v>
      </c>
      <c r="I98" s="340" t="s">
        <v>351</v>
      </c>
      <c r="J98" s="941"/>
      <c r="K98" s="977"/>
      <c r="L98" s="931"/>
      <c r="M98" s="835"/>
      <c r="N98" s="866"/>
      <c r="O98" s="869"/>
      <c r="P98" s="928"/>
      <c r="Q98" s="835"/>
      <c r="R98" s="926"/>
      <c r="S98" s="925"/>
      <c r="T98" s="863"/>
      <c r="U98" s="863"/>
      <c r="V98" s="863"/>
      <c r="W98" s="863"/>
      <c r="X98" s="863"/>
    </row>
    <row r="99" spans="1:24" s="226" customFormat="1" ht="13.5">
      <c r="A99" s="893"/>
      <c r="B99" s="899"/>
      <c r="C99" s="901"/>
      <c r="D99" s="627" t="s">
        <v>504</v>
      </c>
      <c r="E99" s="628" t="s">
        <v>505</v>
      </c>
      <c r="F99" s="516" t="s">
        <v>509</v>
      </c>
      <c r="G99" s="629" t="s">
        <v>512</v>
      </c>
      <c r="H99" s="339" t="s">
        <v>299</v>
      </c>
      <c r="I99" s="341" t="s">
        <v>321</v>
      </c>
      <c r="J99" s="941"/>
      <c r="K99" s="977"/>
      <c r="L99" s="931"/>
      <c r="M99" s="835"/>
      <c r="N99" s="866"/>
      <c r="O99" s="869"/>
      <c r="P99" s="928"/>
      <c r="Q99" s="835"/>
      <c r="R99" s="926"/>
      <c r="S99" s="925"/>
      <c r="T99" s="863"/>
      <c r="U99" s="863"/>
      <c r="V99" s="863"/>
      <c r="W99" s="863"/>
      <c r="X99" s="863"/>
    </row>
    <row r="100" spans="1:24" s="226" customFormat="1" ht="13.5">
      <c r="A100" s="893"/>
      <c r="B100" s="899"/>
      <c r="C100" s="901"/>
      <c r="D100" s="627" t="s">
        <v>504</v>
      </c>
      <c r="E100" s="628" t="s">
        <v>505</v>
      </c>
      <c r="F100" s="516" t="s">
        <v>509</v>
      </c>
      <c r="G100" s="629" t="s">
        <v>512</v>
      </c>
      <c r="H100" s="339" t="s">
        <v>300</v>
      </c>
      <c r="I100" s="340" t="s">
        <v>333</v>
      </c>
      <c r="J100" s="941"/>
      <c r="K100" s="977"/>
      <c r="L100" s="931"/>
      <c r="M100" s="835"/>
      <c r="N100" s="866"/>
      <c r="O100" s="869"/>
      <c r="P100" s="928"/>
      <c r="Q100" s="835"/>
      <c r="R100" s="926"/>
      <c r="S100" s="925"/>
      <c r="T100" s="863"/>
      <c r="U100" s="863"/>
      <c r="V100" s="863"/>
      <c r="W100" s="863"/>
      <c r="X100" s="863"/>
    </row>
    <row r="101" spans="1:24" s="226" customFormat="1" ht="13.5">
      <c r="A101" s="893"/>
      <c r="B101" s="899"/>
      <c r="C101" s="901"/>
      <c r="D101" s="627" t="s">
        <v>504</v>
      </c>
      <c r="E101" s="628" t="s">
        <v>505</v>
      </c>
      <c r="F101" s="516" t="s">
        <v>509</v>
      </c>
      <c r="G101" s="629" t="s">
        <v>512</v>
      </c>
      <c r="H101" s="339" t="s">
        <v>352</v>
      </c>
      <c r="I101" s="340" t="s">
        <v>353</v>
      </c>
      <c r="J101" s="941"/>
      <c r="K101" s="977"/>
      <c r="L101" s="931"/>
      <c r="M101" s="835"/>
      <c r="N101" s="866"/>
      <c r="O101" s="869"/>
      <c r="P101" s="928"/>
      <c r="Q101" s="835"/>
      <c r="R101" s="926"/>
      <c r="S101" s="925"/>
      <c r="T101" s="863"/>
      <c r="U101" s="863"/>
      <c r="V101" s="863"/>
      <c r="W101" s="863"/>
      <c r="X101" s="863"/>
    </row>
    <row r="102" spans="1:24" s="226" customFormat="1" ht="13.5">
      <c r="A102" s="893"/>
      <c r="B102" s="899"/>
      <c r="C102" s="901"/>
      <c r="D102" s="627" t="s">
        <v>504</v>
      </c>
      <c r="E102" s="628" t="s">
        <v>505</v>
      </c>
      <c r="F102" s="516" t="s">
        <v>509</v>
      </c>
      <c r="G102" s="522" t="s">
        <v>510</v>
      </c>
      <c r="H102" s="339" t="s">
        <v>296</v>
      </c>
      <c r="I102" s="340" t="s">
        <v>329</v>
      </c>
      <c r="J102" s="942"/>
      <c r="K102" s="976"/>
      <c r="L102" s="932"/>
      <c r="M102" s="908"/>
      <c r="N102" s="924"/>
      <c r="O102" s="916"/>
      <c r="P102" s="929"/>
      <c r="Q102" s="908"/>
      <c r="R102" s="926"/>
      <c r="S102" s="925"/>
      <c r="T102" s="863"/>
      <c r="U102" s="863"/>
      <c r="V102" s="863"/>
      <c r="W102" s="863"/>
      <c r="X102" s="863"/>
    </row>
    <row r="103" spans="1:24" s="226" customFormat="1" ht="13.5">
      <c r="A103" s="893"/>
      <c r="B103" s="899"/>
      <c r="C103" s="901"/>
      <c r="D103" s="523" t="s">
        <v>504</v>
      </c>
      <c r="E103" s="649" t="s">
        <v>517</v>
      </c>
      <c r="F103" s="650" t="s">
        <v>518</v>
      </c>
      <c r="G103" s="651" t="s">
        <v>537</v>
      </c>
      <c r="H103" s="349" t="s">
        <v>354</v>
      </c>
      <c r="I103" s="349" t="s">
        <v>355</v>
      </c>
      <c r="J103" s="413">
        <v>277</v>
      </c>
      <c r="K103" s="414">
        <f>45.346/1000</f>
        <v>0.045346</v>
      </c>
      <c r="L103" s="415" t="s">
        <v>304</v>
      </c>
      <c r="M103" s="23" t="s">
        <v>264</v>
      </c>
      <c r="N103" s="347">
        <f aca="true" t="shared" si="2" ref="N103:N108">SUM(O103,P103)</f>
        <v>360</v>
      </c>
      <c r="O103" s="584">
        <v>110</v>
      </c>
      <c r="P103" s="577">
        <v>250</v>
      </c>
      <c r="Q103" s="23" t="s">
        <v>264</v>
      </c>
      <c r="R103" s="549"/>
      <c r="S103" s="549"/>
      <c r="T103" s="844"/>
      <c r="U103" s="844"/>
      <c r="V103" s="844"/>
      <c r="W103" s="844"/>
      <c r="X103" s="401"/>
    </row>
    <row r="104" spans="1:24" s="226" customFormat="1" ht="13.5">
      <c r="A104" s="893"/>
      <c r="B104" s="899"/>
      <c r="C104" s="901"/>
      <c r="D104" s="652" t="s">
        <v>504</v>
      </c>
      <c r="E104" s="645" t="s">
        <v>517</v>
      </c>
      <c r="F104" s="645" t="s">
        <v>518</v>
      </c>
      <c r="G104" s="535" t="s">
        <v>538</v>
      </c>
      <c r="H104" s="416" t="s">
        <v>360</v>
      </c>
      <c r="I104" s="417" t="s">
        <v>361</v>
      </c>
      <c r="J104" s="418">
        <v>16</v>
      </c>
      <c r="K104" s="419">
        <f>125.7/1000</f>
        <v>0.1257</v>
      </c>
      <c r="L104" s="415" t="s">
        <v>304</v>
      </c>
      <c r="M104" s="23" t="s">
        <v>264</v>
      </c>
      <c r="N104" s="347">
        <f t="shared" si="2"/>
        <v>306</v>
      </c>
      <c r="O104" s="584">
        <v>96</v>
      </c>
      <c r="P104" s="577">
        <v>210</v>
      </c>
      <c r="Q104" s="23" t="s">
        <v>264</v>
      </c>
      <c r="R104" s="402"/>
      <c r="S104" s="550"/>
      <c r="T104" s="844"/>
      <c r="U104" s="844"/>
      <c r="V104" s="844"/>
      <c r="W104" s="844"/>
      <c r="X104" s="401"/>
    </row>
    <row r="105" spans="1:24" s="226" customFormat="1" ht="13.5">
      <c r="A105" s="893"/>
      <c r="B105" s="899"/>
      <c r="C105" s="901"/>
      <c r="D105" s="644" t="s">
        <v>523</v>
      </c>
      <c r="E105" s="645" t="s">
        <v>535</v>
      </c>
      <c r="F105" s="517" t="s">
        <v>365</v>
      </c>
      <c r="G105" s="631" t="s">
        <v>365</v>
      </c>
      <c r="H105" s="416" t="s">
        <v>362</v>
      </c>
      <c r="I105" s="417" t="s">
        <v>363</v>
      </c>
      <c r="J105" s="418">
        <v>6</v>
      </c>
      <c r="K105" s="419">
        <f>306.4/1000</f>
        <v>0.30639999999999995</v>
      </c>
      <c r="L105" s="420" t="s">
        <v>356</v>
      </c>
      <c r="M105" s="375" t="s">
        <v>308</v>
      </c>
      <c r="N105" s="347">
        <f>SUM(O105,P105)</f>
        <v>254</v>
      </c>
      <c r="O105" s="584">
        <v>74</v>
      </c>
      <c r="P105" s="577">
        <v>180</v>
      </c>
      <c r="Q105" s="23" t="s">
        <v>264</v>
      </c>
      <c r="R105" s="402"/>
      <c r="S105" s="550"/>
      <c r="T105" s="401"/>
      <c r="U105" s="391"/>
      <c r="V105" s="391"/>
      <c r="W105" s="391"/>
      <c r="X105" s="401"/>
    </row>
    <row r="106" spans="1:24" s="226" customFormat="1" ht="13.5">
      <c r="A106" s="893"/>
      <c r="B106" s="899"/>
      <c r="C106" s="901"/>
      <c r="D106" s="644" t="s">
        <v>523</v>
      </c>
      <c r="E106" s="645" t="s">
        <v>535</v>
      </c>
      <c r="F106" s="517" t="s">
        <v>365</v>
      </c>
      <c r="G106" s="631" t="s">
        <v>365</v>
      </c>
      <c r="H106" s="416" t="s">
        <v>364</v>
      </c>
      <c r="I106" s="417" t="s">
        <v>365</v>
      </c>
      <c r="J106" s="418">
        <v>5</v>
      </c>
      <c r="K106" s="419">
        <f>360.5/1000</f>
        <v>0.3605</v>
      </c>
      <c r="L106" s="420" t="s">
        <v>310</v>
      </c>
      <c r="M106" s="375" t="s">
        <v>308</v>
      </c>
      <c r="N106" s="347">
        <f>SUM(O106,P106)</f>
        <v>217</v>
      </c>
      <c r="O106" s="584">
        <v>67</v>
      </c>
      <c r="P106" s="577">
        <v>150</v>
      </c>
      <c r="Q106" s="23" t="s">
        <v>264</v>
      </c>
      <c r="R106" s="402"/>
      <c r="S106" s="550"/>
      <c r="T106" s="401"/>
      <c r="U106" s="391"/>
      <c r="V106" s="391"/>
      <c r="W106" s="391"/>
      <c r="X106" s="401"/>
    </row>
    <row r="107" spans="1:24" s="226" customFormat="1" ht="13.5">
      <c r="A107" s="893"/>
      <c r="B107" s="899"/>
      <c r="C107" s="901"/>
      <c r="D107" s="632" t="s">
        <v>523</v>
      </c>
      <c r="E107" s="633" t="s">
        <v>524</v>
      </c>
      <c r="F107" s="520" t="s">
        <v>365</v>
      </c>
      <c r="G107" s="653" t="s">
        <v>365</v>
      </c>
      <c r="H107" s="416" t="s">
        <v>345</v>
      </c>
      <c r="I107" s="417" t="s">
        <v>342</v>
      </c>
      <c r="J107" s="418">
        <v>55</v>
      </c>
      <c r="K107" s="419">
        <f>157.2/1000</f>
        <v>0.15719999999999998</v>
      </c>
      <c r="L107" s="420" t="s">
        <v>310</v>
      </c>
      <c r="M107" s="353" t="s">
        <v>308</v>
      </c>
      <c r="N107" s="347">
        <f t="shared" si="2"/>
        <v>197</v>
      </c>
      <c r="O107" s="584">
        <v>57</v>
      </c>
      <c r="P107" s="577">
        <v>140</v>
      </c>
      <c r="Q107" s="23" t="s">
        <v>264</v>
      </c>
      <c r="R107" s="402"/>
      <c r="S107" s="402"/>
      <c r="T107" s="844"/>
      <c r="U107" s="844"/>
      <c r="V107" s="844"/>
      <c r="W107" s="844"/>
      <c r="X107" s="528"/>
    </row>
    <row r="108" spans="1:24" s="226" customFormat="1" ht="13.5">
      <c r="A108" s="894"/>
      <c r="B108" s="900"/>
      <c r="C108" s="850"/>
      <c r="D108" s="525" t="s">
        <v>536</v>
      </c>
      <c r="E108" s="646" t="s">
        <v>539</v>
      </c>
      <c r="F108" s="647" t="s">
        <v>539</v>
      </c>
      <c r="G108" s="648" t="s">
        <v>539</v>
      </c>
      <c r="H108" s="376" t="s">
        <v>264</v>
      </c>
      <c r="I108" s="377" t="s">
        <v>325</v>
      </c>
      <c r="J108" s="378" t="s">
        <v>264</v>
      </c>
      <c r="K108" s="379">
        <f>554.2/1000</f>
        <v>0.5542</v>
      </c>
      <c r="L108" s="380" t="s">
        <v>264</v>
      </c>
      <c r="M108" s="382" t="s">
        <v>264</v>
      </c>
      <c r="N108" s="381">
        <f t="shared" si="2"/>
        <v>400</v>
      </c>
      <c r="O108" s="589">
        <v>120</v>
      </c>
      <c r="P108" s="581">
        <v>280</v>
      </c>
      <c r="Q108" s="570" t="s">
        <v>264</v>
      </c>
      <c r="R108" s="551"/>
      <c r="S108" s="551"/>
      <c r="T108" s="905"/>
      <c r="U108" s="905"/>
      <c r="V108" s="905"/>
      <c r="W108" s="905"/>
      <c r="X108" s="547"/>
    </row>
    <row r="109" spans="1:24" s="226" customFormat="1" ht="13.5">
      <c r="A109" s="761"/>
      <c r="B109" s="116"/>
      <c r="C109" s="393"/>
      <c r="D109" s="235"/>
      <c r="E109" s="98"/>
      <c r="F109" s="394"/>
      <c r="G109" s="395"/>
      <c r="H109" s="396"/>
      <c r="I109" s="397"/>
      <c r="J109" s="398"/>
      <c r="K109" s="399"/>
      <c r="L109" s="400"/>
      <c r="M109" s="401"/>
      <c r="N109" s="402"/>
      <c r="O109" s="402"/>
      <c r="P109" s="400"/>
      <c r="Q109" s="401"/>
      <c r="R109" s="402"/>
      <c r="S109" s="402"/>
      <c r="T109" s="403"/>
      <c r="U109" s="401"/>
      <c r="V109" s="404"/>
      <c r="W109" s="404"/>
      <c r="X109" s="47"/>
    </row>
    <row r="110" spans="1:24" s="49" customFormat="1" ht="18" customHeight="1">
      <c r="A110" s="845" t="s">
        <v>1</v>
      </c>
      <c r="B110" s="846"/>
      <c r="C110" s="849" t="s">
        <v>282</v>
      </c>
      <c r="D110" s="851" t="s">
        <v>493</v>
      </c>
      <c r="E110" s="853" t="s">
        <v>494</v>
      </c>
      <c r="F110" s="855" t="s">
        <v>495</v>
      </c>
      <c r="G110" s="855" t="s">
        <v>496</v>
      </c>
      <c r="H110" s="857" t="s">
        <v>497</v>
      </c>
      <c r="I110" s="857" t="s">
        <v>498</v>
      </c>
      <c r="J110" s="906" t="s">
        <v>283</v>
      </c>
      <c r="K110" s="922" t="s">
        <v>284</v>
      </c>
      <c r="L110" s="921" t="s">
        <v>499</v>
      </c>
      <c r="M110" s="921"/>
      <c r="N110" s="917" t="s">
        <v>286</v>
      </c>
      <c r="O110" s="920"/>
      <c r="P110" s="920"/>
      <c r="Q110" s="911" t="s">
        <v>500</v>
      </c>
      <c r="R110" s="47"/>
      <c r="S110" s="47"/>
      <c r="T110" s="47"/>
      <c r="U110" s="47"/>
      <c r="V110" s="47"/>
      <c r="W110" s="47"/>
      <c r="X110" s="47"/>
    </row>
    <row r="111" spans="1:24" s="49" customFormat="1" ht="18" customHeight="1">
      <c r="A111" s="847"/>
      <c r="B111" s="848"/>
      <c r="C111" s="850"/>
      <c r="D111" s="852"/>
      <c r="E111" s="854"/>
      <c r="F111" s="856"/>
      <c r="G111" s="856"/>
      <c r="H111" s="858"/>
      <c r="I111" s="858"/>
      <c r="J111" s="907"/>
      <c r="K111" s="923"/>
      <c r="L111" s="503" t="s">
        <v>285</v>
      </c>
      <c r="M111" s="327" t="s">
        <v>287</v>
      </c>
      <c r="N111" s="504" t="s">
        <v>288</v>
      </c>
      <c r="O111" s="505" t="s">
        <v>289</v>
      </c>
      <c r="P111" s="561" t="s">
        <v>327</v>
      </c>
      <c r="Q111" s="858"/>
      <c r="R111" s="47"/>
      <c r="S111" s="401"/>
      <c r="T111" s="401"/>
      <c r="U111" s="47"/>
      <c r="V111" s="47"/>
      <c r="W111" s="47"/>
      <c r="X111" s="47"/>
    </row>
    <row r="112" spans="1:24" s="226" customFormat="1" ht="13.5" customHeight="1">
      <c r="A112" s="890" t="s">
        <v>388</v>
      </c>
      <c r="B112" s="811" t="s">
        <v>619</v>
      </c>
      <c r="C112" s="849">
        <v>41620</v>
      </c>
      <c r="D112" s="521" t="s">
        <v>502</v>
      </c>
      <c r="E112" s="515" t="s">
        <v>503</v>
      </c>
      <c r="F112" s="515" t="s">
        <v>503</v>
      </c>
      <c r="G112" s="507" t="s">
        <v>503</v>
      </c>
      <c r="H112" s="330" t="s">
        <v>264</v>
      </c>
      <c r="I112" s="331" t="s">
        <v>290</v>
      </c>
      <c r="J112" s="421" t="s">
        <v>264</v>
      </c>
      <c r="K112" s="422">
        <f>75.2883/1000</f>
        <v>0.0752883</v>
      </c>
      <c r="L112" s="423" t="s">
        <v>264</v>
      </c>
      <c r="M112" s="326" t="s">
        <v>264</v>
      </c>
      <c r="N112" s="424">
        <f>SUM(O112,P112)</f>
        <v>5600</v>
      </c>
      <c r="O112" s="595">
        <v>1700</v>
      </c>
      <c r="P112" s="593">
        <v>3900</v>
      </c>
      <c r="Q112" s="568" t="s">
        <v>264</v>
      </c>
      <c r="R112" s="537"/>
      <c r="S112" s="537"/>
      <c r="T112" s="843"/>
      <c r="U112" s="844"/>
      <c r="V112" s="844"/>
      <c r="W112" s="844"/>
      <c r="X112" s="538"/>
    </row>
    <row r="113" spans="1:24" s="226" customFormat="1" ht="13.5">
      <c r="A113" s="891"/>
      <c r="B113" s="891"/>
      <c r="C113" s="891"/>
      <c r="D113" s="722" t="s">
        <v>636</v>
      </c>
      <c r="E113" s="722" t="s">
        <v>603</v>
      </c>
      <c r="F113" s="722" t="s">
        <v>635</v>
      </c>
      <c r="G113" s="531" t="s">
        <v>635</v>
      </c>
      <c r="H113" s="432" t="s">
        <v>369</v>
      </c>
      <c r="I113" s="433" t="s">
        <v>370</v>
      </c>
      <c r="J113" s="427" t="s">
        <v>264</v>
      </c>
      <c r="K113" s="441">
        <f>300.7/1000</f>
        <v>0.30069999999999997</v>
      </c>
      <c r="L113" s="429" t="s">
        <v>264</v>
      </c>
      <c r="M113" s="431" t="s">
        <v>264</v>
      </c>
      <c r="N113" s="435">
        <f>SUM(O113,P113)</f>
        <v>305</v>
      </c>
      <c r="O113" s="597">
        <v>95</v>
      </c>
      <c r="P113" s="594">
        <v>210</v>
      </c>
      <c r="Q113" s="431" t="s">
        <v>264</v>
      </c>
      <c r="R113" s="552"/>
      <c r="S113" s="552"/>
      <c r="T113" s="843"/>
      <c r="U113" s="844"/>
      <c r="V113" s="844"/>
      <c r="W113" s="844"/>
      <c r="X113" s="538"/>
    </row>
    <row r="114" spans="1:24" s="226" customFormat="1" ht="13.5" customHeight="1">
      <c r="A114" s="891"/>
      <c r="B114" s="891"/>
      <c r="C114" s="891"/>
      <c r="D114" s="627" t="s">
        <v>504</v>
      </c>
      <c r="E114" s="628" t="s">
        <v>505</v>
      </c>
      <c r="F114" s="516" t="s">
        <v>506</v>
      </c>
      <c r="G114" s="629" t="s">
        <v>349</v>
      </c>
      <c r="H114" s="339" t="s">
        <v>292</v>
      </c>
      <c r="I114" s="341" t="s">
        <v>349</v>
      </c>
      <c r="J114" s="940">
        <v>138</v>
      </c>
      <c r="K114" s="975">
        <f>22.96/1000</f>
        <v>0.02296</v>
      </c>
      <c r="L114" s="930" t="s">
        <v>294</v>
      </c>
      <c r="M114" s="912" t="s">
        <v>264</v>
      </c>
      <c r="N114" s="944">
        <f>SUM(O114,P114)</f>
        <v>1430</v>
      </c>
      <c r="O114" s="879">
        <v>430</v>
      </c>
      <c r="P114" s="914">
        <v>1000</v>
      </c>
      <c r="Q114" s="912" t="s">
        <v>264</v>
      </c>
      <c r="R114" s="925"/>
      <c r="S114" s="925"/>
      <c r="T114" s="863"/>
      <c r="U114" s="933"/>
      <c r="V114" s="933"/>
      <c r="W114" s="933"/>
      <c r="X114" s="863"/>
    </row>
    <row r="115" spans="1:24" s="226" customFormat="1" ht="13.5">
      <c r="A115" s="891"/>
      <c r="B115" s="891"/>
      <c r="C115" s="891"/>
      <c r="D115" s="627" t="s">
        <v>504</v>
      </c>
      <c r="E115" s="628" t="s">
        <v>505</v>
      </c>
      <c r="F115" s="516" t="s">
        <v>506</v>
      </c>
      <c r="G115" s="629" t="s">
        <v>349</v>
      </c>
      <c r="H115" s="339" t="s">
        <v>295</v>
      </c>
      <c r="I115" s="340" t="s">
        <v>328</v>
      </c>
      <c r="J115" s="943"/>
      <c r="K115" s="943"/>
      <c r="L115" s="943"/>
      <c r="M115" s="912"/>
      <c r="N115" s="913"/>
      <c r="O115" s="879"/>
      <c r="P115" s="914"/>
      <c r="Q115" s="913"/>
      <c r="R115" s="925"/>
      <c r="S115" s="925"/>
      <c r="T115" s="933"/>
      <c r="U115" s="933"/>
      <c r="V115" s="933"/>
      <c r="W115" s="933"/>
      <c r="X115" s="863"/>
    </row>
    <row r="116" spans="1:24" s="226" customFormat="1" ht="13.5">
      <c r="A116" s="891"/>
      <c r="B116" s="891"/>
      <c r="C116" s="891"/>
      <c r="D116" s="627" t="s">
        <v>504</v>
      </c>
      <c r="E116" s="628" t="s">
        <v>505</v>
      </c>
      <c r="F116" s="642" t="s">
        <v>531</v>
      </c>
      <c r="G116" s="643" t="s">
        <v>531</v>
      </c>
      <c r="H116" s="337" t="s">
        <v>344</v>
      </c>
      <c r="I116" s="338" t="s">
        <v>319</v>
      </c>
      <c r="J116" s="940">
        <v>45</v>
      </c>
      <c r="K116" s="934">
        <f>23.226/1000</f>
        <v>0.023226</v>
      </c>
      <c r="L116" s="930" t="s">
        <v>294</v>
      </c>
      <c r="M116" s="864" t="s">
        <v>264</v>
      </c>
      <c r="N116" s="865">
        <f>SUM(O116,P116)</f>
        <v>295</v>
      </c>
      <c r="O116" s="868">
        <v>85</v>
      </c>
      <c r="P116" s="882">
        <v>210</v>
      </c>
      <c r="Q116" s="864" t="s">
        <v>264</v>
      </c>
      <c r="R116" s="925"/>
      <c r="S116" s="925"/>
      <c r="T116" s="863"/>
      <c r="U116" s="884"/>
      <c r="V116" s="884"/>
      <c r="W116" s="884"/>
      <c r="X116" s="863"/>
    </row>
    <row r="117" spans="1:24" s="226" customFormat="1" ht="13.5">
      <c r="A117" s="891"/>
      <c r="B117" s="891"/>
      <c r="C117" s="891"/>
      <c r="D117" s="627" t="s">
        <v>504</v>
      </c>
      <c r="E117" s="628" t="s">
        <v>505</v>
      </c>
      <c r="F117" s="516" t="s">
        <v>531</v>
      </c>
      <c r="G117" s="641" t="s">
        <v>531</v>
      </c>
      <c r="H117" s="337" t="s">
        <v>317</v>
      </c>
      <c r="I117" s="373" t="s">
        <v>318</v>
      </c>
      <c r="J117" s="941"/>
      <c r="K117" s="935"/>
      <c r="L117" s="931"/>
      <c r="M117" s="835"/>
      <c r="N117" s="866"/>
      <c r="O117" s="869"/>
      <c r="P117" s="883"/>
      <c r="Q117" s="835"/>
      <c r="R117" s="925"/>
      <c r="S117" s="925"/>
      <c r="T117" s="863"/>
      <c r="U117" s="884"/>
      <c r="V117" s="884"/>
      <c r="W117" s="884"/>
      <c r="X117" s="863"/>
    </row>
    <row r="118" spans="1:24" s="226" customFormat="1" ht="13.5">
      <c r="A118" s="891"/>
      <c r="B118" s="891"/>
      <c r="C118" s="891"/>
      <c r="D118" s="627" t="s">
        <v>504</v>
      </c>
      <c r="E118" s="628" t="s">
        <v>505</v>
      </c>
      <c r="F118" s="516" t="s">
        <v>547</v>
      </c>
      <c r="G118" s="629" t="s">
        <v>548</v>
      </c>
      <c r="H118" s="339" t="s">
        <v>302</v>
      </c>
      <c r="I118" s="340" t="s">
        <v>324</v>
      </c>
      <c r="J118" s="940">
        <v>114</v>
      </c>
      <c r="K118" s="975">
        <f>32.079/1000</f>
        <v>0.032079</v>
      </c>
      <c r="L118" s="930" t="s">
        <v>294</v>
      </c>
      <c r="M118" s="864" t="s">
        <v>264</v>
      </c>
      <c r="N118" s="865">
        <f>SUM(O118,P118)</f>
        <v>700</v>
      </c>
      <c r="O118" s="868">
        <v>210</v>
      </c>
      <c r="P118" s="882">
        <v>490</v>
      </c>
      <c r="Q118" s="864" t="s">
        <v>264</v>
      </c>
      <c r="R118" s="925"/>
      <c r="S118" s="925"/>
      <c r="T118" s="863"/>
      <c r="U118" s="862"/>
      <c r="V118" s="862"/>
      <c r="W118" s="862"/>
      <c r="X118" s="863"/>
    </row>
    <row r="119" spans="1:24" s="226" customFormat="1" ht="13.5">
      <c r="A119" s="891"/>
      <c r="B119" s="891"/>
      <c r="C119" s="891"/>
      <c r="D119" s="627" t="s">
        <v>504</v>
      </c>
      <c r="E119" s="628" t="s">
        <v>505</v>
      </c>
      <c r="F119" s="516" t="s">
        <v>544</v>
      </c>
      <c r="G119" s="629" t="s">
        <v>545</v>
      </c>
      <c r="H119" s="339" t="s">
        <v>297</v>
      </c>
      <c r="I119" s="340" t="s">
        <v>330</v>
      </c>
      <c r="J119" s="891"/>
      <c r="K119" s="891"/>
      <c r="L119" s="891"/>
      <c r="M119" s="835"/>
      <c r="N119" s="867"/>
      <c r="O119" s="869"/>
      <c r="P119" s="883"/>
      <c r="Q119" s="867"/>
      <c r="R119" s="925"/>
      <c r="S119" s="925"/>
      <c r="T119" s="862"/>
      <c r="U119" s="862"/>
      <c r="V119" s="862"/>
      <c r="W119" s="862"/>
      <c r="X119" s="863"/>
    </row>
    <row r="120" spans="1:24" s="226" customFormat="1" ht="13.5">
      <c r="A120" s="891"/>
      <c r="B120" s="891"/>
      <c r="C120" s="891"/>
      <c r="D120" s="627" t="s">
        <v>504</v>
      </c>
      <c r="E120" s="628" t="s">
        <v>505</v>
      </c>
      <c r="F120" s="516" t="s">
        <v>509</v>
      </c>
      <c r="G120" s="629" t="s">
        <v>512</v>
      </c>
      <c r="H120" s="339" t="s">
        <v>298</v>
      </c>
      <c r="I120" s="340" t="s">
        <v>331</v>
      </c>
      <c r="J120" s="891"/>
      <c r="K120" s="891"/>
      <c r="L120" s="891"/>
      <c r="M120" s="835"/>
      <c r="N120" s="867"/>
      <c r="O120" s="869"/>
      <c r="P120" s="883"/>
      <c r="Q120" s="867"/>
      <c r="R120" s="925"/>
      <c r="S120" s="925"/>
      <c r="T120" s="862"/>
      <c r="U120" s="862"/>
      <c r="V120" s="862"/>
      <c r="W120" s="862"/>
      <c r="X120" s="863"/>
    </row>
    <row r="121" spans="1:24" s="226" customFormat="1" ht="13.5">
      <c r="A121" s="891"/>
      <c r="B121" s="891"/>
      <c r="C121" s="891"/>
      <c r="D121" s="627" t="s">
        <v>504</v>
      </c>
      <c r="E121" s="628" t="s">
        <v>505</v>
      </c>
      <c r="F121" s="516" t="s">
        <v>509</v>
      </c>
      <c r="G121" s="629" t="s">
        <v>512</v>
      </c>
      <c r="H121" s="339" t="s">
        <v>320</v>
      </c>
      <c r="I121" s="340" t="s">
        <v>332</v>
      </c>
      <c r="J121" s="891"/>
      <c r="K121" s="891"/>
      <c r="L121" s="891"/>
      <c r="M121" s="835"/>
      <c r="N121" s="867"/>
      <c r="O121" s="869"/>
      <c r="P121" s="883"/>
      <c r="Q121" s="867"/>
      <c r="R121" s="925"/>
      <c r="S121" s="925"/>
      <c r="T121" s="862"/>
      <c r="U121" s="862"/>
      <c r="V121" s="862"/>
      <c r="W121" s="862"/>
      <c r="X121" s="863"/>
    </row>
    <row r="122" spans="1:24" s="226" customFormat="1" ht="13.5">
      <c r="A122" s="891"/>
      <c r="B122" s="891"/>
      <c r="C122" s="891"/>
      <c r="D122" s="627" t="s">
        <v>504</v>
      </c>
      <c r="E122" s="628" t="s">
        <v>505</v>
      </c>
      <c r="F122" s="516" t="s">
        <v>511</v>
      </c>
      <c r="G122" s="629" t="s">
        <v>513</v>
      </c>
      <c r="H122" s="339" t="s">
        <v>375</v>
      </c>
      <c r="I122" s="340" t="s">
        <v>376</v>
      </c>
      <c r="J122" s="891"/>
      <c r="K122" s="891"/>
      <c r="L122" s="891"/>
      <c r="M122" s="835"/>
      <c r="N122" s="867"/>
      <c r="O122" s="869"/>
      <c r="P122" s="883"/>
      <c r="Q122" s="867"/>
      <c r="R122" s="925"/>
      <c r="S122" s="925"/>
      <c r="T122" s="862"/>
      <c r="U122" s="862"/>
      <c r="V122" s="862"/>
      <c r="W122" s="862"/>
      <c r="X122" s="863"/>
    </row>
    <row r="123" spans="1:24" s="226" customFormat="1" ht="13.5">
      <c r="A123" s="891"/>
      <c r="B123" s="891"/>
      <c r="C123" s="891"/>
      <c r="D123" s="627" t="s">
        <v>504</v>
      </c>
      <c r="E123" s="628" t="s">
        <v>505</v>
      </c>
      <c r="F123" s="516" t="s">
        <v>511</v>
      </c>
      <c r="G123" s="629" t="s">
        <v>513</v>
      </c>
      <c r="H123" s="339" t="s">
        <v>299</v>
      </c>
      <c r="I123" s="340" t="s">
        <v>321</v>
      </c>
      <c r="J123" s="891"/>
      <c r="K123" s="891"/>
      <c r="L123" s="891"/>
      <c r="M123" s="835"/>
      <c r="N123" s="867"/>
      <c r="O123" s="869"/>
      <c r="P123" s="883"/>
      <c r="Q123" s="867"/>
      <c r="R123" s="925"/>
      <c r="S123" s="925"/>
      <c r="T123" s="862"/>
      <c r="U123" s="862"/>
      <c r="V123" s="862"/>
      <c r="W123" s="862"/>
      <c r="X123" s="863"/>
    </row>
    <row r="124" spans="1:24" s="226" customFormat="1" ht="13.5">
      <c r="A124" s="891"/>
      <c r="B124" s="891"/>
      <c r="C124" s="891"/>
      <c r="D124" s="627" t="s">
        <v>504</v>
      </c>
      <c r="E124" s="628" t="s">
        <v>505</v>
      </c>
      <c r="F124" s="516" t="s">
        <v>511</v>
      </c>
      <c r="G124" s="629" t="s">
        <v>513</v>
      </c>
      <c r="H124" s="339" t="s">
        <v>300</v>
      </c>
      <c r="I124" s="340" t="s">
        <v>333</v>
      </c>
      <c r="J124" s="891"/>
      <c r="K124" s="891"/>
      <c r="L124" s="891"/>
      <c r="M124" s="835"/>
      <c r="N124" s="867"/>
      <c r="O124" s="869"/>
      <c r="P124" s="883"/>
      <c r="Q124" s="867"/>
      <c r="R124" s="925"/>
      <c r="S124" s="925"/>
      <c r="T124" s="862"/>
      <c r="U124" s="862"/>
      <c r="V124" s="862"/>
      <c r="W124" s="862"/>
      <c r="X124" s="863"/>
    </row>
    <row r="125" spans="1:24" s="226" customFormat="1" ht="13.5">
      <c r="A125" s="891"/>
      <c r="B125" s="891"/>
      <c r="C125" s="891"/>
      <c r="D125" s="627" t="s">
        <v>504</v>
      </c>
      <c r="E125" s="628" t="s">
        <v>505</v>
      </c>
      <c r="F125" s="516" t="s">
        <v>511</v>
      </c>
      <c r="G125" s="629" t="s">
        <v>513</v>
      </c>
      <c r="H125" s="339" t="s">
        <v>352</v>
      </c>
      <c r="I125" s="340" t="s">
        <v>353</v>
      </c>
      <c r="J125" s="891"/>
      <c r="K125" s="891"/>
      <c r="L125" s="891"/>
      <c r="M125" s="835"/>
      <c r="N125" s="867"/>
      <c r="O125" s="869"/>
      <c r="P125" s="883"/>
      <c r="Q125" s="867"/>
      <c r="R125" s="925"/>
      <c r="S125" s="925"/>
      <c r="T125" s="862"/>
      <c r="U125" s="862"/>
      <c r="V125" s="862"/>
      <c r="W125" s="862"/>
      <c r="X125" s="863"/>
    </row>
    <row r="126" spans="1:24" s="226" customFormat="1" ht="13.5">
      <c r="A126" s="891"/>
      <c r="B126" s="891"/>
      <c r="C126" s="891"/>
      <c r="D126" s="627" t="s">
        <v>504</v>
      </c>
      <c r="E126" s="628" t="s">
        <v>505</v>
      </c>
      <c r="F126" s="516" t="s">
        <v>509</v>
      </c>
      <c r="G126" s="629" t="s">
        <v>512</v>
      </c>
      <c r="H126" s="339" t="s">
        <v>301</v>
      </c>
      <c r="I126" s="340" t="s">
        <v>333</v>
      </c>
      <c r="J126" s="891"/>
      <c r="K126" s="891"/>
      <c r="L126" s="891"/>
      <c r="M126" s="835"/>
      <c r="N126" s="867"/>
      <c r="O126" s="869"/>
      <c r="P126" s="883"/>
      <c r="Q126" s="867"/>
      <c r="R126" s="925"/>
      <c r="S126" s="925"/>
      <c r="T126" s="862"/>
      <c r="U126" s="862"/>
      <c r="V126" s="862"/>
      <c r="W126" s="862"/>
      <c r="X126" s="863"/>
    </row>
    <row r="127" spans="1:24" s="226" customFormat="1" ht="13.5">
      <c r="A127" s="891"/>
      <c r="B127" s="891"/>
      <c r="C127" s="891"/>
      <c r="D127" s="627" t="s">
        <v>504</v>
      </c>
      <c r="E127" s="628" t="s">
        <v>505</v>
      </c>
      <c r="F127" s="516" t="s">
        <v>546</v>
      </c>
      <c r="G127" s="367" t="s">
        <v>546</v>
      </c>
      <c r="H127" s="339" t="s">
        <v>379</v>
      </c>
      <c r="I127" s="340" t="s">
        <v>380</v>
      </c>
      <c r="J127" s="891"/>
      <c r="K127" s="891"/>
      <c r="L127" s="891"/>
      <c r="M127" s="835"/>
      <c r="N127" s="867"/>
      <c r="O127" s="869"/>
      <c r="P127" s="883"/>
      <c r="Q127" s="867"/>
      <c r="R127" s="925"/>
      <c r="S127" s="925"/>
      <c r="T127" s="862"/>
      <c r="U127" s="862"/>
      <c r="V127" s="862"/>
      <c r="W127" s="862"/>
      <c r="X127" s="863"/>
    </row>
    <row r="128" spans="1:24" s="226" customFormat="1" ht="13.5">
      <c r="A128" s="891"/>
      <c r="B128" s="891"/>
      <c r="C128" s="891"/>
      <c r="D128" s="627" t="s">
        <v>504</v>
      </c>
      <c r="E128" s="628" t="s">
        <v>505</v>
      </c>
      <c r="F128" s="516" t="s">
        <v>509</v>
      </c>
      <c r="G128" s="522" t="s">
        <v>510</v>
      </c>
      <c r="H128" s="339" t="s">
        <v>371</v>
      </c>
      <c r="I128" s="340" t="s">
        <v>372</v>
      </c>
      <c r="J128" s="943"/>
      <c r="K128" s="943"/>
      <c r="L128" s="943"/>
      <c r="M128" s="908"/>
      <c r="N128" s="909"/>
      <c r="O128" s="916"/>
      <c r="P128" s="915"/>
      <c r="Q128" s="909"/>
      <c r="R128" s="925"/>
      <c r="S128" s="925"/>
      <c r="T128" s="862"/>
      <c r="U128" s="862"/>
      <c r="V128" s="862"/>
      <c r="W128" s="862"/>
      <c r="X128" s="863"/>
    </row>
    <row r="129" spans="1:24" s="226" customFormat="1" ht="13.5">
      <c r="A129" s="891"/>
      <c r="B129" s="891"/>
      <c r="C129" s="891"/>
      <c r="D129" s="523" t="s">
        <v>504</v>
      </c>
      <c r="E129" s="630" t="s">
        <v>517</v>
      </c>
      <c r="F129" s="517" t="s">
        <v>518</v>
      </c>
      <c r="G129" s="631" t="s">
        <v>519</v>
      </c>
      <c r="H129" s="349" t="s">
        <v>354</v>
      </c>
      <c r="I129" s="349" t="s">
        <v>355</v>
      </c>
      <c r="J129" s="344">
        <v>173</v>
      </c>
      <c r="K129" s="350">
        <f>38.884/1000</f>
        <v>0.038884</v>
      </c>
      <c r="L129" s="346" t="s">
        <v>304</v>
      </c>
      <c r="M129" s="23" t="s">
        <v>264</v>
      </c>
      <c r="N129" s="347">
        <f>SUM(O129,P129)</f>
        <v>1220</v>
      </c>
      <c r="O129" s="584">
        <v>380</v>
      </c>
      <c r="P129" s="577">
        <v>840</v>
      </c>
      <c r="Q129" s="23" t="s">
        <v>264</v>
      </c>
      <c r="R129" s="549"/>
      <c r="S129" s="549"/>
      <c r="T129" s="844"/>
      <c r="U129" s="862"/>
      <c r="V129" s="862"/>
      <c r="W129" s="862"/>
      <c r="X129" s="401"/>
    </row>
    <row r="130" spans="1:24" s="226" customFormat="1" ht="13.5">
      <c r="A130" s="891"/>
      <c r="B130" s="891"/>
      <c r="C130" s="891"/>
      <c r="D130" s="644" t="s">
        <v>523</v>
      </c>
      <c r="E130" s="645" t="s">
        <v>535</v>
      </c>
      <c r="F130" s="517" t="s">
        <v>526</v>
      </c>
      <c r="G130" s="631" t="s">
        <v>526</v>
      </c>
      <c r="H130" s="416" t="s">
        <v>345</v>
      </c>
      <c r="I130" s="417" t="s">
        <v>342</v>
      </c>
      <c r="J130" s="418">
        <v>14</v>
      </c>
      <c r="K130" s="414">
        <f>20.4/1000</f>
        <v>0.020399999999999998</v>
      </c>
      <c r="L130" s="420" t="s">
        <v>390</v>
      </c>
      <c r="M130" s="353" t="s">
        <v>308</v>
      </c>
      <c r="N130" s="347">
        <f>SUM(O130,P130)</f>
        <v>930</v>
      </c>
      <c r="O130" s="584">
        <v>280</v>
      </c>
      <c r="P130" s="577">
        <v>650</v>
      </c>
      <c r="Q130" s="23" t="s">
        <v>264</v>
      </c>
      <c r="R130" s="549"/>
      <c r="S130" s="549"/>
      <c r="T130" s="401"/>
      <c r="U130" s="391"/>
      <c r="V130" s="391"/>
      <c r="W130" s="391"/>
      <c r="X130" s="401"/>
    </row>
    <row r="131" spans="1:24" s="226" customFormat="1" ht="13.5">
      <c r="A131" s="891"/>
      <c r="B131" s="891"/>
      <c r="C131" s="891"/>
      <c r="D131" s="524" t="s">
        <v>523</v>
      </c>
      <c r="E131" s="520" t="s">
        <v>535</v>
      </c>
      <c r="F131" s="536" t="s">
        <v>553</v>
      </c>
      <c r="G131" s="662" t="s">
        <v>554</v>
      </c>
      <c r="H131" s="348" t="s">
        <v>391</v>
      </c>
      <c r="I131" s="349" t="s">
        <v>389</v>
      </c>
      <c r="J131" s="344">
        <v>10</v>
      </c>
      <c r="K131" s="350">
        <f>46/1000</f>
        <v>0.046</v>
      </c>
      <c r="L131" s="346" t="s">
        <v>383</v>
      </c>
      <c r="M131" s="23" t="s">
        <v>264</v>
      </c>
      <c r="N131" s="347">
        <f>SUM(O131,P131)</f>
        <v>2250</v>
      </c>
      <c r="O131" s="584">
        <v>650</v>
      </c>
      <c r="P131" s="577">
        <v>1600</v>
      </c>
      <c r="Q131" s="23" t="s">
        <v>264</v>
      </c>
      <c r="R131" s="549"/>
      <c r="S131" s="549"/>
      <c r="T131" s="844"/>
      <c r="U131" s="862"/>
      <c r="V131" s="862"/>
      <c r="W131" s="862"/>
      <c r="X131" s="401"/>
    </row>
    <row r="132" spans="1:24" s="226" customFormat="1" ht="13.5">
      <c r="A132" s="892"/>
      <c r="B132" s="892"/>
      <c r="C132" s="892"/>
      <c r="D132" s="660" t="s">
        <v>536</v>
      </c>
      <c r="E132" s="518" t="s">
        <v>503</v>
      </c>
      <c r="F132" s="518" t="s">
        <v>503</v>
      </c>
      <c r="G132" s="661" t="s">
        <v>503</v>
      </c>
      <c r="H132" s="376" t="s">
        <v>264</v>
      </c>
      <c r="I132" s="377" t="s">
        <v>325</v>
      </c>
      <c r="J132" s="378" t="s">
        <v>264</v>
      </c>
      <c r="K132" s="379">
        <f>430.3/1000</f>
        <v>0.4303</v>
      </c>
      <c r="L132" s="380" t="s">
        <v>264</v>
      </c>
      <c r="M132" s="382" t="s">
        <v>264</v>
      </c>
      <c r="N132" s="381">
        <f>SUM(O132,P132)</f>
        <v>880</v>
      </c>
      <c r="O132" s="589">
        <v>260</v>
      </c>
      <c r="P132" s="581">
        <v>620</v>
      </c>
      <c r="Q132" s="570" t="s">
        <v>264</v>
      </c>
      <c r="R132" s="551"/>
      <c r="S132" s="551"/>
      <c r="T132" s="905"/>
      <c r="U132" s="844"/>
      <c r="V132" s="844"/>
      <c r="W132" s="844"/>
      <c r="X132" s="547"/>
    </row>
    <row r="133" spans="1:24" s="226" customFormat="1" ht="13.5">
      <c r="A133" s="761"/>
      <c r="B133" s="116"/>
      <c r="C133" s="393"/>
      <c r="D133" s="235"/>
      <c r="E133" s="98"/>
      <c r="F133" s="394"/>
      <c r="G133" s="395"/>
      <c r="H133" s="396"/>
      <c r="I133" s="397"/>
      <c r="J133" s="398"/>
      <c r="K133" s="399"/>
      <c r="L133" s="400"/>
      <c r="M133" s="401"/>
      <c r="N133" s="402"/>
      <c r="O133" s="402"/>
      <c r="P133" s="400"/>
      <c r="Q133" s="401"/>
      <c r="R133" s="402"/>
      <c r="S133" s="402"/>
      <c r="T133" s="403"/>
      <c r="U133" s="401"/>
      <c r="V133" s="404"/>
      <c r="W133" s="404"/>
      <c r="X133" s="47"/>
    </row>
    <row r="134" spans="1:24" s="49" customFormat="1" ht="18" customHeight="1">
      <c r="A134" s="845" t="s">
        <v>1</v>
      </c>
      <c r="B134" s="846"/>
      <c r="C134" s="849" t="s">
        <v>282</v>
      </c>
      <c r="D134" s="851" t="s">
        <v>493</v>
      </c>
      <c r="E134" s="853" t="s">
        <v>494</v>
      </c>
      <c r="F134" s="855" t="s">
        <v>495</v>
      </c>
      <c r="G134" s="855" t="s">
        <v>496</v>
      </c>
      <c r="H134" s="857" t="s">
        <v>497</v>
      </c>
      <c r="I134" s="857" t="s">
        <v>498</v>
      </c>
      <c r="J134" s="906" t="s">
        <v>283</v>
      </c>
      <c r="K134" s="922" t="s">
        <v>284</v>
      </c>
      <c r="L134" s="921" t="s">
        <v>499</v>
      </c>
      <c r="M134" s="921"/>
      <c r="N134" s="917" t="s">
        <v>286</v>
      </c>
      <c r="O134" s="920"/>
      <c r="P134" s="920"/>
      <c r="Q134" s="911" t="s">
        <v>500</v>
      </c>
      <c r="R134" s="47"/>
      <c r="S134" s="47"/>
      <c r="T134" s="47"/>
      <c r="U134" s="47"/>
      <c r="V134" s="47"/>
      <c r="W134" s="47"/>
      <c r="X134" s="47"/>
    </row>
    <row r="135" spans="1:24" s="49" customFormat="1" ht="18" customHeight="1">
      <c r="A135" s="847"/>
      <c r="B135" s="848"/>
      <c r="C135" s="850"/>
      <c r="D135" s="852"/>
      <c r="E135" s="854"/>
      <c r="F135" s="856"/>
      <c r="G135" s="856"/>
      <c r="H135" s="858"/>
      <c r="I135" s="858"/>
      <c r="J135" s="907"/>
      <c r="K135" s="923"/>
      <c r="L135" s="503" t="s">
        <v>285</v>
      </c>
      <c r="M135" s="327" t="s">
        <v>287</v>
      </c>
      <c r="N135" s="504" t="s">
        <v>288</v>
      </c>
      <c r="O135" s="505" t="s">
        <v>18</v>
      </c>
      <c r="P135" s="561" t="s">
        <v>19</v>
      </c>
      <c r="Q135" s="858"/>
      <c r="R135" s="47"/>
      <c r="S135" s="401"/>
      <c r="T135" s="401"/>
      <c r="U135" s="47"/>
      <c r="V135" s="47"/>
      <c r="W135" s="47"/>
      <c r="X135" s="47"/>
    </row>
    <row r="136" spans="1:24" s="49" customFormat="1" ht="18" customHeight="1">
      <c r="A136" s="890" t="s">
        <v>427</v>
      </c>
      <c r="B136" s="895" t="s">
        <v>625</v>
      </c>
      <c r="C136" s="849">
        <v>41617</v>
      </c>
      <c r="D136" s="732" t="s">
        <v>523</v>
      </c>
      <c r="E136" s="709" t="s">
        <v>524</v>
      </c>
      <c r="F136" s="733" t="s">
        <v>567</v>
      </c>
      <c r="G136" s="710" t="s">
        <v>567</v>
      </c>
      <c r="H136" s="472" t="s">
        <v>420</v>
      </c>
      <c r="I136" s="473" t="s">
        <v>421</v>
      </c>
      <c r="J136" s="474">
        <v>308</v>
      </c>
      <c r="K136" s="734">
        <f>870.9/1000</f>
        <v>0.8709</v>
      </c>
      <c r="L136" s="476" t="s">
        <v>383</v>
      </c>
      <c r="M136" s="21" t="s">
        <v>264</v>
      </c>
      <c r="N136" s="735">
        <f aca="true" t="shared" si="3" ref="N136:N142">SUM(O136,P136)</f>
        <v>60</v>
      </c>
      <c r="O136" s="736">
        <v>17</v>
      </c>
      <c r="P136" s="737">
        <v>43</v>
      </c>
      <c r="Q136" s="21" t="s">
        <v>264</v>
      </c>
      <c r="R136" s="47"/>
      <c r="S136" s="401"/>
      <c r="T136" s="401"/>
      <c r="U136" s="47"/>
      <c r="V136" s="47"/>
      <c r="W136" s="47"/>
      <c r="X136" s="47"/>
    </row>
    <row r="137" spans="1:24" s="49" customFormat="1" ht="18" customHeight="1">
      <c r="A137" s="891"/>
      <c r="B137" s="877"/>
      <c r="C137" s="877"/>
      <c r="D137" s="677" t="s">
        <v>523</v>
      </c>
      <c r="E137" s="678" t="s">
        <v>524</v>
      </c>
      <c r="F137" s="536" t="s">
        <v>525</v>
      </c>
      <c r="G137" s="535" t="s">
        <v>525</v>
      </c>
      <c r="H137" s="496" t="s">
        <v>437</v>
      </c>
      <c r="I137" s="723" t="s">
        <v>438</v>
      </c>
      <c r="J137" s="724">
        <v>1</v>
      </c>
      <c r="K137" s="725">
        <f>2599.9/1000</f>
        <v>2.5999</v>
      </c>
      <c r="L137" s="726" t="s">
        <v>326</v>
      </c>
      <c r="M137" s="727" t="s">
        <v>411</v>
      </c>
      <c r="N137" s="728">
        <f t="shared" si="3"/>
        <v>1430</v>
      </c>
      <c r="O137" s="729">
        <v>430</v>
      </c>
      <c r="P137" s="730">
        <v>1000</v>
      </c>
      <c r="Q137" s="731">
        <v>0.88</v>
      </c>
      <c r="R137" s="47"/>
      <c r="S137" s="401"/>
      <c r="T137" s="401"/>
      <c r="U137" s="47"/>
      <c r="V137" s="47"/>
      <c r="W137" s="47"/>
      <c r="X137" s="47"/>
    </row>
    <row r="138" spans="1:24" s="49" customFormat="1" ht="18" customHeight="1">
      <c r="A138" s="891"/>
      <c r="B138" s="878"/>
      <c r="C138" s="877"/>
      <c r="D138" s="719" t="s">
        <v>523</v>
      </c>
      <c r="E138" s="720" t="s">
        <v>524</v>
      </c>
      <c r="F138" s="683" t="s">
        <v>576</v>
      </c>
      <c r="G138" s="721" t="s">
        <v>566</v>
      </c>
      <c r="H138" s="384" t="s">
        <v>418</v>
      </c>
      <c r="I138" s="385" t="s">
        <v>419</v>
      </c>
      <c r="J138" s="386">
        <v>2</v>
      </c>
      <c r="K138" s="387">
        <f>1258.8/1000</f>
        <v>1.2588</v>
      </c>
      <c r="L138" s="388" t="s">
        <v>356</v>
      </c>
      <c r="M138" s="390" t="s">
        <v>411</v>
      </c>
      <c r="N138" s="389">
        <f t="shared" si="3"/>
        <v>1050</v>
      </c>
      <c r="O138" s="590">
        <v>310</v>
      </c>
      <c r="P138" s="582">
        <v>740</v>
      </c>
      <c r="Q138" s="383" t="s">
        <v>264</v>
      </c>
      <c r="R138" s="47"/>
      <c r="S138" s="401"/>
      <c r="T138" s="401"/>
      <c r="U138" s="47"/>
      <c r="V138" s="47"/>
      <c r="W138" s="47"/>
      <c r="X138" s="47"/>
    </row>
    <row r="139" spans="1:24" s="226" customFormat="1" ht="13.5" customHeight="1">
      <c r="A139" s="891"/>
      <c r="B139" s="811" t="s">
        <v>624</v>
      </c>
      <c r="C139" s="877"/>
      <c r="D139" s="654" t="s">
        <v>502</v>
      </c>
      <c r="E139" s="666" t="s">
        <v>265</v>
      </c>
      <c r="F139" s="667" t="s">
        <v>265</v>
      </c>
      <c r="G139" s="668" t="s">
        <v>265</v>
      </c>
      <c r="H139" s="334" t="s">
        <v>264</v>
      </c>
      <c r="I139" s="467" t="s">
        <v>290</v>
      </c>
      <c r="J139" s="468" t="s">
        <v>264</v>
      </c>
      <c r="K139" s="333">
        <f>45.8381/1000</f>
        <v>0.0458381</v>
      </c>
      <c r="L139" s="334" t="s">
        <v>264</v>
      </c>
      <c r="M139" s="336" t="s">
        <v>264</v>
      </c>
      <c r="N139" s="469">
        <f t="shared" si="3"/>
        <v>620</v>
      </c>
      <c r="O139" s="617">
        <v>190</v>
      </c>
      <c r="P139" s="616">
        <v>430</v>
      </c>
      <c r="Q139" s="326" t="s">
        <v>264</v>
      </c>
      <c r="R139" s="554"/>
      <c r="S139" s="552"/>
      <c r="T139" s="948"/>
      <c r="U139" s="952"/>
      <c r="V139" s="952"/>
      <c r="W139" s="952"/>
      <c r="X139" s="538"/>
    </row>
    <row r="140" spans="1:24" s="226" customFormat="1" ht="13.5">
      <c r="A140" s="891"/>
      <c r="B140" s="877"/>
      <c r="C140" s="877"/>
      <c r="D140" s="654" t="s">
        <v>502</v>
      </c>
      <c r="E140" s="666" t="s">
        <v>265</v>
      </c>
      <c r="F140" s="667" t="s">
        <v>265</v>
      </c>
      <c r="G140" s="668" t="s">
        <v>265</v>
      </c>
      <c r="H140" s="454" t="s">
        <v>264</v>
      </c>
      <c r="I140" s="470" t="s">
        <v>428</v>
      </c>
      <c r="J140" s="452" t="s">
        <v>264</v>
      </c>
      <c r="K140" s="428">
        <f>47.4302/1000</f>
        <v>0.0474302</v>
      </c>
      <c r="L140" s="429" t="s">
        <v>264</v>
      </c>
      <c r="M140" s="431" t="s">
        <v>264</v>
      </c>
      <c r="N140" s="615">
        <f t="shared" si="3"/>
        <v>56</v>
      </c>
      <c r="O140" s="597">
        <v>16</v>
      </c>
      <c r="P140" s="594">
        <v>40</v>
      </c>
      <c r="Q140" s="431" t="s">
        <v>264</v>
      </c>
      <c r="R140" s="555"/>
      <c r="S140" s="555"/>
      <c r="T140" s="948"/>
      <c r="U140" s="952"/>
      <c r="V140" s="952"/>
      <c r="W140" s="952"/>
      <c r="X140" s="538"/>
    </row>
    <row r="141" spans="1:24" s="226" customFormat="1" ht="13.5" customHeight="1">
      <c r="A141" s="891"/>
      <c r="B141" s="877"/>
      <c r="C141" s="877"/>
      <c r="D141" s="627" t="s">
        <v>504</v>
      </c>
      <c r="E141" s="628" t="s">
        <v>505</v>
      </c>
      <c r="F141" s="642" t="s">
        <v>556</v>
      </c>
      <c r="G141" s="641" t="s">
        <v>556</v>
      </c>
      <c r="H141" s="339" t="s">
        <v>317</v>
      </c>
      <c r="I141" s="340" t="s">
        <v>318</v>
      </c>
      <c r="J141" s="442">
        <v>54</v>
      </c>
      <c r="K141" s="443">
        <f>29.301/1000</f>
        <v>0.029300999999999997</v>
      </c>
      <c r="L141" s="370" t="s">
        <v>294</v>
      </c>
      <c r="M141" s="372" t="s">
        <v>264</v>
      </c>
      <c r="N141" s="371">
        <f t="shared" si="3"/>
        <v>71</v>
      </c>
      <c r="O141" s="592">
        <v>21</v>
      </c>
      <c r="P141" s="591">
        <v>50</v>
      </c>
      <c r="Q141" s="663" t="s">
        <v>264</v>
      </c>
      <c r="R141" s="545"/>
      <c r="S141" s="545"/>
      <c r="T141" s="863"/>
      <c r="U141" s="884"/>
      <c r="V141" s="884"/>
      <c r="W141" s="884"/>
      <c r="X141" s="530"/>
    </row>
    <row r="142" spans="1:24" s="226" customFormat="1" ht="13.5">
      <c r="A142" s="891"/>
      <c r="B142" s="877"/>
      <c r="C142" s="877"/>
      <c r="D142" s="627" t="s">
        <v>504</v>
      </c>
      <c r="E142" s="628" t="s">
        <v>505</v>
      </c>
      <c r="F142" s="516" t="s">
        <v>573</v>
      </c>
      <c r="G142" s="629" t="s">
        <v>575</v>
      </c>
      <c r="H142" s="339" t="s">
        <v>302</v>
      </c>
      <c r="I142" s="340" t="s">
        <v>324</v>
      </c>
      <c r="J142" s="940">
        <v>129</v>
      </c>
      <c r="K142" s="975">
        <f>54.735/1000</f>
        <v>0.054735</v>
      </c>
      <c r="L142" s="930" t="s">
        <v>294</v>
      </c>
      <c r="M142" s="864" t="s">
        <v>264</v>
      </c>
      <c r="N142" s="865">
        <f t="shared" si="3"/>
        <v>86</v>
      </c>
      <c r="O142" s="868">
        <v>26</v>
      </c>
      <c r="P142" s="882">
        <v>60</v>
      </c>
      <c r="Q142" s="864" t="s">
        <v>264</v>
      </c>
      <c r="R142" s="910"/>
      <c r="S142" s="910"/>
      <c r="T142" s="863"/>
      <c r="U142" s="884"/>
      <c r="V142" s="884"/>
      <c r="W142" s="884"/>
      <c r="X142" s="863"/>
    </row>
    <row r="143" spans="1:24" s="226" customFormat="1" ht="13.5">
      <c r="A143" s="891"/>
      <c r="B143" s="877"/>
      <c r="C143" s="877"/>
      <c r="D143" s="627" t="s">
        <v>504</v>
      </c>
      <c r="E143" s="628" t="s">
        <v>505</v>
      </c>
      <c r="F143" s="516" t="s">
        <v>509</v>
      </c>
      <c r="G143" s="629" t="s">
        <v>334</v>
      </c>
      <c r="H143" s="339" t="s">
        <v>301</v>
      </c>
      <c r="I143" s="340" t="s">
        <v>334</v>
      </c>
      <c r="J143" s="891"/>
      <c r="K143" s="891"/>
      <c r="L143" s="891"/>
      <c r="M143" s="835"/>
      <c r="N143" s="866"/>
      <c r="O143" s="869"/>
      <c r="P143" s="883"/>
      <c r="Q143" s="835"/>
      <c r="R143" s="910"/>
      <c r="S143" s="910"/>
      <c r="T143" s="884"/>
      <c r="U143" s="884"/>
      <c r="V143" s="884"/>
      <c r="W143" s="884"/>
      <c r="X143" s="863"/>
    </row>
    <row r="144" spans="1:24" s="226" customFormat="1" ht="13.5" customHeight="1">
      <c r="A144" s="891"/>
      <c r="B144" s="877"/>
      <c r="C144" s="877"/>
      <c r="D144" s="627" t="s">
        <v>504</v>
      </c>
      <c r="E144" s="628" t="s">
        <v>505</v>
      </c>
      <c r="F144" s="516" t="s">
        <v>573</v>
      </c>
      <c r="G144" s="629" t="s">
        <v>574</v>
      </c>
      <c r="H144" s="339" t="s">
        <v>297</v>
      </c>
      <c r="I144" s="340" t="s">
        <v>330</v>
      </c>
      <c r="J144" s="891"/>
      <c r="K144" s="891"/>
      <c r="L144" s="891"/>
      <c r="M144" s="835"/>
      <c r="N144" s="866"/>
      <c r="O144" s="869"/>
      <c r="P144" s="883"/>
      <c r="Q144" s="835"/>
      <c r="R144" s="910"/>
      <c r="S144" s="910"/>
      <c r="T144" s="884"/>
      <c r="U144" s="884"/>
      <c r="V144" s="884"/>
      <c r="W144" s="884"/>
      <c r="X144" s="863"/>
    </row>
    <row r="145" spans="1:24" s="226" customFormat="1" ht="13.5">
      <c r="A145" s="891"/>
      <c r="B145" s="877"/>
      <c r="C145" s="877"/>
      <c r="D145" s="627" t="s">
        <v>504</v>
      </c>
      <c r="E145" s="628" t="s">
        <v>505</v>
      </c>
      <c r="F145" s="516" t="s">
        <v>573</v>
      </c>
      <c r="G145" s="629" t="s">
        <v>574</v>
      </c>
      <c r="H145" s="339" t="s">
        <v>429</v>
      </c>
      <c r="I145" s="340" t="s">
        <v>435</v>
      </c>
      <c r="J145" s="891"/>
      <c r="K145" s="891"/>
      <c r="L145" s="891"/>
      <c r="M145" s="835"/>
      <c r="N145" s="866"/>
      <c r="O145" s="869"/>
      <c r="P145" s="883"/>
      <c r="Q145" s="835"/>
      <c r="R145" s="910"/>
      <c r="S145" s="910"/>
      <c r="T145" s="884"/>
      <c r="U145" s="884"/>
      <c r="V145" s="884"/>
      <c r="W145" s="884"/>
      <c r="X145" s="863"/>
    </row>
    <row r="146" spans="1:24" s="226" customFormat="1" ht="13.5">
      <c r="A146" s="891"/>
      <c r="B146" s="877"/>
      <c r="C146" s="877"/>
      <c r="D146" s="627" t="s">
        <v>504</v>
      </c>
      <c r="E146" s="628" t="s">
        <v>505</v>
      </c>
      <c r="F146" s="516" t="s">
        <v>509</v>
      </c>
      <c r="G146" s="629" t="s">
        <v>512</v>
      </c>
      <c r="H146" s="339" t="s">
        <v>298</v>
      </c>
      <c r="I146" s="340" t="s">
        <v>331</v>
      </c>
      <c r="J146" s="891"/>
      <c r="K146" s="891"/>
      <c r="L146" s="891"/>
      <c r="M146" s="835"/>
      <c r="N146" s="866"/>
      <c r="O146" s="869"/>
      <c r="P146" s="883"/>
      <c r="Q146" s="835"/>
      <c r="R146" s="910"/>
      <c r="S146" s="910"/>
      <c r="T146" s="884"/>
      <c r="U146" s="884"/>
      <c r="V146" s="884"/>
      <c r="W146" s="884"/>
      <c r="X146" s="863"/>
    </row>
    <row r="147" spans="1:24" s="226" customFormat="1" ht="13.5">
      <c r="A147" s="891"/>
      <c r="B147" s="877"/>
      <c r="C147" s="877"/>
      <c r="D147" s="627" t="s">
        <v>504</v>
      </c>
      <c r="E147" s="628" t="s">
        <v>505</v>
      </c>
      <c r="F147" s="516" t="s">
        <v>509</v>
      </c>
      <c r="G147" s="629" t="s">
        <v>512</v>
      </c>
      <c r="H147" s="339" t="s">
        <v>320</v>
      </c>
      <c r="I147" s="340" t="s">
        <v>332</v>
      </c>
      <c r="J147" s="891"/>
      <c r="K147" s="891"/>
      <c r="L147" s="891"/>
      <c r="M147" s="835"/>
      <c r="N147" s="866"/>
      <c r="O147" s="869"/>
      <c r="P147" s="883"/>
      <c r="Q147" s="835"/>
      <c r="R147" s="910"/>
      <c r="S147" s="910"/>
      <c r="T147" s="884"/>
      <c r="U147" s="884"/>
      <c r="V147" s="884"/>
      <c r="W147" s="884"/>
      <c r="X147" s="863"/>
    </row>
    <row r="148" spans="1:24" s="226" customFormat="1" ht="13.5">
      <c r="A148" s="891"/>
      <c r="B148" s="877"/>
      <c r="C148" s="877"/>
      <c r="D148" s="627" t="s">
        <v>504</v>
      </c>
      <c r="E148" s="628" t="s">
        <v>505</v>
      </c>
      <c r="F148" s="516" t="s">
        <v>509</v>
      </c>
      <c r="G148" s="629" t="s">
        <v>512</v>
      </c>
      <c r="H148" s="339" t="s">
        <v>375</v>
      </c>
      <c r="I148" s="340" t="s">
        <v>376</v>
      </c>
      <c r="J148" s="891"/>
      <c r="K148" s="891"/>
      <c r="L148" s="891"/>
      <c r="M148" s="835"/>
      <c r="N148" s="866"/>
      <c r="O148" s="869"/>
      <c r="P148" s="883"/>
      <c r="Q148" s="835"/>
      <c r="R148" s="910"/>
      <c r="S148" s="910"/>
      <c r="T148" s="884"/>
      <c r="U148" s="884"/>
      <c r="V148" s="884"/>
      <c r="W148" s="884"/>
      <c r="X148" s="863"/>
    </row>
    <row r="149" spans="1:24" s="226" customFormat="1" ht="13.5">
      <c r="A149" s="891"/>
      <c r="B149" s="877"/>
      <c r="C149" s="877"/>
      <c r="D149" s="627" t="s">
        <v>504</v>
      </c>
      <c r="E149" s="628" t="s">
        <v>505</v>
      </c>
      <c r="F149" s="516" t="s">
        <v>509</v>
      </c>
      <c r="G149" s="629" t="s">
        <v>512</v>
      </c>
      <c r="H149" s="339" t="s">
        <v>300</v>
      </c>
      <c r="I149" s="340" t="s">
        <v>333</v>
      </c>
      <c r="J149" s="891"/>
      <c r="K149" s="891"/>
      <c r="L149" s="891"/>
      <c r="M149" s="835"/>
      <c r="N149" s="866"/>
      <c r="O149" s="869"/>
      <c r="P149" s="883"/>
      <c r="Q149" s="835"/>
      <c r="R149" s="910"/>
      <c r="S149" s="910"/>
      <c r="T149" s="884"/>
      <c r="U149" s="884"/>
      <c r="V149" s="884"/>
      <c r="W149" s="884"/>
      <c r="X149" s="863"/>
    </row>
    <row r="150" spans="1:24" s="226" customFormat="1" ht="13.5" customHeight="1">
      <c r="A150" s="891"/>
      <c r="B150" s="877"/>
      <c r="C150" s="877"/>
      <c r="D150" s="627" t="s">
        <v>504</v>
      </c>
      <c r="E150" s="628" t="s">
        <v>505</v>
      </c>
      <c r="F150" s="516" t="s">
        <v>509</v>
      </c>
      <c r="G150" s="629" t="s">
        <v>512</v>
      </c>
      <c r="H150" s="339" t="s">
        <v>352</v>
      </c>
      <c r="I150" s="340" t="s">
        <v>353</v>
      </c>
      <c r="J150" s="943"/>
      <c r="K150" s="943"/>
      <c r="L150" s="943"/>
      <c r="M150" s="908"/>
      <c r="N150" s="924"/>
      <c r="O150" s="916"/>
      <c r="P150" s="915"/>
      <c r="Q150" s="908"/>
      <c r="R150" s="910"/>
      <c r="S150" s="910"/>
      <c r="T150" s="884"/>
      <c r="U150" s="884"/>
      <c r="V150" s="884"/>
      <c r="W150" s="884"/>
      <c r="X150" s="863"/>
    </row>
    <row r="151" spans="1:24" s="226" customFormat="1" ht="13.5">
      <c r="A151" s="891"/>
      <c r="B151" s="877"/>
      <c r="C151" s="877"/>
      <c r="D151" s="523" t="s">
        <v>523</v>
      </c>
      <c r="E151" s="630" t="s">
        <v>524</v>
      </c>
      <c r="F151" s="520" t="s">
        <v>560</v>
      </c>
      <c r="G151" s="653" t="s">
        <v>560</v>
      </c>
      <c r="H151" s="348" t="s">
        <v>306</v>
      </c>
      <c r="I151" s="349" t="s">
        <v>432</v>
      </c>
      <c r="J151" s="344">
        <v>18</v>
      </c>
      <c r="K151" s="350">
        <f>17.5/1000</f>
        <v>0.0175</v>
      </c>
      <c r="L151" s="351" t="s">
        <v>390</v>
      </c>
      <c r="M151" s="375" t="s">
        <v>411</v>
      </c>
      <c r="N151" s="347">
        <f>SUM(O151,P151)</f>
        <v>155</v>
      </c>
      <c r="O151" s="584">
        <v>45</v>
      </c>
      <c r="P151" s="577">
        <v>110</v>
      </c>
      <c r="Q151" s="23" t="s">
        <v>264</v>
      </c>
      <c r="R151" s="402"/>
      <c r="S151" s="402"/>
      <c r="T151" s="844"/>
      <c r="U151" s="862"/>
      <c r="V151" s="862"/>
      <c r="W151" s="862"/>
      <c r="X151" s="47"/>
    </row>
    <row r="152" spans="1:24" s="226" customFormat="1" ht="13.5">
      <c r="A152" s="891"/>
      <c r="B152" s="877"/>
      <c r="C152" s="877"/>
      <c r="D152" s="523" t="s">
        <v>523</v>
      </c>
      <c r="E152" s="630" t="s">
        <v>524</v>
      </c>
      <c r="F152" s="520" t="s">
        <v>365</v>
      </c>
      <c r="G152" s="653" t="s">
        <v>365</v>
      </c>
      <c r="H152" s="348" t="s">
        <v>306</v>
      </c>
      <c r="I152" s="349" t="s">
        <v>433</v>
      </c>
      <c r="J152" s="344">
        <v>1</v>
      </c>
      <c r="K152" s="350">
        <f>34.2/1000</f>
        <v>0.0342</v>
      </c>
      <c r="L152" s="351" t="s">
        <v>434</v>
      </c>
      <c r="M152" s="375" t="s">
        <v>291</v>
      </c>
      <c r="N152" s="347">
        <f>SUM(O152,P152)</f>
        <v>169</v>
      </c>
      <c r="O152" s="584">
        <v>49</v>
      </c>
      <c r="P152" s="577">
        <v>120</v>
      </c>
      <c r="Q152" s="23" t="s">
        <v>264</v>
      </c>
      <c r="R152" s="402"/>
      <c r="S152" s="402"/>
      <c r="T152" s="844"/>
      <c r="U152" s="862"/>
      <c r="V152" s="862"/>
      <c r="W152" s="862"/>
      <c r="X152" s="47"/>
    </row>
    <row r="153" spans="1:24" s="226" customFormat="1" ht="13.5">
      <c r="A153" s="891"/>
      <c r="B153" s="877"/>
      <c r="C153" s="877"/>
      <c r="D153" s="632" t="s">
        <v>523</v>
      </c>
      <c r="E153" s="680" t="s">
        <v>524</v>
      </c>
      <c r="F153" s="520" t="s">
        <v>576</v>
      </c>
      <c r="G153" s="653" t="s">
        <v>612</v>
      </c>
      <c r="H153" s="348" t="s">
        <v>430</v>
      </c>
      <c r="I153" s="349" t="s">
        <v>431</v>
      </c>
      <c r="J153" s="344">
        <f>37+34</f>
        <v>71</v>
      </c>
      <c r="K153" s="350">
        <f>(10.714+48.912)/1000</f>
        <v>0.059626</v>
      </c>
      <c r="L153" s="346" t="s">
        <v>383</v>
      </c>
      <c r="M153" s="23" t="s">
        <v>264</v>
      </c>
      <c r="N153" s="347">
        <f>SUM(O153,P153)</f>
        <v>136</v>
      </c>
      <c r="O153" s="584">
        <v>46</v>
      </c>
      <c r="P153" s="577">
        <v>90</v>
      </c>
      <c r="Q153" s="23" t="s">
        <v>264</v>
      </c>
      <c r="R153" s="402"/>
      <c r="S153" s="402"/>
      <c r="T153" s="401"/>
      <c r="U153" s="391"/>
      <c r="V153" s="391"/>
      <c r="W153" s="391"/>
      <c r="X153" s="47"/>
    </row>
    <row r="154" spans="1:24" s="226" customFormat="1" ht="13.5">
      <c r="A154" s="891"/>
      <c r="B154" s="877"/>
      <c r="C154" s="877"/>
      <c r="D154" s="632" t="s">
        <v>523</v>
      </c>
      <c r="E154" s="633" t="s">
        <v>524</v>
      </c>
      <c r="F154" s="536" t="s">
        <v>525</v>
      </c>
      <c r="G154" s="535" t="s">
        <v>525</v>
      </c>
      <c r="H154" s="348" t="s">
        <v>436</v>
      </c>
      <c r="I154" s="349" t="s">
        <v>343</v>
      </c>
      <c r="J154" s="344">
        <v>5</v>
      </c>
      <c r="K154" s="350">
        <f>80.9/1000</f>
        <v>0.0809</v>
      </c>
      <c r="L154" s="351" t="s">
        <v>310</v>
      </c>
      <c r="M154" s="375" t="s">
        <v>291</v>
      </c>
      <c r="N154" s="347">
        <f>SUM(O154,P154)</f>
        <v>169</v>
      </c>
      <c r="O154" s="584">
        <v>49</v>
      </c>
      <c r="P154" s="577">
        <v>120</v>
      </c>
      <c r="Q154" s="23" t="s">
        <v>264</v>
      </c>
      <c r="R154" s="402"/>
      <c r="S154" s="402"/>
      <c r="T154" s="844"/>
      <c r="U154" s="862"/>
      <c r="V154" s="862"/>
      <c r="W154" s="862"/>
      <c r="X154" s="47"/>
    </row>
    <row r="155" spans="1:24" s="226" customFormat="1" ht="13.5">
      <c r="A155" s="892"/>
      <c r="B155" s="878"/>
      <c r="C155" s="878"/>
      <c r="D155" s="660" t="s">
        <v>536</v>
      </c>
      <c r="E155" s="673" t="s">
        <v>555</v>
      </c>
      <c r="F155" s="673" t="s">
        <v>555</v>
      </c>
      <c r="G155" s="674" t="s">
        <v>555</v>
      </c>
      <c r="H155" s="376" t="s">
        <v>264</v>
      </c>
      <c r="I155" s="377" t="s">
        <v>325</v>
      </c>
      <c r="J155" s="378" t="s">
        <v>264</v>
      </c>
      <c r="K155" s="379">
        <f>528.7/1000</f>
        <v>0.5287000000000001</v>
      </c>
      <c r="L155" s="380" t="s">
        <v>264</v>
      </c>
      <c r="M155" s="382" t="s">
        <v>264</v>
      </c>
      <c r="N155" s="381">
        <f>SUM(O155,P155)</f>
        <v>243</v>
      </c>
      <c r="O155" s="589">
        <v>73</v>
      </c>
      <c r="P155" s="581">
        <v>170</v>
      </c>
      <c r="Q155" s="570" t="s">
        <v>264</v>
      </c>
      <c r="R155" s="551"/>
      <c r="S155" s="551"/>
      <c r="T155" s="905"/>
      <c r="U155" s="844"/>
      <c r="V155" s="844"/>
      <c r="W155" s="844"/>
      <c r="X155" s="547"/>
    </row>
    <row r="156" spans="1:24" s="226" customFormat="1" ht="13.5">
      <c r="A156" s="761"/>
      <c r="B156" s="116"/>
      <c r="C156" s="393"/>
      <c r="D156" s="235"/>
      <c r="E156" s="98"/>
      <c r="F156" s="394"/>
      <c r="G156" s="395"/>
      <c r="H156" s="396"/>
      <c r="I156" s="397"/>
      <c r="J156" s="398"/>
      <c r="K156" s="399"/>
      <c r="L156" s="400"/>
      <c r="M156" s="401"/>
      <c r="N156" s="402"/>
      <c r="O156" s="402"/>
      <c r="P156" s="400"/>
      <c r="Q156" s="401"/>
      <c r="R156" s="402"/>
      <c r="S156" s="402"/>
      <c r="T156" s="403"/>
      <c r="U156" s="401"/>
      <c r="V156" s="404"/>
      <c r="W156" s="404"/>
      <c r="X156" s="47"/>
    </row>
    <row r="157" spans="1:24" s="49" customFormat="1" ht="18" customHeight="1">
      <c r="A157" s="845" t="s">
        <v>1</v>
      </c>
      <c r="B157" s="846"/>
      <c r="C157" s="849" t="s">
        <v>282</v>
      </c>
      <c r="D157" s="851" t="s">
        <v>493</v>
      </c>
      <c r="E157" s="853" t="s">
        <v>494</v>
      </c>
      <c r="F157" s="855" t="s">
        <v>495</v>
      </c>
      <c r="G157" s="855" t="s">
        <v>496</v>
      </c>
      <c r="H157" s="857" t="s">
        <v>497</v>
      </c>
      <c r="I157" s="857" t="s">
        <v>498</v>
      </c>
      <c r="J157" s="906" t="s">
        <v>283</v>
      </c>
      <c r="K157" s="922" t="s">
        <v>284</v>
      </c>
      <c r="L157" s="921" t="s">
        <v>499</v>
      </c>
      <c r="M157" s="921"/>
      <c r="N157" s="917" t="s">
        <v>286</v>
      </c>
      <c r="O157" s="920"/>
      <c r="P157" s="920"/>
      <c r="Q157" s="911" t="s">
        <v>500</v>
      </c>
      <c r="R157" s="47"/>
      <c r="S157" s="47"/>
      <c r="T157" s="47"/>
      <c r="U157" s="47"/>
      <c r="V157" s="47"/>
      <c r="W157" s="47"/>
      <c r="X157" s="47"/>
    </row>
    <row r="158" spans="1:24" s="49" customFormat="1" ht="18" customHeight="1">
      <c r="A158" s="847"/>
      <c r="B158" s="848"/>
      <c r="C158" s="850"/>
      <c r="D158" s="852"/>
      <c r="E158" s="854"/>
      <c r="F158" s="856"/>
      <c r="G158" s="856"/>
      <c r="H158" s="858"/>
      <c r="I158" s="858"/>
      <c r="J158" s="907"/>
      <c r="K158" s="923"/>
      <c r="L158" s="503" t="s">
        <v>285</v>
      </c>
      <c r="M158" s="327" t="s">
        <v>287</v>
      </c>
      <c r="N158" s="504" t="s">
        <v>288</v>
      </c>
      <c r="O158" s="505" t="s">
        <v>289</v>
      </c>
      <c r="P158" s="561" t="s">
        <v>327</v>
      </c>
      <c r="Q158" s="858"/>
      <c r="R158" s="47"/>
      <c r="S158" s="401"/>
      <c r="T158" s="401"/>
      <c r="U158" s="47"/>
      <c r="V158" s="47"/>
      <c r="W158" s="47"/>
      <c r="X158" s="47"/>
    </row>
    <row r="159" spans="1:24" s="226" customFormat="1" ht="13.5" customHeight="1">
      <c r="A159" s="890" t="s">
        <v>398</v>
      </c>
      <c r="B159" s="895" t="s">
        <v>621</v>
      </c>
      <c r="C159" s="849">
        <v>41611</v>
      </c>
      <c r="D159" s="521" t="s">
        <v>502</v>
      </c>
      <c r="E159" s="765" t="s">
        <v>555</v>
      </c>
      <c r="F159" s="529" t="s">
        <v>555</v>
      </c>
      <c r="G159" s="766" t="s">
        <v>555</v>
      </c>
      <c r="H159" s="330" t="s">
        <v>264</v>
      </c>
      <c r="I159" s="331" t="s">
        <v>399</v>
      </c>
      <c r="J159" s="421" t="s">
        <v>264</v>
      </c>
      <c r="K159" s="422">
        <f>48.8709/1000</f>
        <v>0.0488709</v>
      </c>
      <c r="L159" s="423" t="s">
        <v>264</v>
      </c>
      <c r="M159" s="326" t="s">
        <v>264</v>
      </c>
      <c r="N159" s="424">
        <f>SUM(O159,P159)</f>
        <v>169</v>
      </c>
      <c r="O159" s="595">
        <v>49</v>
      </c>
      <c r="P159" s="593">
        <v>120</v>
      </c>
      <c r="Q159" s="568" t="s">
        <v>264</v>
      </c>
      <c r="R159" s="537"/>
      <c r="S159" s="537"/>
      <c r="T159" s="843"/>
      <c r="U159" s="844"/>
      <c r="V159" s="844"/>
      <c r="W159" s="844"/>
      <c r="X159" s="538"/>
    </row>
    <row r="160" spans="1:24" s="226" customFormat="1" ht="13.5">
      <c r="A160" s="891"/>
      <c r="B160" s="950"/>
      <c r="C160" s="891"/>
      <c r="D160" s="654" t="s">
        <v>502</v>
      </c>
      <c r="E160" s="666" t="s">
        <v>555</v>
      </c>
      <c r="F160" s="667" t="s">
        <v>555</v>
      </c>
      <c r="G160" s="668" t="s">
        <v>555</v>
      </c>
      <c r="H160" s="425" t="s">
        <v>367</v>
      </c>
      <c r="I160" s="426" t="s">
        <v>368</v>
      </c>
      <c r="J160" s="427" t="s">
        <v>264</v>
      </c>
      <c r="K160" s="428">
        <f>63.9/1000</f>
        <v>0.0639</v>
      </c>
      <c r="L160" s="429" t="s">
        <v>264</v>
      </c>
      <c r="M160" s="431" t="s">
        <v>264</v>
      </c>
      <c r="N160" s="760">
        <f>SUM(O160,P160)</f>
        <v>4.2</v>
      </c>
      <c r="O160" s="604">
        <v>1.2</v>
      </c>
      <c r="P160" s="603">
        <v>3</v>
      </c>
      <c r="Q160" s="569" t="s">
        <v>264</v>
      </c>
      <c r="R160" s="553"/>
      <c r="S160" s="553"/>
      <c r="T160" s="843"/>
      <c r="U160" s="844"/>
      <c r="V160" s="844"/>
      <c r="W160" s="844"/>
      <c r="X160" s="538"/>
    </row>
    <row r="161" spans="1:24" s="226" customFormat="1" ht="13.5">
      <c r="A161" s="891"/>
      <c r="B161" s="950"/>
      <c r="C161" s="891"/>
      <c r="D161" s="654" t="s">
        <v>502</v>
      </c>
      <c r="E161" s="666" t="s">
        <v>555</v>
      </c>
      <c r="F161" s="667" t="s">
        <v>555</v>
      </c>
      <c r="G161" s="668" t="s">
        <v>555</v>
      </c>
      <c r="H161" s="432" t="s">
        <v>400</v>
      </c>
      <c r="I161" s="433" t="s">
        <v>401</v>
      </c>
      <c r="J161" s="452" t="s">
        <v>264</v>
      </c>
      <c r="K161" s="453">
        <f>219.5/1000</f>
        <v>0.2195</v>
      </c>
      <c r="L161" s="454" t="s">
        <v>264</v>
      </c>
      <c r="M161" s="431" t="s">
        <v>264</v>
      </c>
      <c r="N161" s="506">
        <f>SUM(O161,P161)</f>
        <v>54</v>
      </c>
      <c r="O161" s="597">
        <v>16</v>
      </c>
      <c r="P161" s="594">
        <v>38</v>
      </c>
      <c r="Q161" s="571" t="s">
        <v>264</v>
      </c>
      <c r="R161" s="552"/>
      <c r="S161" s="552"/>
      <c r="T161" s="948"/>
      <c r="U161" s="949"/>
      <c r="V161" s="949"/>
      <c r="W161" s="949"/>
      <c r="X161" s="538"/>
    </row>
    <row r="162" spans="1:24" s="226" customFormat="1" ht="13.5">
      <c r="A162" s="891"/>
      <c r="B162" s="950"/>
      <c r="C162" s="891"/>
      <c r="D162" s="523" t="s">
        <v>520</v>
      </c>
      <c r="E162" s="630" t="s">
        <v>521</v>
      </c>
      <c r="F162" s="517" t="s">
        <v>522</v>
      </c>
      <c r="G162" s="631" t="s">
        <v>337</v>
      </c>
      <c r="H162" s="455" t="s">
        <v>336</v>
      </c>
      <c r="I162" s="343" t="s">
        <v>337</v>
      </c>
      <c r="J162" s="444">
        <v>52</v>
      </c>
      <c r="K162" s="445">
        <f>24/1000</f>
        <v>0.024</v>
      </c>
      <c r="L162" s="446" t="s">
        <v>304</v>
      </c>
      <c r="M162" s="23" t="s">
        <v>264</v>
      </c>
      <c r="N162" s="347">
        <f aca="true" t="shared" si="4" ref="N162:N170">SUM(O162,P162)</f>
        <v>17.8</v>
      </c>
      <c r="O162" s="599">
        <v>6.8</v>
      </c>
      <c r="P162" s="577">
        <v>11</v>
      </c>
      <c r="Q162" s="23" t="s">
        <v>264</v>
      </c>
      <c r="R162" s="403"/>
      <c r="S162" s="402"/>
      <c r="T162" s="844"/>
      <c r="U162" s="862"/>
      <c r="V162" s="862"/>
      <c r="W162" s="862"/>
      <c r="X162" s="401"/>
    </row>
    <row r="163" spans="1:24" s="226" customFormat="1" ht="13.5">
      <c r="A163" s="891"/>
      <c r="B163" s="950"/>
      <c r="C163" s="891"/>
      <c r="D163" s="523" t="s">
        <v>523</v>
      </c>
      <c r="E163" s="630" t="s">
        <v>524</v>
      </c>
      <c r="F163" s="672" t="s">
        <v>567</v>
      </c>
      <c r="G163" s="535" t="s">
        <v>567</v>
      </c>
      <c r="H163" s="348" t="s">
        <v>420</v>
      </c>
      <c r="I163" s="349" t="s">
        <v>421</v>
      </c>
      <c r="J163" s="344">
        <v>57</v>
      </c>
      <c r="K163" s="345">
        <f>304.1/1000</f>
        <v>0.30410000000000004</v>
      </c>
      <c r="L163" s="346" t="s">
        <v>383</v>
      </c>
      <c r="M163" s="23" t="s">
        <v>265</v>
      </c>
      <c r="N163" s="347">
        <f>SUM(O163,P163)</f>
        <v>51</v>
      </c>
      <c r="O163" s="584">
        <v>15</v>
      </c>
      <c r="P163" s="577">
        <v>36</v>
      </c>
      <c r="Q163" s="23" t="s">
        <v>264</v>
      </c>
      <c r="R163" s="403"/>
      <c r="S163" s="402"/>
      <c r="T163" s="401"/>
      <c r="U163" s="391"/>
      <c r="V163" s="391"/>
      <c r="W163" s="391"/>
      <c r="X163" s="401"/>
    </row>
    <row r="164" spans="1:24" s="226" customFormat="1" ht="13.5">
      <c r="A164" s="891"/>
      <c r="B164" s="950"/>
      <c r="C164" s="891"/>
      <c r="D164" s="523" t="s">
        <v>523</v>
      </c>
      <c r="E164" s="630" t="s">
        <v>524</v>
      </c>
      <c r="F164" s="517" t="s">
        <v>560</v>
      </c>
      <c r="G164" s="631" t="s">
        <v>560</v>
      </c>
      <c r="H164" s="348" t="s">
        <v>410</v>
      </c>
      <c r="I164" s="349" t="s">
        <v>363</v>
      </c>
      <c r="J164" s="344">
        <v>5</v>
      </c>
      <c r="K164" s="456">
        <f>2234/1000</f>
        <v>2.234</v>
      </c>
      <c r="L164" s="351" t="s">
        <v>404</v>
      </c>
      <c r="M164" s="375" t="s">
        <v>411</v>
      </c>
      <c r="N164" s="347">
        <f>SUM(O164,P164)</f>
        <v>93</v>
      </c>
      <c r="O164" s="584">
        <v>27</v>
      </c>
      <c r="P164" s="577">
        <v>66</v>
      </c>
      <c r="Q164" s="23" t="s">
        <v>264</v>
      </c>
      <c r="R164" s="403"/>
      <c r="S164" s="402"/>
      <c r="T164" s="401"/>
      <c r="U164" s="391"/>
      <c r="V164" s="391"/>
      <c r="W164" s="391"/>
      <c r="X164" s="401"/>
    </row>
    <row r="165" spans="1:24" s="226" customFormat="1" ht="13.5">
      <c r="A165" s="891"/>
      <c r="B165" s="950"/>
      <c r="C165" s="891"/>
      <c r="D165" s="644" t="s">
        <v>523</v>
      </c>
      <c r="E165" s="645" t="s">
        <v>535</v>
      </c>
      <c r="F165" s="517" t="s">
        <v>563</v>
      </c>
      <c r="G165" s="631" t="s">
        <v>563</v>
      </c>
      <c r="H165" s="348" t="s">
        <v>405</v>
      </c>
      <c r="I165" s="349" t="s">
        <v>406</v>
      </c>
      <c r="J165" s="344">
        <v>1</v>
      </c>
      <c r="K165" s="456">
        <f>2321.5/1000</f>
        <v>2.3215</v>
      </c>
      <c r="L165" s="351" t="s">
        <v>407</v>
      </c>
      <c r="M165" s="375" t="s">
        <v>413</v>
      </c>
      <c r="N165" s="347">
        <f>SUM(O165,P165)</f>
        <v>69</v>
      </c>
      <c r="O165" s="584">
        <v>19</v>
      </c>
      <c r="P165" s="577">
        <v>50</v>
      </c>
      <c r="Q165" s="572">
        <v>1.3</v>
      </c>
      <c r="R165" s="403"/>
      <c r="S165" s="402"/>
      <c r="T165" s="401"/>
      <c r="U165" s="391"/>
      <c r="V165" s="391"/>
      <c r="W165" s="391"/>
      <c r="X165" s="401"/>
    </row>
    <row r="166" spans="1:24" s="226" customFormat="1" ht="13.5">
      <c r="A166" s="891"/>
      <c r="B166" s="950"/>
      <c r="C166" s="891"/>
      <c r="D166" s="644" t="s">
        <v>523</v>
      </c>
      <c r="E166" s="645" t="s">
        <v>524</v>
      </c>
      <c r="F166" s="520" t="s">
        <v>560</v>
      </c>
      <c r="G166" s="653" t="s">
        <v>560</v>
      </c>
      <c r="H166" s="348" t="s">
        <v>412</v>
      </c>
      <c r="I166" s="349" t="s">
        <v>347</v>
      </c>
      <c r="J166" s="344">
        <v>6</v>
      </c>
      <c r="K166" s="456">
        <f>3466.2/1000</f>
        <v>3.4661999999999997</v>
      </c>
      <c r="L166" s="351" t="s">
        <v>356</v>
      </c>
      <c r="M166" s="375" t="s">
        <v>411</v>
      </c>
      <c r="N166" s="347">
        <f t="shared" si="4"/>
        <v>79</v>
      </c>
      <c r="O166" s="584">
        <v>23</v>
      </c>
      <c r="P166" s="577">
        <v>56</v>
      </c>
      <c r="Q166" s="572">
        <v>1.4</v>
      </c>
      <c r="R166" s="402"/>
      <c r="S166" s="402"/>
      <c r="T166" s="402"/>
      <c r="U166" s="401"/>
      <c r="V166" s="404"/>
      <c r="W166" s="404"/>
      <c r="X166" s="47"/>
    </row>
    <row r="167" spans="1:24" s="226" customFormat="1" ht="13.5">
      <c r="A167" s="891"/>
      <c r="B167" s="950"/>
      <c r="C167" s="891"/>
      <c r="D167" s="632" t="s">
        <v>523</v>
      </c>
      <c r="E167" s="633" t="s">
        <v>524</v>
      </c>
      <c r="F167" s="520" t="s">
        <v>560</v>
      </c>
      <c r="G167" s="653" t="s">
        <v>560</v>
      </c>
      <c r="H167" s="348" t="s">
        <v>345</v>
      </c>
      <c r="I167" s="349" t="s">
        <v>342</v>
      </c>
      <c r="J167" s="344">
        <v>27</v>
      </c>
      <c r="K167" s="456">
        <f>3403.9/1000</f>
        <v>3.4039</v>
      </c>
      <c r="L167" s="351" t="s">
        <v>356</v>
      </c>
      <c r="M167" s="375" t="s">
        <v>308</v>
      </c>
      <c r="N167" s="347">
        <f>SUM(O167,P167)</f>
        <v>130</v>
      </c>
      <c r="O167" s="584">
        <v>37</v>
      </c>
      <c r="P167" s="577">
        <v>93</v>
      </c>
      <c r="Q167" s="498">
        <v>0.95</v>
      </c>
      <c r="R167" s="402"/>
      <c r="S167" s="402"/>
      <c r="T167" s="402"/>
      <c r="U167" s="401"/>
      <c r="V167" s="404"/>
      <c r="W167" s="404"/>
      <c r="X167" s="47"/>
    </row>
    <row r="168" spans="1:24" s="226" customFormat="1" ht="13.5">
      <c r="A168" s="891"/>
      <c r="B168" s="950"/>
      <c r="C168" s="891"/>
      <c r="D168" s="523" t="s">
        <v>523</v>
      </c>
      <c r="E168" s="630" t="s">
        <v>524</v>
      </c>
      <c r="F168" s="520" t="s">
        <v>525</v>
      </c>
      <c r="G168" s="653" t="s">
        <v>525</v>
      </c>
      <c r="H168" s="348" t="s">
        <v>414</v>
      </c>
      <c r="I168" s="349" t="s">
        <v>415</v>
      </c>
      <c r="J168" s="344">
        <v>6</v>
      </c>
      <c r="K168" s="456">
        <f>1790.9/1000</f>
        <v>1.7909000000000002</v>
      </c>
      <c r="L168" s="351" t="s">
        <v>305</v>
      </c>
      <c r="M168" s="375" t="s">
        <v>411</v>
      </c>
      <c r="N168" s="347">
        <f t="shared" si="4"/>
        <v>76</v>
      </c>
      <c r="O168" s="584">
        <v>22</v>
      </c>
      <c r="P168" s="577">
        <v>54</v>
      </c>
      <c r="Q168" s="498">
        <v>0.2</v>
      </c>
      <c r="R168" s="402"/>
      <c r="S168" s="402"/>
      <c r="T168" s="403"/>
      <c r="U168" s="401"/>
      <c r="V168" s="404"/>
      <c r="W168" s="404"/>
      <c r="X168" s="47"/>
    </row>
    <row r="169" spans="1:24" s="226" customFormat="1" ht="13.5">
      <c r="A169" s="891"/>
      <c r="B169" s="950"/>
      <c r="C169" s="891"/>
      <c r="D169" s="523" t="s">
        <v>523</v>
      </c>
      <c r="E169" s="630" t="s">
        <v>524</v>
      </c>
      <c r="F169" s="520" t="s">
        <v>564</v>
      </c>
      <c r="G169" s="653" t="s">
        <v>564</v>
      </c>
      <c r="H169" s="348" t="s">
        <v>416</v>
      </c>
      <c r="I169" s="349" t="s">
        <v>417</v>
      </c>
      <c r="J169" s="344">
        <v>8</v>
      </c>
      <c r="K169" s="456">
        <f>1892.5/1000</f>
        <v>1.8925</v>
      </c>
      <c r="L169" s="351" t="s">
        <v>356</v>
      </c>
      <c r="M169" s="375" t="s">
        <v>291</v>
      </c>
      <c r="N169" s="347">
        <f t="shared" si="4"/>
        <v>103</v>
      </c>
      <c r="O169" s="584">
        <v>32</v>
      </c>
      <c r="P169" s="577">
        <v>71</v>
      </c>
      <c r="Q169" s="498">
        <v>0.43</v>
      </c>
      <c r="R169" s="402"/>
      <c r="S169" s="402"/>
      <c r="T169" s="403"/>
      <c r="U169" s="401"/>
      <c r="V169" s="404"/>
      <c r="W169" s="404"/>
      <c r="X169" s="47"/>
    </row>
    <row r="170" spans="1:24" s="226" customFormat="1" ht="13.5" customHeight="1">
      <c r="A170" s="891"/>
      <c r="B170" s="950"/>
      <c r="C170" s="891"/>
      <c r="D170" s="523" t="s">
        <v>523</v>
      </c>
      <c r="E170" s="630" t="s">
        <v>524</v>
      </c>
      <c r="F170" s="520" t="s">
        <v>443</v>
      </c>
      <c r="G170" s="653" t="s">
        <v>565</v>
      </c>
      <c r="H170" s="348" t="s">
        <v>418</v>
      </c>
      <c r="I170" s="349" t="s">
        <v>419</v>
      </c>
      <c r="J170" s="344">
        <v>7</v>
      </c>
      <c r="K170" s="456">
        <f>4197.7/1000</f>
        <v>4.1977</v>
      </c>
      <c r="L170" s="351" t="s">
        <v>356</v>
      </c>
      <c r="M170" s="375" t="s">
        <v>411</v>
      </c>
      <c r="N170" s="347">
        <f t="shared" si="4"/>
        <v>212</v>
      </c>
      <c r="O170" s="584">
        <v>62</v>
      </c>
      <c r="P170" s="577">
        <v>150</v>
      </c>
      <c r="Q170" s="498">
        <v>0.99</v>
      </c>
      <c r="R170" s="402"/>
      <c r="S170" s="402"/>
      <c r="T170" s="403"/>
      <c r="U170" s="401"/>
      <c r="V170" s="404"/>
      <c r="W170" s="404"/>
      <c r="X170" s="47"/>
    </row>
    <row r="171" spans="1:24" s="226" customFormat="1" ht="13.5" customHeight="1">
      <c r="A171" s="891"/>
      <c r="B171" s="951"/>
      <c r="C171" s="891"/>
      <c r="D171" s="638" t="s">
        <v>523</v>
      </c>
      <c r="E171" s="639" t="s">
        <v>527</v>
      </c>
      <c r="F171" s="532" t="s">
        <v>529</v>
      </c>
      <c r="G171" s="640" t="s">
        <v>568</v>
      </c>
      <c r="H171" s="360" t="s">
        <v>422</v>
      </c>
      <c r="I171" s="361" t="s">
        <v>423</v>
      </c>
      <c r="J171" s="362">
        <v>31</v>
      </c>
      <c r="K171" s="457">
        <f>188.3/1000</f>
        <v>0.18830000000000002</v>
      </c>
      <c r="L171" s="364" t="s">
        <v>304</v>
      </c>
      <c r="M171" s="366" t="s">
        <v>264</v>
      </c>
      <c r="N171" s="365">
        <f>SUM(O171,P171)</f>
        <v>21.2</v>
      </c>
      <c r="O171" s="587">
        <v>6.2</v>
      </c>
      <c r="P171" s="579">
        <v>15</v>
      </c>
      <c r="Q171" s="366" t="s">
        <v>264</v>
      </c>
      <c r="R171" s="402"/>
      <c r="S171" s="402"/>
      <c r="T171" s="403"/>
      <c r="U171" s="401"/>
      <c r="V171" s="404"/>
      <c r="W171" s="404"/>
      <c r="X171" s="47"/>
    </row>
    <row r="172" spans="1:24" s="226" customFormat="1" ht="13.5" customHeight="1">
      <c r="A172" s="892"/>
      <c r="B172" s="329" t="s">
        <v>665</v>
      </c>
      <c r="C172" s="892"/>
      <c r="D172" s="772" t="s">
        <v>561</v>
      </c>
      <c r="E172" s="743" t="s">
        <v>517</v>
      </c>
      <c r="F172" s="706" t="s">
        <v>518</v>
      </c>
      <c r="G172" s="773" t="s">
        <v>562</v>
      </c>
      <c r="H172" s="767" t="s">
        <v>402</v>
      </c>
      <c r="I172" s="768" t="s">
        <v>403</v>
      </c>
      <c r="J172" s="769">
        <v>25</v>
      </c>
      <c r="K172" s="770">
        <f>2113/1000</f>
        <v>2.113</v>
      </c>
      <c r="L172" s="771" t="s">
        <v>304</v>
      </c>
      <c r="M172" s="329" t="s">
        <v>264</v>
      </c>
      <c r="N172" s="750">
        <f>SUM(O172,P172)</f>
        <v>73</v>
      </c>
      <c r="O172" s="751">
        <v>23</v>
      </c>
      <c r="P172" s="752">
        <v>50</v>
      </c>
      <c r="Q172" s="774">
        <v>9.1</v>
      </c>
      <c r="R172" s="402"/>
      <c r="S172" s="402"/>
      <c r="T172" s="403"/>
      <c r="U172" s="401"/>
      <c r="V172" s="404"/>
      <c r="W172" s="404"/>
      <c r="X172" s="47"/>
    </row>
    <row r="173" spans="1:24" s="226" customFormat="1" ht="13.5">
      <c r="A173" s="761"/>
      <c r="B173" s="116"/>
      <c r="C173" s="393"/>
      <c r="D173" s="235"/>
      <c r="E173" s="98"/>
      <c r="F173" s="394"/>
      <c r="G173" s="395"/>
      <c r="H173" s="396"/>
      <c r="I173" s="397"/>
      <c r="J173" s="398"/>
      <c r="K173" s="399"/>
      <c r="L173" s="400"/>
      <c r="M173" s="401"/>
      <c r="N173" s="402"/>
      <c r="O173" s="402"/>
      <c r="P173" s="400"/>
      <c r="Q173" s="401"/>
      <c r="R173" s="402"/>
      <c r="S173" s="402"/>
      <c r="T173" s="403"/>
      <c r="U173" s="401"/>
      <c r="V173" s="404"/>
      <c r="W173" s="404"/>
      <c r="X173" s="47"/>
    </row>
    <row r="174" spans="1:24" s="49" customFormat="1" ht="18" customHeight="1">
      <c r="A174" s="845" t="s">
        <v>1</v>
      </c>
      <c r="B174" s="846"/>
      <c r="C174" s="849" t="s">
        <v>282</v>
      </c>
      <c r="D174" s="851" t="s">
        <v>493</v>
      </c>
      <c r="E174" s="853" t="s">
        <v>494</v>
      </c>
      <c r="F174" s="855" t="s">
        <v>495</v>
      </c>
      <c r="G174" s="855" t="s">
        <v>496</v>
      </c>
      <c r="H174" s="857" t="s">
        <v>497</v>
      </c>
      <c r="I174" s="857" t="s">
        <v>498</v>
      </c>
      <c r="J174" s="906" t="s">
        <v>283</v>
      </c>
      <c r="K174" s="922" t="s">
        <v>284</v>
      </c>
      <c r="L174" s="921" t="s">
        <v>499</v>
      </c>
      <c r="M174" s="921"/>
      <c r="N174" s="917" t="s">
        <v>286</v>
      </c>
      <c r="O174" s="920"/>
      <c r="P174" s="920"/>
      <c r="Q174" s="911" t="s">
        <v>500</v>
      </c>
      <c r="R174" s="47"/>
      <c r="S174" s="47"/>
      <c r="T174" s="47"/>
      <c r="U174" s="47"/>
      <c r="V174" s="47"/>
      <c r="W174" s="47"/>
      <c r="X174" s="47"/>
    </row>
    <row r="175" spans="1:24" s="49" customFormat="1" ht="18" customHeight="1">
      <c r="A175" s="847"/>
      <c r="B175" s="848"/>
      <c r="C175" s="850"/>
      <c r="D175" s="852"/>
      <c r="E175" s="854"/>
      <c r="F175" s="856"/>
      <c r="G175" s="856"/>
      <c r="H175" s="858"/>
      <c r="I175" s="858"/>
      <c r="J175" s="907"/>
      <c r="K175" s="923"/>
      <c r="L175" s="503" t="s">
        <v>285</v>
      </c>
      <c r="M175" s="327" t="s">
        <v>287</v>
      </c>
      <c r="N175" s="504" t="s">
        <v>288</v>
      </c>
      <c r="O175" s="505" t="s">
        <v>18</v>
      </c>
      <c r="P175" s="561" t="s">
        <v>19</v>
      </c>
      <c r="Q175" s="858"/>
      <c r="R175" s="47"/>
      <c r="S175" s="401"/>
      <c r="T175" s="401"/>
      <c r="U175" s="47"/>
      <c r="V175" s="47"/>
      <c r="W175" s="47"/>
      <c r="X175" s="47"/>
    </row>
    <row r="176" spans="1:24" s="226" customFormat="1" ht="13.5" customHeight="1">
      <c r="A176" s="890" t="s">
        <v>40</v>
      </c>
      <c r="B176" s="328" t="s">
        <v>622</v>
      </c>
      <c r="C176" s="849">
        <v>41612</v>
      </c>
      <c r="D176" s="525" t="s">
        <v>536</v>
      </c>
      <c r="E176" s="646" t="s">
        <v>555</v>
      </c>
      <c r="F176" s="647" t="s">
        <v>555</v>
      </c>
      <c r="G176" s="648" t="s">
        <v>555</v>
      </c>
      <c r="H176" s="450" t="s">
        <v>264</v>
      </c>
      <c r="I176" s="458" t="s">
        <v>325</v>
      </c>
      <c r="J176" s="459" t="s">
        <v>264</v>
      </c>
      <c r="K176" s="460">
        <f>452.7/1000</f>
        <v>0.4527</v>
      </c>
      <c r="L176" s="461" t="s">
        <v>264</v>
      </c>
      <c r="M176" s="463" t="s">
        <v>264</v>
      </c>
      <c r="N176" s="462">
        <f>SUM(O176,P176)</f>
        <v>42</v>
      </c>
      <c r="O176" s="610">
        <v>12</v>
      </c>
      <c r="P176" s="605">
        <v>30</v>
      </c>
      <c r="Q176" s="573" t="s">
        <v>264</v>
      </c>
      <c r="R176" s="546"/>
      <c r="S176" s="546"/>
      <c r="T176" s="905"/>
      <c r="U176" s="844"/>
      <c r="V176" s="844"/>
      <c r="W176" s="844"/>
      <c r="X176" s="547"/>
    </row>
    <row r="177" spans="1:24" s="226" customFormat="1" ht="13.5" customHeight="1">
      <c r="A177" s="893"/>
      <c r="B177" s="895" t="s">
        <v>623</v>
      </c>
      <c r="C177" s="901"/>
      <c r="D177" s="521" t="s">
        <v>502</v>
      </c>
      <c r="E177" s="515" t="s">
        <v>555</v>
      </c>
      <c r="F177" s="515" t="s">
        <v>555</v>
      </c>
      <c r="G177" s="507" t="s">
        <v>555</v>
      </c>
      <c r="H177" s="330" t="s">
        <v>264</v>
      </c>
      <c r="I177" s="331" t="s">
        <v>399</v>
      </c>
      <c r="J177" s="421" t="s">
        <v>264</v>
      </c>
      <c r="K177" s="422">
        <f>67.5462/1000</f>
        <v>0.0675462</v>
      </c>
      <c r="L177" s="423" t="s">
        <v>264</v>
      </c>
      <c r="M177" s="326" t="s">
        <v>264</v>
      </c>
      <c r="N177" s="464">
        <f>P177</f>
        <v>2</v>
      </c>
      <c r="O177" s="611" t="s">
        <v>643</v>
      </c>
      <c r="P177" s="606">
        <v>2</v>
      </c>
      <c r="Q177" s="567" t="s">
        <v>264</v>
      </c>
      <c r="R177" s="553"/>
      <c r="S177" s="553"/>
      <c r="T177" s="843"/>
      <c r="U177" s="844"/>
      <c r="V177" s="844"/>
      <c r="W177" s="844"/>
      <c r="X177" s="538"/>
    </row>
    <row r="178" spans="1:24" s="226" customFormat="1" ht="13.5">
      <c r="A178" s="891"/>
      <c r="B178" s="877"/>
      <c r="C178" s="891"/>
      <c r="D178" s="523" t="s">
        <v>520</v>
      </c>
      <c r="E178" s="630" t="s">
        <v>521</v>
      </c>
      <c r="F178" s="517" t="s">
        <v>522</v>
      </c>
      <c r="G178" s="631" t="s">
        <v>337</v>
      </c>
      <c r="H178" s="342" t="s">
        <v>336</v>
      </c>
      <c r="I178" s="343" t="s">
        <v>337</v>
      </c>
      <c r="J178" s="344">
        <v>50</v>
      </c>
      <c r="K178" s="350">
        <f>52.8/1000</f>
        <v>0.0528</v>
      </c>
      <c r="L178" s="346" t="s">
        <v>304</v>
      </c>
      <c r="M178" s="23" t="s">
        <v>264</v>
      </c>
      <c r="N178" s="465">
        <f>SUM(O178,P178)</f>
        <v>8.5</v>
      </c>
      <c r="O178" s="598">
        <v>2.7</v>
      </c>
      <c r="P178" s="607">
        <v>5.8</v>
      </c>
      <c r="Q178" s="23" t="s">
        <v>264</v>
      </c>
      <c r="R178" s="403"/>
      <c r="S178" s="403"/>
      <c r="T178" s="844"/>
      <c r="U178" s="862"/>
      <c r="V178" s="862"/>
      <c r="W178" s="862"/>
      <c r="X178" s="401"/>
    </row>
    <row r="179" spans="1:24" s="226" customFormat="1" ht="13.5">
      <c r="A179" s="891"/>
      <c r="B179" s="877"/>
      <c r="C179" s="891"/>
      <c r="D179" s="644" t="s">
        <v>569</v>
      </c>
      <c r="E179" s="645" t="s">
        <v>521</v>
      </c>
      <c r="F179" s="520" t="s">
        <v>570</v>
      </c>
      <c r="G179" s="653" t="s">
        <v>571</v>
      </c>
      <c r="H179" s="348" t="s">
        <v>424</v>
      </c>
      <c r="I179" s="349" t="s">
        <v>425</v>
      </c>
      <c r="J179" s="344">
        <v>37</v>
      </c>
      <c r="K179" s="345">
        <f>206.4/1000</f>
        <v>0.2064</v>
      </c>
      <c r="L179" s="346" t="s">
        <v>304</v>
      </c>
      <c r="M179" s="23" t="s">
        <v>264</v>
      </c>
      <c r="N179" s="466" t="s">
        <v>501</v>
      </c>
      <c r="O179" s="612" t="s">
        <v>643</v>
      </c>
      <c r="P179" s="608" t="s">
        <v>644</v>
      </c>
      <c r="Q179" s="23" t="s">
        <v>264</v>
      </c>
      <c r="S179" s="403"/>
      <c r="T179" s="844"/>
      <c r="U179" s="862"/>
      <c r="V179" s="862"/>
      <c r="W179" s="862"/>
      <c r="X179" s="401"/>
    </row>
    <row r="180" spans="1:24" s="226" customFormat="1" ht="13.5">
      <c r="A180" s="891"/>
      <c r="B180" s="877"/>
      <c r="C180" s="891"/>
      <c r="D180" s="523" t="s">
        <v>523</v>
      </c>
      <c r="E180" s="630" t="s">
        <v>524</v>
      </c>
      <c r="F180" s="517" t="s">
        <v>560</v>
      </c>
      <c r="G180" s="631" t="s">
        <v>572</v>
      </c>
      <c r="H180" s="342" t="s">
        <v>338</v>
      </c>
      <c r="I180" s="343" t="s">
        <v>408</v>
      </c>
      <c r="J180" s="344">
        <v>30</v>
      </c>
      <c r="K180" s="345">
        <f>138.8/1000</f>
        <v>0.1388</v>
      </c>
      <c r="L180" s="346" t="s">
        <v>383</v>
      </c>
      <c r="M180" s="23" t="s">
        <v>264</v>
      </c>
      <c r="N180" s="465">
        <f>SUM(O180,P180)</f>
        <v>2.65</v>
      </c>
      <c r="O180" s="613">
        <v>0.95</v>
      </c>
      <c r="P180" s="609">
        <v>1.7</v>
      </c>
      <c r="Q180" s="23" t="s">
        <v>264</v>
      </c>
      <c r="R180" s="403"/>
      <c r="S180" s="403"/>
      <c r="T180" s="964"/>
      <c r="U180" s="963"/>
      <c r="V180" s="963"/>
      <c r="W180" s="963"/>
      <c r="X180" s="401"/>
    </row>
    <row r="181" spans="1:24" s="226" customFormat="1" ht="13.5">
      <c r="A181" s="892"/>
      <c r="B181" s="878"/>
      <c r="C181" s="892"/>
      <c r="D181" s="717" t="s">
        <v>551</v>
      </c>
      <c r="E181" s="532" t="s">
        <v>527</v>
      </c>
      <c r="F181" s="532" t="s">
        <v>528</v>
      </c>
      <c r="G181" s="718" t="s">
        <v>552</v>
      </c>
      <c r="H181" s="361" t="s">
        <v>426</v>
      </c>
      <c r="I181" s="361" t="s">
        <v>409</v>
      </c>
      <c r="J181" s="362">
        <v>13</v>
      </c>
      <c r="K181" s="363">
        <f>79.2/1000</f>
        <v>0.0792</v>
      </c>
      <c r="L181" s="364" t="s">
        <v>304</v>
      </c>
      <c r="M181" s="366" t="s">
        <v>264</v>
      </c>
      <c r="N181" s="365">
        <f>SUM(O181,P181)</f>
        <v>38</v>
      </c>
      <c r="O181" s="614">
        <v>12</v>
      </c>
      <c r="P181" s="579">
        <v>26</v>
      </c>
      <c r="Q181" s="366" t="s">
        <v>264</v>
      </c>
      <c r="R181" s="543"/>
      <c r="S181" s="541"/>
      <c r="T181" s="880"/>
      <c r="U181" s="862"/>
      <c r="V181" s="862"/>
      <c r="W181" s="862"/>
      <c r="X181" s="542"/>
    </row>
    <row r="182" spans="1:24" s="226" customFormat="1" ht="13.5" customHeight="1">
      <c r="A182" s="761"/>
      <c r="B182" s="116"/>
      <c r="C182" s="393"/>
      <c r="D182" s="235"/>
      <c r="E182" s="98"/>
      <c r="F182" s="394"/>
      <c r="G182" s="395"/>
      <c r="H182" s="396"/>
      <c r="I182" s="397"/>
      <c r="J182" s="398"/>
      <c r="K182" s="399"/>
      <c r="L182" s="400"/>
      <c r="M182" s="401"/>
      <c r="N182" s="402"/>
      <c r="O182" s="402"/>
      <c r="P182" s="400"/>
      <c r="Q182" s="401"/>
      <c r="R182" s="402"/>
      <c r="S182" s="402"/>
      <c r="T182" s="403"/>
      <c r="U182" s="401"/>
      <c r="V182" s="404"/>
      <c r="W182" s="404"/>
      <c r="X182" s="47"/>
    </row>
    <row r="183" spans="1:24" s="49" customFormat="1" ht="18" customHeight="1">
      <c r="A183" s="845" t="s">
        <v>1</v>
      </c>
      <c r="B183" s="846"/>
      <c r="C183" s="849" t="s">
        <v>282</v>
      </c>
      <c r="D183" s="851" t="s">
        <v>493</v>
      </c>
      <c r="E183" s="853" t="s">
        <v>494</v>
      </c>
      <c r="F183" s="855" t="s">
        <v>495</v>
      </c>
      <c r="G183" s="855" t="s">
        <v>496</v>
      </c>
      <c r="H183" s="857" t="s">
        <v>497</v>
      </c>
      <c r="I183" s="857" t="s">
        <v>498</v>
      </c>
      <c r="J183" s="906" t="s">
        <v>283</v>
      </c>
      <c r="K183" s="922" t="s">
        <v>284</v>
      </c>
      <c r="L183" s="921" t="s">
        <v>499</v>
      </c>
      <c r="M183" s="921"/>
      <c r="N183" s="917" t="s">
        <v>286</v>
      </c>
      <c r="O183" s="920"/>
      <c r="P183" s="920"/>
      <c r="Q183" s="911" t="s">
        <v>500</v>
      </c>
      <c r="R183" s="47"/>
      <c r="S183" s="47"/>
      <c r="T183" s="47"/>
      <c r="U183" s="47"/>
      <c r="V183" s="47"/>
      <c r="W183" s="47"/>
      <c r="X183" s="47"/>
    </row>
    <row r="184" spans="1:24" s="49" customFormat="1" ht="18" customHeight="1">
      <c r="A184" s="847"/>
      <c r="B184" s="848"/>
      <c r="C184" s="850"/>
      <c r="D184" s="852"/>
      <c r="E184" s="854"/>
      <c r="F184" s="856"/>
      <c r="G184" s="856"/>
      <c r="H184" s="858"/>
      <c r="I184" s="858"/>
      <c r="J184" s="907"/>
      <c r="K184" s="923"/>
      <c r="L184" s="503" t="s">
        <v>285</v>
      </c>
      <c r="M184" s="327" t="s">
        <v>287</v>
      </c>
      <c r="N184" s="504" t="s">
        <v>288</v>
      </c>
      <c r="O184" s="505" t="s">
        <v>18</v>
      </c>
      <c r="P184" s="561" t="s">
        <v>19</v>
      </c>
      <c r="Q184" s="858"/>
      <c r="R184" s="47"/>
      <c r="S184" s="401"/>
      <c r="T184" s="401"/>
      <c r="U184" s="47"/>
      <c r="V184" s="47"/>
      <c r="W184" s="47"/>
      <c r="X184" s="47"/>
    </row>
    <row r="185" spans="1:24" s="226" customFormat="1" ht="13.5" customHeight="1">
      <c r="A185" s="890" t="s">
        <v>480</v>
      </c>
      <c r="B185" s="895" t="s">
        <v>629</v>
      </c>
      <c r="C185" s="960">
        <v>41621</v>
      </c>
      <c r="D185" s="708" t="s">
        <v>561</v>
      </c>
      <c r="E185" s="709" t="s">
        <v>517</v>
      </c>
      <c r="F185" s="534" t="s">
        <v>518</v>
      </c>
      <c r="G185" s="710" t="s">
        <v>613</v>
      </c>
      <c r="H185" s="348" t="s">
        <v>481</v>
      </c>
      <c r="I185" s="349" t="s">
        <v>482</v>
      </c>
      <c r="J185" s="344">
        <v>10</v>
      </c>
      <c r="K185" s="478">
        <v>2</v>
      </c>
      <c r="L185" s="346" t="s">
        <v>304</v>
      </c>
      <c r="M185" s="23" t="s">
        <v>264</v>
      </c>
      <c r="N185" s="465">
        <f aca="true" t="shared" si="5" ref="N185:N191">SUM(O185,P185)</f>
        <v>2.2199999999999998</v>
      </c>
      <c r="O185" s="624">
        <v>0.52</v>
      </c>
      <c r="P185" s="609">
        <v>1.7</v>
      </c>
      <c r="Q185" s="498">
        <v>0.22</v>
      </c>
      <c r="R185" s="403"/>
      <c r="S185" s="403"/>
      <c r="T185" s="403"/>
      <c r="U185" s="401"/>
      <c r="V185" s="404"/>
      <c r="W185" s="404"/>
      <c r="X185" s="47"/>
    </row>
    <row r="186" spans="1:24" s="226" customFormat="1" ht="13.5" customHeight="1">
      <c r="A186" s="893"/>
      <c r="B186" s="899"/>
      <c r="C186" s="961"/>
      <c r="D186" s="632" t="s">
        <v>523</v>
      </c>
      <c r="E186" s="680" t="s">
        <v>524</v>
      </c>
      <c r="F186" s="520" t="s">
        <v>579</v>
      </c>
      <c r="G186" s="653" t="s">
        <v>579</v>
      </c>
      <c r="H186" s="348" t="s">
        <v>491</v>
      </c>
      <c r="I186" s="349" t="s">
        <v>492</v>
      </c>
      <c r="J186" s="344">
        <v>3</v>
      </c>
      <c r="K186" s="478">
        <f>2486/1000</f>
        <v>2.486</v>
      </c>
      <c r="L186" s="351" t="s">
        <v>307</v>
      </c>
      <c r="M186" s="375" t="s">
        <v>413</v>
      </c>
      <c r="N186" s="465">
        <f t="shared" si="5"/>
        <v>3.1</v>
      </c>
      <c r="O186" s="599">
        <v>1</v>
      </c>
      <c r="P186" s="621">
        <v>2.1</v>
      </c>
      <c r="Q186" s="575">
        <v>0.019</v>
      </c>
      <c r="R186" s="403"/>
      <c r="S186" s="403"/>
      <c r="T186" s="403"/>
      <c r="U186" s="401"/>
      <c r="V186" s="404"/>
      <c r="W186" s="404"/>
      <c r="X186" s="47"/>
    </row>
    <row r="187" spans="1:24" s="226" customFormat="1" ht="13.5" customHeight="1">
      <c r="A187" s="893"/>
      <c r="B187" s="899"/>
      <c r="C187" s="961"/>
      <c r="D187" s="644" t="s">
        <v>523</v>
      </c>
      <c r="E187" s="630" t="s">
        <v>524</v>
      </c>
      <c r="F187" s="520" t="s">
        <v>579</v>
      </c>
      <c r="G187" s="653" t="s">
        <v>580</v>
      </c>
      <c r="H187" s="348" t="s">
        <v>448</v>
      </c>
      <c r="I187" s="349" t="s">
        <v>449</v>
      </c>
      <c r="J187" s="344">
        <v>1</v>
      </c>
      <c r="K187" s="478">
        <f>3218/1000</f>
        <v>3.218</v>
      </c>
      <c r="L187" s="351" t="s">
        <v>404</v>
      </c>
      <c r="M187" s="375" t="s">
        <v>444</v>
      </c>
      <c r="N187" s="347">
        <f t="shared" si="5"/>
        <v>13.100000000000001</v>
      </c>
      <c r="O187" s="599">
        <v>3.7</v>
      </c>
      <c r="P187" s="621">
        <v>9.4</v>
      </c>
      <c r="Q187" s="575">
        <v>0.055</v>
      </c>
      <c r="R187" s="403"/>
      <c r="S187" s="403"/>
      <c r="T187" s="403"/>
      <c r="U187" s="401"/>
      <c r="V187" s="404"/>
      <c r="W187" s="404"/>
      <c r="X187" s="47"/>
    </row>
    <row r="188" spans="1:24" s="226" customFormat="1" ht="13.5">
      <c r="A188" s="893"/>
      <c r="B188" s="899"/>
      <c r="C188" s="961"/>
      <c r="D188" s="644" t="s">
        <v>523</v>
      </c>
      <c r="E188" s="630" t="s">
        <v>524</v>
      </c>
      <c r="F188" s="520" t="s">
        <v>576</v>
      </c>
      <c r="G188" s="653" t="s">
        <v>576</v>
      </c>
      <c r="H188" s="348" t="s">
        <v>442</v>
      </c>
      <c r="I188" s="349" t="s">
        <v>443</v>
      </c>
      <c r="J188" s="344">
        <v>1</v>
      </c>
      <c r="K188" s="478">
        <f>2784/1000</f>
        <v>2.784</v>
      </c>
      <c r="L188" s="351" t="s">
        <v>326</v>
      </c>
      <c r="M188" s="375" t="s">
        <v>411</v>
      </c>
      <c r="N188" s="465">
        <f t="shared" si="5"/>
        <v>4.1</v>
      </c>
      <c r="O188" s="585">
        <v>1.3</v>
      </c>
      <c r="P188" s="609">
        <v>2.8</v>
      </c>
      <c r="Q188" s="575">
        <v>0.036</v>
      </c>
      <c r="R188" s="403"/>
      <c r="S188" s="403"/>
      <c r="T188" s="404"/>
      <c r="U188" s="401"/>
      <c r="V188" s="404"/>
      <c r="W188" s="404"/>
      <c r="X188" s="47"/>
    </row>
    <row r="189" spans="1:24" s="226" customFormat="1" ht="13.5">
      <c r="A189" s="893"/>
      <c r="B189" s="899"/>
      <c r="C189" s="961"/>
      <c r="D189" s="644" t="s">
        <v>523</v>
      </c>
      <c r="E189" s="630" t="s">
        <v>524</v>
      </c>
      <c r="F189" s="520" t="s">
        <v>576</v>
      </c>
      <c r="G189" s="671" t="s">
        <v>631</v>
      </c>
      <c r="H189" s="348" t="s">
        <v>487</v>
      </c>
      <c r="I189" s="349" t="s">
        <v>488</v>
      </c>
      <c r="J189" s="344">
        <v>2</v>
      </c>
      <c r="K189" s="478">
        <f>1741/1000</f>
        <v>1.741</v>
      </c>
      <c r="L189" s="351" t="s">
        <v>305</v>
      </c>
      <c r="M189" s="375" t="s">
        <v>457</v>
      </c>
      <c r="N189" s="465">
        <f t="shared" si="5"/>
        <v>2.3200000000000003</v>
      </c>
      <c r="O189" s="613">
        <v>0.52</v>
      </c>
      <c r="P189" s="621">
        <v>1.8</v>
      </c>
      <c r="Q189" s="29" t="s">
        <v>648</v>
      </c>
      <c r="R189" s="560"/>
      <c r="S189" s="403"/>
      <c r="T189" s="844"/>
      <c r="U189" s="844"/>
      <c r="V189" s="844"/>
      <c r="W189" s="404"/>
      <c r="X189" s="47"/>
    </row>
    <row r="190" spans="1:24" s="226" customFormat="1" ht="13.5">
      <c r="A190" s="893"/>
      <c r="B190" s="899"/>
      <c r="C190" s="961"/>
      <c r="D190" s="632" t="s">
        <v>523</v>
      </c>
      <c r="E190" s="680" t="s">
        <v>524</v>
      </c>
      <c r="F190" s="517" t="s">
        <v>633</v>
      </c>
      <c r="G190" s="527" t="s">
        <v>632</v>
      </c>
      <c r="H190" s="348" t="s">
        <v>489</v>
      </c>
      <c r="I190" s="349" t="s">
        <v>490</v>
      </c>
      <c r="J190" s="344">
        <v>5</v>
      </c>
      <c r="K190" s="478">
        <f>1724/1000</f>
        <v>1.724</v>
      </c>
      <c r="L190" s="346" t="s">
        <v>383</v>
      </c>
      <c r="M190" s="375" t="s">
        <v>411</v>
      </c>
      <c r="N190" s="759">
        <f t="shared" si="5"/>
        <v>0.99</v>
      </c>
      <c r="O190" s="625" t="s">
        <v>638</v>
      </c>
      <c r="P190" s="622">
        <v>0.99</v>
      </c>
      <c r="Q190" s="29" t="s">
        <v>264</v>
      </c>
      <c r="R190" s="560"/>
      <c r="S190" s="403"/>
      <c r="T190" s="963"/>
      <c r="U190" s="963"/>
      <c r="V190" s="963"/>
      <c r="W190" s="963"/>
      <c r="X190" s="47"/>
    </row>
    <row r="191" spans="1:24" s="226" customFormat="1" ht="13.5">
      <c r="A191" s="894"/>
      <c r="B191" s="900"/>
      <c r="C191" s="962"/>
      <c r="D191" s="644" t="s">
        <v>523</v>
      </c>
      <c r="E191" s="630" t="s">
        <v>581</v>
      </c>
      <c r="F191" s="634" t="s">
        <v>582</v>
      </c>
      <c r="G191" s="679" t="s">
        <v>582</v>
      </c>
      <c r="H191" s="384" t="s">
        <v>458</v>
      </c>
      <c r="I191" s="385" t="s">
        <v>459</v>
      </c>
      <c r="J191" s="386">
        <v>5</v>
      </c>
      <c r="K191" s="502">
        <f>5074/1000</f>
        <v>5.074</v>
      </c>
      <c r="L191" s="471" t="s">
        <v>383</v>
      </c>
      <c r="M191" s="390" t="s">
        <v>413</v>
      </c>
      <c r="N191" s="490">
        <f t="shared" si="5"/>
        <v>3.39</v>
      </c>
      <c r="O191" s="626">
        <v>0.79</v>
      </c>
      <c r="P191" s="623">
        <v>2.6</v>
      </c>
      <c r="Q191" s="30" t="s">
        <v>647</v>
      </c>
      <c r="R191" s="560"/>
      <c r="S191" s="403"/>
      <c r="T191" s="844"/>
      <c r="U191" s="844"/>
      <c r="V191" s="844"/>
      <c r="W191" s="404"/>
      <c r="X191" s="47"/>
    </row>
    <row r="193" spans="1:24" s="49" customFormat="1" ht="18" customHeight="1">
      <c r="A193" s="845" t="s">
        <v>1</v>
      </c>
      <c r="B193" s="846"/>
      <c r="C193" s="849" t="s">
        <v>282</v>
      </c>
      <c r="D193" s="851" t="s">
        <v>493</v>
      </c>
      <c r="E193" s="853" t="s">
        <v>494</v>
      </c>
      <c r="F193" s="855" t="s">
        <v>495</v>
      </c>
      <c r="G193" s="855" t="s">
        <v>496</v>
      </c>
      <c r="H193" s="857" t="s">
        <v>497</v>
      </c>
      <c r="I193" s="857" t="s">
        <v>498</v>
      </c>
      <c r="J193" s="906" t="s">
        <v>283</v>
      </c>
      <c r="K193" s="922" t="s">
        <v>284</v>
      </c>
      <c r="L193" s="921" t="s">
        <v>499</v>
      </c>
      <c r="M193" s="921"/>
      <c r="N193" s="917" t="s">
        <v>286</v>
      </c>
      <c r="O193" s="920"/>
      <c r="P193" s="920"/>
      <c r="Q193" s="911" t="s">
        <v>500</v>
      </c>
      <c r="R193" s="47"/>
      <c r="S193" s="47"/>
      <c r="T193" s="47"/>
      <c r="U193" s="47"/>
      <c r="V193" s="47"/>
      <c r="W193" s="47"/>
      <c r="X193" s="47"/>
    </row>
    <row r="194" spans="1:24" s="49" customFormat="1" ht="18" customHeight="1">
      <c r="A194" s="847"/>
      <c r="B194" s="848"/>
      <c r="C194" s="850"/>
      <c r="D194" s="852"/>
      <c r="E194" s="854"/>
      <c r="F194" s="856"/>
      <c r="G194" s="856"/>
      <c r="H194" s="858"/>
      <c r="I194" s="858"/>
      <c r="J194" s="907"/>
      <c r="K194" s="923"/>
      <c r="L194" s="503" t="s">
        <v>285</v>
      </c>
      <c r="M194" s="327" t="s">
        <v>287</v>
      </c>
      <c r="N194" s="504" t="s">
        <v>288</v>
      </c>
      <c r="O194" s="505" t="s">
        <v>18</v>
      </c>
      <c r="P194" s="561" t="s">
        <v>19</v>
      </c>
      <c r="Q194" s="858"/>
      <c r="R194" s="47"/>
      <c r="S194" s="401"/>
      <c r="T194" s="401"/>
      <c r="U194" s="47"/>
      <c r="V194" s="47"/>
      <c r="W194" s="47"/>
      <c r="X194" s="47"/>
    </row>
    <row r="195" spans="1:24" s="226" customFormat="1" ht="13.5" customHeight="1">
      <c r="A195" s="890" t="s">
        <v>470</v>
      </c>
      <c r="B195" s="895" t="s">
        <v>628</v>
      </c>
      <c r="C195" s="849">
        <v>41618</v>
      </c>
      <c r="D195" s="698" t="s">
        <v>599</v>
      </c>
      <c r="E195" s="699" t="s">
        <v>600</v>
      </c>
      <c r="F195" s="700" t="s">
        <v>601</v>
      </c>
      <c r="G195" s="701" t="s">
        <v>601</v>
      </c>
      <c r="H195" s="432" t="s">
        <v>471</v>
      </c>
      <c r="I195" s="433" t="s">
        <v>472</v>
      </c>
      <c r="J195" s="332" t="s">
        <v>264</v>
      </c>
      <c r="K195" s="492">
        <f>482.9/1000</f>
        <v>0.4829</v>
      </c>
      <c r="L195" s="334" t="s">
        <v>264</v>
      </c>
      <c r="M195" s="431" t="s">
        <v>264</v>
      </c>
      <c r="N195" s="529" t="s">
        <v>637</v>
      </c>
      <c r="O195" s="619" t="s">
        <v>642</v>
      </c>
      <c r="P195" s="758" t="s">
        <v>641</v>
      </c>
      <c r="Q195" s="336" t="s">
        <v>264</v>
      </c>
      <c r="R195" s="538"/>
      <c r="S195" s="555"/>
      <c r="T195" s="948"/>
      <c r="U195" s="948"/>
      <c r="V195" s="948"/>
      <c r="W195" s="948"/>
      <c r="X195" s="538"/>
    </row>
    <row r="196" spans="1:24" s="226" customFormat="1" ht="13.5">
      <c r="A196" s="893"/>
      <c r="B196" s="899"/>
      <c r="C196" s="901"/>
      <c r="D196" s="654" t="s">
        <v>602</v>
      </c>
      <c r="E196" s="702" t="s">
        <v>603</v>
      </c>
      <c r="F196" s="656" t="s">
        <v>604</v>
      </c>
      <c r="G196" s="703" t="s">
        <v>605</v>
      </c>
      <c r="H196" s="432" t="s">
        <v>483</v>
      </c>
      <c r="I196" s="433" t="s">
        <v>473</v>
      </c>
      <c r="J196" s="427" t="s">
        <v>264</v>
      </c>
      <c r="K196" s="441">
        <f>245.5/1000</f>
        <v>0.2455</v>
      </c>
      <c r="L196" s="429" t="s">
        <v>264</v>
      </c>
      <c r="M196" s="431" t="s">
        <v>664</v>
      </c>
      <c r="N196" s="756" t="s">
        <v>637</v>
      </c>
      <c r="O196" s="757" t="s">
        <v>639</v>
      </c>
      <c r="P196" s="668" t="s">
        <v>640</v>
      </c>
      <c r="Q196" s="431" t="s">
        <v>264</v>
      </c>
      <c r="R196" s="559"/>
      <c r="S196" s="559"/>
      <c r="T196" s="948"/>
      <c r="U196" s="948"/>
      <c r="V196" s="948"/>
      <c r="W196" s="948"/>
      <c r="X196" s="538"/>
    </row>
    <row r="197" spans="1:24" s="226" customFormat="1" ht="13.5">
      <c r="A197" s="893"/>
      <c r="B197" s="899"/>
      <c r="C197" s="901"/>
      <c r="D197" s="632" t="s">
        <v>561</v>
      </c>
      <c r="E197" s="680" t="s">
        <v>517</v>
      </c>
      <c r="F197" s="678" t="s">
        <v>606</v>
      </c>
      <c r="G197" s="707" t="s">
        <v>606</v>
      </c>
      <c r="H197" s="494" t="s">
        <v>474</v>
      </c>
      <c r="I197" s="494" t="s">
        <v>475</v>
      </c>
      <c r="J197" s="495" t="s">
        <v>476</v>
      </c>
      <c r="K197" s="345">
        <f>126.4/1000</f>
        <v>0.1264</v>
      </c>
      <c r="L197" s="346" t="s">
        <v>304</v>
      </c>
      <c r="M197" s="23" t="s">
        <v>264</v>
      </c>
      <c r="N197" s="465">
        <f>SUM(O197,P197)</f>
        <v>5</v>
      </c>
      <c r="O197" s="585">
        <v>1.4</v>
      </c>
      <c r="P197" s="609">
        <v>3.6</v>
      </c>
      <c r="Q197" s="23" t="s">
        <v>264</v>
      </c>
      <c r="R197" s="403"/>
      <c r="S197" s="403"/>
      <c r="T197" s="963"/>
      <c r="U197" s="963"/>
      <c r="V197" s="963"/>
      <c r="W197" s="963"/>
      <c r="X197" s="401"/>
    </row>
    <row r="198" spans="1:24" s="226" customFormat="1" ht="13.5">
      <c r="A198" s="893"/>
      <c r="B198" s="899"/>
      <c r="C198" s="901"/>
      <c r="D198" s="644" t="s">
        <v>561</v>
      </c>
      <c r="E198" s="630" t="s">
        <v>517</v>
      </c>
      <c r="F198" s="645" t="s">
        <v>518</v>
      </c>
      <c r="G198" s="653" t="s">
        <v>607</v>
      </c>
      <c r="H198" s="348" t="s">
        <v>484</v>
      </c>
      <c r="I198" s="349" t="s">
        <v>477</v>
      </c>
      <c r="J198" s="344">
        <v>132</v>
      </c>
      <c r="K198" s="350">
        <f>68.2/1000</f>
        <v>0.0682</v>
      </c>
      <c r="L198" s="346" t="s">
        <v>304</v>
      </c>
      <c r="M198" s="23" t="s">
        <v>264</v>
      </c>
      <c r="N198" s="347">
        <f>SUM(O198,P198)</f>
        <v>12.7</v>
      </c>
      <c r="O198" s="585">
        <v>3.8</v>
      </c>
      <c r="P198" s="609">
        <v>8.9</v>
      </c>
      <c r="Q198" s="23" t="s">
        <v>264</v>
      </c>
      <c r="R198" s="403"/>
      <c r="S198" s="403"/>
      <c r="T198" s="963"/>
      <c r="U198" s="963"/>
      <c r="V198" s="963"/>
      <c r="W198" s="963"/>
      <c r="X198" s="401"/>
    </row>
    <row r="199" spans="1:24" s="226" customFormat="1" ht="13.5">
      <c r="A199" s="893"/>
      <c r="B199" s="899"/>
      <c r="C199" s="901"/>
      <c r="D199" s="644" t="s">
        <v>569</v>
      </c>
      <c r="E199" s="630" t="s">
        <v>608</v>
      </c>
      <c r="F199" s="645" t="s">
        <v>609</v>
      </c>
      <c r="G199" s="653" t="s">
        <v>610</v>
      </c>
      <c r="H199" s="496" t="s">
        <v>485</v>
      </c>
      <c r="I199" s="349" t="s">
        <v>478</v>
      </c>
      <c r="J199" s="497">
        <v>18</v>
      </c>
      <c r="K199" s="498">
        <f>193/1000</f>
        <v>0.193</v>
      </c>
      <c r="L199" s="499" t="s">
        <v>304</v>
      </c>
      <c r="M199" s="23" t="s">
        <v>264</v>
      </c>
      <c r="N199" s="465">
        <f>SUM(O199,P199)</f>
        <v>1.81</v>
      </c>
      <c r="O199" s="613">
        <v>0.61</v>
      </c>
      <c r="P199" s="609">
        <v>1.2</v>
      </c>
      <c r="Q199" s="23" t="s">
        <v>264</v>
      </c>
      <c r="R199" s="403"/>
      <c r="S199" s="403"/>
      <c r="T199" s="963"/>
      <c r="U199" s="963"/>
      <c r="V199" s="963"/>
      <c r="W199" s="963"/>
      <c r="X199" s="401"/>
    </row>
    <row r="200" spans="1:24" s="226" customFormat="1" ht="13.5">
      <c r="A200" s="894"/>
      <c r="B200" s="900"/>
      <c r="C200" s="850"/>
      <c r="D200" s="705" t="s">
        <v>569</v>
      </c>
      <c r="E200" s="706" t="s">
        <v>608</v>
      </c>
      <c r="F200" s="669" t="s">
        <v>611</v>
      </c>
      <c r="G200" s="670" t="s">
        <v>611</v>
      </c>
      <c r="H200" s="487" t="s">
        <v>486</v>
      </c>
      <c r="I200" s="385" t="s">
        <v>479</v>
      </c>
      <c r="J200" s="488">
        <v>55</v>
      </c>
      <c r="K200" s="500">
        <f>360.4/1000</f>
        <v>0.3604</v>
      </c>
      <c r="L200" s="501" t="s">
        <v>304</v>
      </c>
      <c r="M200" s="383" t="s">
        <v>264</v>
      </c>
      <c r="N200" s="490">
        <f>SUM(O200,P200)</f>
        <v>4.3</v>
      </c>
      <c r="O200" s="620">
        <v>1.3</v>
      </c>
      <c r="P200" s="618">
        <v>3</v>
      </c>
      <c r="Q200" s="383" t="s">
        <v>264</v>
      </c>
      <c r="R200" s="403"/>
      <c r="S200" s="403"/>
      <c r="T200" s="963"/>
      <c r="U200" s="963"/>
      <c r="V200" s="963"/>
      <c r="W200" s="963"/>
      <c r="X200" s="401"/>
    </row>
    <row r="202" spans="1:24" s="49" customFormat="1" ht="18" customHeight="1">
      <c r="A202" s="845" t="s">
        <v>1</v>
      </c>
      <c r="B202" s="846"/>
      <c r="C202" s="849" t="s">
        <v>282</v>
      </c>
      <c r="D202" s="851" t="s">
        <v>493</v>
      </c>
      <c r="E202" s="853" t="s">
        <v>494</v>
      </c>
      <c r="F202" s="855" t="s">
        <v>495</v>
      </c>
      <c r="G202" s="855" t="s">
        <v>496</v>
      </c>
      <c r="H202" s="857" t="s">
        <v>497</v>
      </c>
      <c r="I202" s="857" t="s">
        <v>498</v>
      </c>
      <c r="J202" s="906" t="s">
        <v>283</v>
      </c>
      <c r="K202" s="922" t="s">
        <v>284</v>
      </c>
      <c r="L202" s="921" t="s">
        <v>499</v>
      </c>
      <c r="M202" s="921"/>
      <c r="N202" s="917" t="s">
        <v>286</v>
      </c>
      <c r="O202" s="920"/>
      <c r="P202" s="920"/>
      <c r="Q202" s="911" t="s">
        <v>500</v>
      </c>
      <c r="R202" s="47"/>
      <c r="S202" s="47"/>
      <c r="T202" s="47"/>
      <c r="U202" s="47"/>
      <c r="V202" s="47"/>
      <c r="W202" s="47"/>
      <c r="X202" s="47"/>
    </row>
    <row r="203" spans="1:24" s="49" customFormat="1" ht="18" customHeight="1">
      <c r="A203" s="847"/>
      <c r="B203" s="848"/>
      <c r="C203" s="850"/>
      <c r="D203" s="852"/>
      <c r="E203" s="854"/>
      <c r="F203" s="856"/>
      <c r="G203" s="856"/>
      <c r="H203" s="858"/>
      <c r="I203" s="858"/>
      <c r="J203" s="907"/>
      <c r="K203" s="923"/>
      <c r="L203" s="503" t="s">
        <v>285</v>
      </c>
      <c r="M203" s="327" t="s">
        <v>287</v>
      </c>
      <c r="N203" s="504" t="s">
        <v>288</v>
      </c>
      <c r="O203" s="505" t="s">
        <v>289</v>
      </c>
      <c r="P203" s="561" t="s">
        <v>327</v>
      </c>
      <c r="Q203" s="858"/>
      <c r="R203" s="47"/>
      <c r="S203" s="401"/>
      <c r="T203" s="401"/>
      <c r="U203" s="47"/>
      <c r="V203" s="47"/>
      <c r="W203" s="47"/>
      <c r="X203" s="47"/>
    </row>
    <row r="204" spans="1:24" s="226" customFormat="1" ht="13.5" customHeight="1">
      <c r="A204" s="890" t="s">
        <v>439</v>
      </c>
      <c r="B204" s="895" t="s">
        <v>626</v>
      </c>
      <c r="C204" s="849">
        <v>41613</v>
      </c>
      <c r="D204" s="688" t="s">
        <v>587</v>
      </c>
      <c r="E204" s="689" t="s">
        <v>588</v>
      </c>
      <c r="F204" s="690" t="s">
        <v>589</v>
      </c>
      <c r="G204" s="662" t="s">
        <v>589</v>
      </c>
      <c r="H204" s="472" t="s">
        <v>440</v>
      </c>
      <c r="I204" s="473" t="s">
        <v>441</v>
      </c>
      <c r="J204" s="474">
        <v>32</v>
      </c>
      <c r="K204" s="475">
        <f>1280.5/1000</f>
        <v>1.2805</v>
      </c>
      <c r="L204" s="476" t="s">
        <v>304</v>
      </c>
      <c r="M204" s="21" t="s">
        <v>264</v>
      </c>
      <c r="N204" s="347">
        <f>SUM(O204,P204)</f>
        <v>22.6</v>
      </c>
      <c r="O204" s="477">
        <v>6.6</v>
      </c>
      <c r="P204" s="562">
        <v>16</v>
      </c>
      <c r="Q204" s="574">
        <v>5.2</v>
      </c>
      <c r="R204" s="403"/>
      <c r="S204" s="403"/>
      <c r="T204" s="397"/>
      <c r="U204" s="401"/>
      <c r="V204" s="556"/>
      <c r="W204" s="556"/>
      <c r="X204" s="401"/>
    </row>
    <row r="205" spans="1:24" s="226" customFormat="1" ht="13.5">
      <c r="A205" s="953"/>
      <c r="B205" s="955"/>
      <c r="C205" s="901"/>
      <c r="D205" s="677" t="s">
        <v>523</v>
      </c>
      <c r="E205" s="684" t="s">
        <v>524</v>
      </c>
      <c r="F205" s="681" t="s">
        <v>583</v>
      </c>
      <c r="G205" s="682" t="s">
        <v>584</v>
      </c>
      <c r="H205" s="348" t="s">
        <v>445</v>
      </c>
      <c r="I205" s="349" t="s">
        <v>446</v>
      </c>
      <c r="J205" s="444">
        <v>5</v>
      </c>
      <c r="K205" s="479">
        <v>3.7</v>
      </c>
      <c r="L205" s="449" t="s">
        <v>305</v>
      </c>
      <c r="M205" s="375" t="s">
        <v>447</v>
      </c>
      <c r="N205" s="465">
        <f aca="true" t="shared" si="6" ref="N205:N213">SUM(O205,P205)</f>
        <v>9.5</v>
      </c>
      <c r="O205" s="448">
        <v>2.6</v>
      </c>
      <c r="P205" s="563">
        <v>6.9</v>
      </c>
      <c r="Q205" s="575">
        <v>0.098</v>
      </c>
      <c r="R205" s="403"/>
      <c r="S205" s="403"/>
      <c r="T205" s="404"/>
      <c r="U205" s="401"/>
      <c r="V205" s="404"/>
      <c r="W205" s="404"/>
      <c r="X205" s="47"/>
    </row>
    <row r="206" spans="1:24" s="226" customFormat="1" ht="13.5">
      <c r="A206" s="953"/>
      <c r="B206" s="955"/>
      <c r="C206" s="901"/>
      <c r="D206" s="644" t="s">
        <v>523</v>
      </c>
      <c r="E206" s="645" t="s">
        <v>524</v>
      </c>
      <c r="F206" s="520" t="s">
        <v>579</v>
      </c>
      <c r="G206" s="653" t="s">
        <v>580</v>
      </c>
      <c r="H206" s="348" t="s">
        <v>448</v>
      </c>
      <c r="I206" s="349" t="s">
        <v>449</v>
      </c>
      <c r="J206" s="444">
        <v>5</v>
      </c>
      <c r="K206" s="479">
        <v>2.8</v>
      </c>
      <c r="L206" s="449" t="s">
        <v>307</v>
      </c>
      <c r="M206" s="775" t="s">
        <v>666</v>
      </c>
      <c r="N206" s="465">
        <f t="shared" si="6"/>
        <v>2.7</v>
      </c>
      <c r="O206" s="754" t="s">
        <v>639</v>
      </c>
      <c r="P206" s="755">
        <v>2.7</v>
      </c>
      <c r="Q206" s="23" t="s">
        <v>264</v>
      </c>
      <c r="R206" s="528"/>
      <c r="S206" s="528"/>
      <c r="T206" s="528"/>
      <c r="U206" s="401"/>
      <c r="V206" s="528"/>
      <c r="W206" s="528"/>
      <c r="X206" s="47"/>
    </row>
    <row r="207" spans="1:24" s="226" customFormat="1" ht="13.5">
      <c r="A207" s="953"/>
      <c r="B207" s="955"/>
      <c r="C207" s="901"/>
      <c r="D207" s="677" t="s">
        <v>523</v>
      </c>
      <c r="E207" s="678" t="s">
        <v>524</v>
      </c>
      <c r="F207" s="634" t="s">
        <v>578</v>
      </c>
      <c r="G207" s="679" t="s">
        <v>578</v>
      </c>
      <c r="H207" s="348" t="s">
        <v>450</v>
      </c>
      <c r="I207" s="349" t="s">
        <v>451</v>
      </c>
      <c r="J207" s="444">
        <v>5</v>
      </c>
      <c r="K207" s="479">
        <v>4.2</v>
      </c>
      <c r="L207" s="449" t="s">
        <v>305</v>
      </c>
      <c r="M207" s="375" t="s">
        <v>452</v>
      </c>
      <c r="N207" s="347">
        <f t="shared" si="6"/>
        <v>12.399999999999999</v>
      </c>
      <c r="O207" s="448">
        <v>3.7</v>
      </c>
      <c r="P207" s="563">
        <v>8.7</v>
      </c>
      <c r="Q207" s="575">
        <v>0.081</v>
      </c>
      <c r="R207" s="403"/>
      <c r="S207" s="403"/>
      <c r="T207" s="404"/>
      <c r="U207" s="401"/>
      <c r="V207" s="404"/>
      <c r="W207" s="404"/>
      <c r="X207" s="47"/>
    </row>
    <row r="208" spans="1:24" s="226" customFormat="1" ht="13.5">
      <c r="A208" s="953"/>
      <c r="B208" s="955"/>
      <c r="C208" s="901"/>
      <c r="D208" s="632" t="s">
        <v>523</v>
      </c>
      <c r="E208" s="680" t="s">
        <v>524</v>
      </c>
      <c r="F208" s="691" t="s">
        <v>579</v>
      </c>
      <c r="G208" s="653" t="s">
        <v>579</v>
      </c>
      <c r="H208" s="348" t="s">
        <v>453</v>
      </c>
      <c r="I208" s="349" t="s">
        <v>454</v>
      </c>
      <c r="J208" s="444">
        <v>8</v>
      </c>
      <c r="K208" s="479">
        <v>2.9</v>
      </c>
      <c r="L208" s="449" t="s">
        <v>356</v>
      </c>
      <c r="M208" s="23" t="s">
        <v>264</v>
      </c>
      <c r="N208" s="465">
        <f t="shared" si="6"/>
        <v>7.5</v>
      </c>
      <c r="O208" s="448">
        <v>2.1</v>
      </c>
      <c r="P208" s="563">
        <v>5.4</v>
      </c>
      <c r="Q208" s="575">
        <v>0.077</v>
      </c>
      <c r="R208" s="403"/>
      <c r="S208" s="403"/>
      <c r="T208" s="404"/>
      <c r="U208" s="401"/>
      <c r="V208" s="404"/>
      <c r="W208" s="404"/>
      <c r="X208" s="401"/>
    </row>
    <row r="209" spans="1:24" s="226" customFormat="1" ht="13.5" customHeight="1">
      <c r="A209" s="953"/>
      <c r="B209" s="955"/>
      <c r="C209" s="901"/>
      <c r="D209" s="632" t="s">
        <v>523</v>
      </c>
      <c r="E209" s="680" t="s">
        <v>524</v>
      </c>
      <c r="F209" s="691" t="s">
        <v>579</v>
      </c>
      <c r="G209" s="653" t="s">
        <v>579</v>
      </c>
      <c r="H209" s="348" t="s">
        <v>455</v>
      </c>
      <c r="I209" s="349" t="s">
        <v>456</v>
      </c>
      <c r="J209" s="444">
        <v>10</v>
      </c>
      <c r="K209" s="479">
        <v>3.1</v>
      </c>
      <c r="L209" s="449" t="s">
        <v>305</v>
      </c>
      <c r="M209" s="375" t="s">
        <v>457</v>
      </c>
      <c r="N209" s="465">
        <f t="shared" si="6"/>
        <v>6.199999999999999</v>
      </c>
      <c r="O209" s="448">
        <v>1.9</v>
      </c>
      <c r="P209" s="563">
        <v>4.3</v>
      </c>
      <c r="Q209" s="23" t="s">
        <v>264</v>
      </c>
      <c r="R209" s="403"/>
      <c r="S209" s="403"/>
      <c r="T209" s="844"/>
      <c r="U209" s="949"/>
      <c r="V209" s="949"/>
      <c r="W209" s="949"/>
      <c r="X209" s="47"/>
    </row>
    <row r="210" spans="1:24" s="226" customFormat="1" ht="13.5">
      <c r="A210" s="953"/>
      <c r="B210" s="955"/>
      <c r="C210" s="901"/>
      <c r="D210" s="644" t="s">
        <v>523</v>
      </c>
      <c r="E210" s="630" t="s">
        <v>524</v>
      </c>
      <c r="F210" s="520" t="s">
        <v>576</v>
      </c>
      <c r="G210" s="653" t="s">
        <v>576</v>
      </c>
      <c r="H210" s="348" t="s">
        <v>442</v>
      </c>
      <c r="I210" s="349" t="s">
        <v>443</v>
      </c>
      <c r="J210" s="344">
        <v>1</v>
      </c>
      <c r="K210" s="478">
        <v>3.9</v>
      </c>
      <c r="L210" s="351" t="s">
        <v>407</v>
      </c>
      <c r="M210" s="375" t="s">
        <v>444</v>
      </c>
      <c r="N210" s="465">
        <f>SUM(O210,P210)</f>
        <v>4.5</v>
      </c>
      <c r="O210" s="352">
        <v>1.3</v>
      </c>
      <c r="P210" s="563">
        <v>3.2</v>
      </c>
      <c r="Q210" s="575">
        <v>0.064</v>
      </c>
      <c r="R210" s="403"/>
      <c r="S210" s="403"/>
      <c r="T210" s="403"/>
      <c r="U210" s="401"/>
      <c r="V210" s="404"/>
      <c r="W210" s="404"/>
      <c r="X210" s="47"/>
    </row>
    <row r="211" spans="1:24" s="226" customFormat="1" ht="13.5">
      <c r="A211" s="953"/>
      <c r="B211" s="955"/>
      <c r="C211" s="901"/>
      <c r="D211" s="644" t="s">
        <v>523</v>
      </c>
      <c r="E211" s="633" t="s">
        <v>524</v>
      </c>
      <c r="F211" s="675" t="s">
        <v>443</v>
      </c>
      <c r="G211" s="676" t="s">
        <v>577</v>
      </c>
      <c r="H211" s="348" t="s">
        <v>468</v>
      </c>
      <c r="I211" s="349" t="s">
        <v>469</v>
      </c>
      <c r="J211" s="344">
        <v>8</v>
      </c>
      <c r="K211" s="478">
        <f>1374.3/1000</f>
        <v>1.3742999999999999</v>
      </c>
      <c r="L211" s="351" t="s">
        <v>356</v>
      </c>
      <c r="M211" s="375" t="s">
        <v>411</v>
      </c>
      <c r="N211" s="465">
        <f>SUM(O211,P211)</f>
        <v>4.2</v>
      </c>
      <c r="O211" s="352">
        <v>1.3</v>
      </c>
      <c r="P211" s="563">
        <v>2.9</v>
      </c>
      <c r="Q211" s="23" t="s">
        <v>264</v>
      </c>
      <c r="R211" s="403"/>
      <c r="S211" s="403"/>
      <c r="T211" s="403"/>
      <c r="U211" s="401"/>
      <c r="V211" s="404"/>
      <c r="W211" s="404"/>
      <c r="X211" s="47"/>
    </row>
    <row r="212" spans="1:24" s="226" customFormat="1" ht="13.5">
      <c r="A212" s="953"/>
      <c r="B212" s="955"/>
      <c r="C212" s="901"/>
      <c r="D212" s="632" t="s">
        <v>523</v>
      </c>
      <c r="E212" s="633" t="s">
        <v>581</v>
      </c>
      <c r="F212" s="675" t="s">
        <v>582</v>
      </c>
      <c r="G212" s="676" t="s">
        <v>582</v>
      </c>
      <c r="H212" s="348" t="s">
        <v>458</v>
      </c>
      <c r="I212" s="349" t="s">
        <v>459</v>
      </c>
      <c r="J212" s="444">
        <v>5</v>
      </c>
      <c r="K212" s="479">
        <v>3.4</v>
      </c>
      <c r="L212" s="446" t="s">
        <v>383</v>
      </c>
      <c r="M212" s="375" t="s">
        <v>457</v>
      </c>
      <c r="N212" s="347">
        <f>SUM(O212,P212)</f>
        <v>50</v>
      </c>
      <c r="O212" s="308">
        <v>15</v>
      </c>
      <c r="P212" s="564">
        <v>35</v>
      </c>
      <c r="Q212" s="498">
        <v>0.2</v>
      </c>
      <c r="R212" s="403"/>
      <c r="S212" s="403"/>
      <c r="T212" s="403"/>
      <c r="U212" s="401"/>
      <c r="V212" s="404"/>
      <c r="W212" s="404"/>
      <c r="X212" s="47"/>
    </row>
    <row r="213" spans="1:24" s="226" customFormat="1" ht="13.5">
      <c r="A213" s="953"/>
      <c r="B213" s="956"/>
      <c r="C213" s="901"/>
      <c r="D213" s="644" t="s">
        <v>523</v>
      </c>
      <c r="E213" s="685" t="s">
        <v>581</v>
      </c>
      <c r="F213" s="686" t="s">
        <v>585</v>
      </c>
      <c r="G213" s="687" t="s">
        <v>586</v>
      </c>
      <c r="H213" s="384" t="s">
        <v>460</v>
      </c>
      <c r="I213" s="385" t="s">
        <v>461</v>
      </c>
      <c r="J213" s="480">
        <v>3</v>
      </c>
      <c r="K213" s="481">
        <v>2.4</v>
      </c>
      <c r="L213" s="482" t="s">
        <v>383</v>
      </c>
      <c r="M213" s="390" t="s">
        <v>411</v>
      </c>
      <c r="N213" s="490">
        <f t="shared" si="6"/>
        <v>4.6</v>
      </c>
      <c r="O213" s="483">
        <v>1.5</v>
      </c>
      <c r="P213" s="565">
        <v>3.1</v>
      </c>
      <c r="Q213" s="575">
        <v>0.024</v>
      </c>
      <c r="R213" s="403"/>
      <c r="S213" s="403"/>
      <c r="T213" s="404"/>
      <c r="U213" s="401"/>
      <c r="V213" s="557"/>
      <c r="W213" s="404"/>
      <c r="X213" s="47"/>
    </row>
    <row r="214" spans="1:24" s="226" customFormat="1" ht="13.5" customHeight="1">
      <c r="A214" s="953"/>
      <c r="B214" s="895" t="s">
        <v>627</v>
      </c>
      <c r="C214" s="957"/>
      <c r="D214" s="692" t="s">
        <v>590</v>
      </c>
      <c r="E214" s="693" t="s">
        <v>591</v>
      </c>
      <c r="F214" s="519" t="s">
        <v>592</v>
      </c>
      <c r="G214" s="694" t="s">
        <v>592</v>
      </c>
      <c r="H214" s="484" t="s">
        <v>462</v>
      </c>
      <c r="I214" s="331" t="s">
        <v>463</v>
      </c>
      <c r="J214" s="332" t="s">
        <v>264</v>
      </c>
      <c r="K214" s="485">
        <f>1082/1000</f>
        <v>1.082</v>
      </c>
      <c r="L214" s="334" t="s">
        <v>264</v>
      </c>
      <c r="M214" s="336" t="s">
        <v>264</v>
      </c>
      <c r="N214" s="533">
        <f>SUM(O214,P214)</f>
        <v>1.05</v>
      </c>
      <c r="O214" s="486">
        <v>0.43</v>
      </c>
      <c r="P214" s="566">
        <v>0.62</v>
      </c>
      <c r="Q214" s="336" t="s">
        <v>264</v>
      </c>
      <c r="R214" s="558"/>
      <c r="S214" s="558"/>
      <c r="T214" s="948"/>
      <c r="U214" s="959"/>
      <c r="V214" s="959"/>
      <c r="W214" s="959"/>
      <c r="X214" s="538"/>
    </row>
    <row r="215" spans="1:24" s="226" customFormat="1" ht="13.5">
      <c r="A215" s="953"/>
      <c r="B215" s="955"/>
      <c r="C215" s="957"/>
      <c r="D215" s="695" t="s">
        <v>587</v>
      </c>
      <c r="E215" s="696" t="s">
        <v>593</v>
      </c>
      <c r="F215" s="520" t="s">
        <v>594</v>
      </c>
      <c r="G215" s="653" t="s">
        <v>595</v>
      </c>
      <c r="H215" s="348" t="s">
        <v>464</v>
      </c>
      <c r="I215" s="349" t="s">
        <v>465</v>
      </c>
      <c r="J215" s="344">
        <v>13</v>
      </c>
      <c r="K215" s="478">
        <f>1670.5/1000</f>
        <v>1.6705</v>
      </c>
      <c r="L215" s="346" t="s">
        <v>304</v>
      </c>
      <c r="M215" s="23" t="s">
        <v>264</v>
      </c>
      <c r="N215" s="465">
        <f>SUM(O215,P215)</f>
        <v>6.7</v>
      </c>
      <c r="O215" s="352">
        <v>2</v>
      </c>
      <c r="P215" s="563">
        <v>4.7</v>
      </c>
      <c r="Q215" s="23" t="s">
        <v>264</v>
      </c>
      <c r="R215" s="403"/>
      <c r="S215" s="403"/>
      <c r="T215" s="844"/>
      <c r="U215" s="949"/>
      <c r="V215" s="949"/>
      <c r="W215" s="949"/>
      <c r="X215" s="401"/>
    </row>
    <row r="216" spans="1:24" s="226" customFormat="1" ht="13.5">
      <c r="A216" s="954"/>
      <c r="B216" s="956"/>
      <c r="C216" s="958"/>
      <c r="D216" s="697" t="s">
        <v>569</v>
      </c>
      <c r="E216" s="685" t="s">
        <v>596</v>
      </c>
      <c r="F216" s="683" t="s">
        <v>597</v>
      </c>
      <c r="G216" s="670" t="s">
        <v>598</v>
      </c>
      <c r="H216" s="487" t="s">
        <v>466</v>
      </c>
      <c r="I216" s="385" t="s">
        <v>467</v>
      </c>
      <c r="J216" s="488">
        <v>10</v>
      </c>
      <c r="K216" s="387">
        <f>1356.5/1000</f>
        <v>1.3565</v>
      </c>
      <c r="L216" s="489" t="s">
        <v>304</v>
      </c>
      <c r="M216" s="329" t="s">
        <v>264</v>
      </c>
      <c r="N216" s="490">
        <f>SUM(O216,P216)</f>
        <v>1.7999999999999998</v>
      </c>
      <c r="O216" s="491">
        <v>0.6</v>
      </c>
      <c r="P216" s="565">
        <v>1.2</v>
      </c>
      <c r="Q216" s="383" t="s">
        <v>264</v>
      </c>
      <c r="R216" s="403"/>
      <c r="S216" s="403"/>
      <c r="T216" s="844"/>
      <c r="U216" s="844"/>
      <c r="V216" s="844"/>
      <c r="W216" s="844"/>
      <c r="X216" s="401"/>
    </row>
    <row r="217" spans="1:24" s="226" customFormat="1" ht="13.5">
      <c r="A217" s="761"/>
      <c r="B217" s="116"/>
      <c r="C217" s="393"/>
      <c r="D217" s="235"/>
      <c r="E217" s="98"/>
      <c r="F217" s="394"/>
      <c r="G217" s="395"/>
      <c r="H217" s="396"/>
      <c r="I217" s="397"/>
      <c r="J217" s="398"/>
      <c r="K217" s="399"/>
      <c r="L217" s="400"/>
      <c r="M217" s="401"/>
      <c r="N217" s="402"/>
      <c r="O217" s="402"/>
      <c r="P217" s="400"/>
      <c r="Q217" s="401"/>
      <c r="R217" s="402"/>
      <c r="S217" s="402"/>
      <c r="T217" s="403"/>
      <c r="U217" s="401"/>
      <c r="V217" s="404"/>
      <c r="W217" s="404"/>
      <c r="X217" s="47"/>
    </row>
    <row r="226" spans="1:24" s="226" customFormat="1" ht="13.5">
      <c r="A226" s="761"/>
      <c r="B226" s="116"/>
      <c r="C226" s="393"/>
      <c r="D226" s="235"/>
      <c r="E226" s="98"/>
      <c r="F226" s="394"/>
      <c r="G226" s="395"/>
      <c r="H226" s="396"/>
      <c r="I226" s="397"/>
      <c r="J226" s="398"/>
      <c r="K226" s="399"/>
      <c r="L226" s="400"/>
      <c r="M226" s="401"/>
      <c r="N226" s="402"/>
      <c r="O226" s="402"/>
      <c r="P226" s="400"/>
      <c r="Q226" s="401"/>
      <c r="R226" s="402"/>
      <c r="S226" s="402"/>
      <c r="T226" s="403"/>
      <c r="U226" s="401"/>
      <c r="V226" s="404"/>
      <c r="W226" s="404"/>
      <c r="X226" s="47"/>
    </row>
    <row r="236" spans="1:24" s="226" customFormat="1" ht="13.5">
      <c r="A236" s="391"/>
      <c r="B236" s="392"/>
      <c r="C236" s="393"/>
      <c r="D236" s="235"/>
      <c r="E236" s="98"/>
      <c r="F236" s="394"/>
      <c r="G236" s="395"/>
      <c r="H236" s="396"/>
      <c r="I236" s="397"/>
      <c r="J236" s="398"/>
      <c r="K236" s="399"/>
      <c r="L236" s="400"/>
      <c r="M236" s="401"/>
      <c r="N236" s="402"/>
      <c r="O236" s="402"/>
      <c r="P236" s="400"/>
      <c r="Q236" s="401"/>
      <c r="R236" s="402"/>
      <c r="S236" s="402"/>
      <c r="T236" s="403"/>
      <c r="U236" s="401"/>
      <c r="V236" s="404"/>
      <c r="W236" s="404"/>
      <c r="X236" s="47"/>
    </row>
    <row r="237" spans="1:24" s="226" customFormat="1" ht="13.5">
      <c r="A237" s="391"/>
      <c r="B237" s="392"/>
      <c r="C237" s="393"/>
      <c r="D237" s="235"/>
      <c r="E237" s="98"/>
      <c r="F237" s="394"/>
      <c r="G237" s="395"/>
      <c r="H237" s="396"/>
      <c r="I237" s="397"/>
      <c r="J237" s="398"/>
      <c r="K237" s="399"/>
      <c r="L237" s="400"/>
      <c r="M237" s="401"/>
      <c r="N237" s="402"/>
      <c r="O237" s="402"/>
      <c r="P237" s="400"/>
      <c r="Q237" s="401"/>
      <c r="R237" s="402"/>
      <c r="S237" s="402"/>
      <c r="T237" s="403"/>
      <c r="U237" s="401"/>
      <c r="V237" s="404"/>
      <c r="W237" s="404"/>
      <c r="X237" s="47"/>
    </row>
    <row r="238" spans="1:24" s="226" customFormat="1" ht="13.5">
      <c r="A238" s="391"/>
      <c r="B238" s="405"/>
      <c r="C238" s="393"/>
      <c r="D238" s="235"/>
      <c r="E238" s="98"/>
      <c r="F238" s="394"/>
      <c r="G238" s="395"/>
      <c r="H238" s="396"/>
      <c r="I238" s="397"/>
      <c r="J238" s="398"/>
      <c r="K238" s="399"/>
      <c r="L238" s="400"/>
      <c r="M238" s="401"/>
      <c r="N238" s="402"/>
      <c r="O238" s="402"/>
      <c r="P238" s="400"/>
      <c r="Q238" s="401"/>
      <c r="R238" s="402"/>
      <c r="S238" s="402"/>
      <c r="T238" s="403"/>
      <c r="U238" s="401"/>
      <c r="V238" s="404"/>
      <c r="W238" s="404"/>
      <c r="X238" s="47"/>
    </row>
    <row r="239" spans="1:24" s="226" customFormat="1" ht="13.5">
      <c r="A239" s="49"/>
      <c r="B239" s="406"/>
      <c r="C239" s="104"/>
      <c r="D239" s="407"/>
      <c r="E239" s="408"/>
      <c r="F239" s="408"/>
      <c r="G239" s="408"/>
      <c r="H239" s="409"/>
      <c r="I239" s="49"/>
      <c r="J239" s="410"/>
      <c r="K239" s="411"/>
      <c r="L239" s="412"/>
      <c r="M239" s="103"/>
      <c r="N239" s="105"/>
      <c r="O239" s="105"/>
      <c r="P239" s="412"/>
      <c r="Q239" s="103"/>
      <c r="R239" s="105"/>
      <c r="S239" s="105"/>
      <c r="T239" s="49"/>
      <c r="U239" s="103"/>
      <c r="V239" s="49"/>
      <c r="W239" s="49"/>
      <c r="X239" s="49"/>
    </row>
    <row r="240" spans="1:17" s="226" customFormat="1" ht="13.5">
      <c r="A240" s="233"/>
      <c r="B240" s="233"/>
      <c r="C240" s="233"/>
      <c r="D240" s="98"/>
      <c r="E240" s="98"/>
      <c r="F240" s="98"/>
      <c r="G240" s="98"/>
      <c r="H240" s="154"/>
      <c r="I240" s="98"/>
      <c r="J240" s="230"/>
      <c r="K240" s="145"/>
      <c r="L240" s="101"/>
      <c r="M240" s="220"/>
      <c r="N240" s="99"/>
      <c r="O240" s="99"/>
      <c r="P240" s="99"/>
      <c r="Q240" s="162"/>
    </row>
    <row r="241" spans="1:17" s="226" customFormat="1" ht="13.5">
      <c r="A241" s="233"/>
      <c r="B241" s="233"/>
      <c r="C241" s="233"/>
      <c r="D241" s="98"/>
      <c r="E241" s="98"/>
      <c r="F241" s="98"/>
      <c r="G241" s="98"/>
      <c r="H241" s="154"/>
      <c r="I241" s="98"/>
      <c r="J241" s="230"/>
      <c r="K241" s="145"/>
      <c r="L241" s="234"/>
      <c r="M241" s="238"/>
      <c r="N241" s="230"/>
      <c r="O241" s="101"/>
      <c r="P241" s="101"/>
      <c r="Q241" s="223"/>
    </row>
    <row r="242" spans="1:17" s="226" customFormat="1" ht="13.5">
      <c r="A242" s="233"/>
      <c r="B242" s="233"/>
      <c r="C242" s="233"/>
      <c r="D242" s="98"/>
      <c r="E242" s="98"/>
      <c r="F242" s="98"/>
      <c r="G242" s="98"/>
      <c r="H242" s="154"/>
      <c r="I242" s="98"/>
      <c r="J242" s="230"/>
      <c r="K242" s="145"/>
      <c r="L242" s="101"/>
      <c r="M242" s="220"/>
      <c r="N242" s="145"/>
      <c r="O242" s="100"/>
      <c r="P242" s="145"/>
      <c r="Q242" s="237"/>
    </row>
    <row r="243" spans="1:17" s="226" customFormat="1" ht="13.5">
      <c r="A243" s="233"/>
      <c r="B243" s="233"/>
      <c r="C243" s="233"/>
      <c r="D243" s="98"/>
      <c r="E243" s="98"/>
      <c r="F243" s="98"/>
      <c r="G243" s="98"/>
      <c r="H243" s="154"/>
      <c r="I243" s="98"/>
      <c r="J243" s="230"/>
      <c r="K243" s="100"/>
      <c r="L243" s="234"/>
      <c r="M243" s="238"/>
      <c r="N243" s="99"/>
      <c r="O243" s="145"/>
      <c r="P243" s="145"/>
      <c r="Q243" s="223"/>
    </row>
    <row r="244" spans="1:17" s="226" customFormat="1" ht="13.5">
      <c r="A244" s="233"/>
      <c r="B244" s="233"/>
      <c r="C244" s="233"/>
      <c r="D244" s="98"/>
      <c r="E244" s="98"/>
      <c r="F244" s="98"/>
      <c r="G244" s="98"/>
      <c r="H244" s="154"/>
      <c r="I244" s="98"/>
      <c r="J244" s="99"/>
      <c r="K244" s="100"/>
      <c r="L244" s="222"/>
      <c r="M244" s="220"/>
      <c r="N244" s="145"/>
      <c r="O244" s="237"/>
      <c r="P244" s="237"/>
      <c r="Q244" s="223"/>
    </row>
    <row r="245" spans="1:17" s="226" customFormat="1" ht="13.5">
      <c r="A245" s="233"/>
      <c r="B245" s="233"/>
      <c r="C245" s="233"/>
      <c r="D245" s="98"/>
      <c r="E245" s="98"/>
      <c r="F245" s="98"/>
      <c r="G245" s="98"/>
      <c r="H245" s="154"/>
      <c r="I245" s="98"/>
      <c r="J245" s="99"/>
      <c r="K245" s="100"/>
      <c r="L245" s="222"/>
      <c r="M245" s="220"/>
      <c r="N245" s="99"/>
      <c r="O245" s="145"/>
      <c r="P245" s="99"/>
      <c r="Q245" s="223"/>
    </row>
    <row r="246" spans="1:17" s="226" customFormat="1" ht="13.5">
      <c r="A246" s="43"/>
      <c r="B246" s="43"/>
      <c r="C246" s="221"/>
      <c r="D246" s="98"/>
      <c r="E246" s="98"/>
      <c r="F246" s="98"/>
      <c r="G246" s="98"/>
      <c r="H246" s="98"/>
      <c r="I246" s="98"/>
      <c r="J246" s="99"/>
      <c r="K246" s="224"/>
      <c r="L246" s="225"/>
      <c r="M246" s="232"/>
      <c r="N246" s="224"/>
      <c r="O246" s="98"/>
      <c r="P246" s="98"/>
      <c r="Q246" s="98"/>
    </row>
    <row r="247" spans="1:17" s="226" customFormat="1" ht="13.5">
      <c r="A247" s="43"/>
      <c r="B247" s="43"/>
      <c r="C247" s="221"/>
      <c r="D247" s="43"/>
      <c r="E247" s="43"/>
      <c r="F247" s="43"/>
      <c r="G247" s="43"/>
      <c r="H247" s="43"/>
      <c r="I247" s="43"/>
      <c r="J247" s="227"/>
      <c r="K247" s="228"/>
      <c r="L247" s="220"/>
      <c r="M247" s="220"/>
      <c r="N247" s="229"/>
      <c r="O247" s="220"/>
      <c r="P247" s="220"/>
      <c r="Q247" s="220"/>
    </row>
    <row r="248" spans="1:17" s="226" customFormat="1" ht="13.5">
      <c r="A248" s="43"/>
      <c r="B248" s="43"/>
      <c r="C248" s="221"/>
      <c r="D248" s="43"/>
      <c r="E248" s="43"/>
      <c r="F248" s="43"/>
      <c r="G248" s="43"/>
      <c r="H248" s="43"/>
      <c r="I248" s="43"/>
      <c r="J248" s="230"/>
      <c r="K248" s="225"/>
      <c r="L248" s="225"/>
      <c r="M248" s="220"/>
      <c r="N248" s="43"/>
      <c r="O248" s="231"/>
      <c r="P248" s="231"/>
      <c r="Q248" s="43"/>
    </row>
    <row r="249" spans="1:17" s="226" customFormat="1" ht="13.5">
      <c r="A249" s="219"/>
      <c r="B249" s="220"/>
      <c r="C249" s="221"/>
      <c r="D249" s="98"/>
      <c r="E249" s="98"/>
      <c r="F249" s="98"/>
      <c r="G249" s="98"/>
      <c r="H249" s="154"/>
      <c r="I249" s="98"/>
      <c r="J249" s="99"/>
      <c r="K249" s="145"/>
      <c r="L249" s="101"/>
      <c r="M249" s="220"/>
      <c r="N249" s="99"/>
      <c r="O249" s="102"/>
      <c r="P249" s="102"/>
      <c r="Q249" s="223"/>
    </row>
    <row r="250" spans="1:17" s="226" customFormat="1" ht="13.5">
      <c r="A250" s="233"/>
      <c r="B250" s="233"/>
      <c r="C250" s="233"/>
      <c r="D250" s="98"/>
      <c r="E250" s="98"/>
      <c r="F250" s="98"/>
      <c r="G250" s="98"/>
      <c r="H250" s="154"/>
      <c r="I250" s="98"/>
      <c r="J250" s="99"/>
      <c r="K250" s="145"/>
      <c r="L250" s="101"/>
      <c r="M250" s="232"/>
      <c r="N250" s="145"/>
      <c r="O250" s="237"/>
      <c r="P250" s="237"/>
      <c r="Q250" s="223"/>
    </row>
    <row r="251" spans="1:17" s="226" customFormat="1" ht="13.5">
      <c r="A251" s="233"/>
      <c r="B251" s="233"/>
      <c r="C251" s="233"/>
      <c r="D251" s="98"/>
      <c r="E251" s="98"/>
      <c r="F251" s="98"/>
      <c r="G251" s="98"/>
      <c r="H251" s="154"/>
      <c r="I251" s="98"/>
      <c r="J251" s="99"/>
      <c r="K251" s="145"/>
      <c r="L251" s="101"/>
      <c r="M251" s="232"/>
      <c r="N251" s="99"/>
      <c r="O251" s="102"/>
      <c r="P251" s="102"/>
      <c r="Q251" s="162"/>
    </row>
    <row r="252" spans="1:17" s="226" customFormat="1" ht="13.5">
      <c r="A252" s="233"/>
      <c r="B252" s="233"/>
      <c r="C252" s="233"/>
      <c r="D252" s="98"/>
      <c r="E252" s="98"/>
      <c r="F252" s="98"/>
      <c r="G252" s="98"/>
      <c r="H252" s="154"/>
      <c r="I252" s="98"/>
      <c r="J252" s="99"/>
      <c r="K252" s="145"/>
      <c r="L252" s="101"/>
      <c r="M252" s="232"/>
      <c r="N252" s="99"/>
      <c r="O252" s="102"/>
      <c r="P252" s="102"/>
      <c r="Q252" s="241"/>
    </row>
    <row r="253" spans="1:17" s="226" customFormat="1" ht="13.5">
      <c r="A253" s="233"/>
      <c r="B253" s="233"/>
      <c r="C253" s="233"/>
      <c r="D253" s="98"/>
      <c r="E253" s="98"/>
      <c r="F253" s="98"/>
      <c r="G253" s="98"/>
      <c r="H253" s="154"/>
      <c r="I253" s="98"/>
      <c r="J253" s="99"/>
      <c r="K253" s="145"/>
      <c r="L253" s="101"/>
      <c r="M253" s="232"/>
      <c r="N253" s="99"/>
      <c r="O253" s="237"/>
      <c r="P253" s="102"/>
      <c r="Q253" s="223"/>
    </row>
    <row r="254" spans="1:17" s="226" customFormat="1" ht="13.5">
      <c r="A254" s="233"/>
      <c r="B254" s="233"/>
      <c r="C254" s="233"/>
      <c r="D254" s="98"/>
      <c r="E254" s="98"/>
      <c r="F254" s="98"/>
      <c r="G254" s="98"/>
      <c r="H254" s="154"/>
      <c r="I254" s="98"/>
      <c r="J254" s="99"/>
      <c r="K254" s="145"/>
      <c r="L254" s="101"/>
      <c r="M254" s="232"/>
      <c r="N254" s="99"/>
      <c r="O254" s="102"/>
      <c r="P254" s="102"/>
      <c r="Q254" s="223"/>
    </row>
    <row r="255" spans="1:17" s="226" customFormat="1" ht="13.5">
      <c r="A255" s="233"/>
      <c r="B255" s="233"/>
      <c r="C255" s="233"/>
      <c r="D255" s="239"/>
      <c r="E255" s="239"/>
      <c r="F255" s="239"/>
      <c r="G255" s="239"/>
      <c r="H255" s="242"/>
      <c r="I255" s="98"/>
      <c r="J255" s="230"/>
      <c r="K255" s="236"/>
      <c r="L255" s="101"/>
      <c r="M255" s="220"/>
      <c r="N255" s="145"/>
      <c r="O255" s="145"/>
      <c r="P255" s="145"/>
      <c r="Q255" s="223"/>
    </row>
    <row r="256" spans="1:17" s="226" customFormat="1" ht="13.5">
      <c r="A256" s="233"/>
      <c r="B256" s="233"/>
      <c r="C256" s="233"/>
      <c r="D256" s="98"/>
      <c r="E256" s="98"/>
      <c r="F256" s="98"/>
      <c r="G256" s="98"/>
      <c r="H256" s="154"/>
      <c r="I256" s="98"/>
      <c r="J256" s="99"/>
      <c r="K256" s="145"/>
      <c r="L256" s="101"/>
      <c r="M256" s="232"/>
      <c r="N256" s="99"/>
      <c r="O256" s="102"/>
      <c r="P256" s="102"/>
      <c r="Q256" s="241"/>
    </row>
    <row r="257" spans="1:17" s="226" customFormat="1" ht="13.5">
      <c r="A257" s="233"/>
      <c r="B257" s="220"/>
      <c r="C257" s="221"/>
      <c r="D257" s="98"/>
      <c r="E257" s="98"/>
      <c r="F257" s="98"/>
      <c r="G257" s="98"/>
      <c r="H257" s="154"/>
      <c r="I257" s="98"/>
      <c r="J257" s="230"/>
      <c r="K257" s="145"/>
      <c r="L257" s="101"/>
      <c r="M257" s="220"/>
      <c r="N257" s="145"/>
      <c r="O257" s="237"/>
      <c r="P257" s="145"/>
      <c r="Q257" s="223"/>
    </row>
    <row r="258" spans="1:17" s="226" customFormat="1" ht="13.5">
      <c r="A258" s="233"/>
      <c r="B258" s="220"/>
      <c r="C258" s="221"/>
      <c r="D258" s="98"/>
      <c r="E258" s="98"/>
      <c r="F258" s="98"/>
      <c r="G258" s="98"/>
      <c r="H258" s="154"/>
      <c r="I258" s="98"/>
      <c r="J258" s="99"/>
      <c r="K258" s="145"/>
      <c r="L258" s="101"/>
      <c r="M258" s="220"/>
      <c r="N258" s="99"/>
      <c r="O258" s="237"/>
      <c r="P258" s="145"/>
      <c r="Q258" s="223"/>
    </row>
    <row r="259" spans="1:17" s="226" customFormat="1" ht="13.5" customHeight="1">
      <c r="A259" s="233"/>
      <c r="B259" s="233"/>
      <c r="C259" s="233"/>
      <c r="D259" s="98"/>
      <c r="E259" s="98"/>
      <c r="F259" s="98"/>
      <c r="G259" s="98"/>
      <c r="H259" s="154"/>
      <c r="I259" s="98"/>
      <c r="J259" s="99"/>
      <c r="K259" s="100"/>
      <c r="L259" s="101"/>
      <c r="M259" s="220"/>
      <c r="N259" s="99"/>
      <c r="O259" s="237"/>
      <c r="P259" s="237"/>
      <c r="Q259" s="223"/>
    </row>
    <row r="260" spans="1:17" s="226" customFormat="1" ht="13.5">
      <c r="A260" s="233"/>
      <c r="B260" s="233"/>
      <c r="C260" s="233"/>
      <c r="D260" s="98"/>
      <c r="E260" s="98"/>
      <c r="F260" s="98"/>
      <c r="G260" s="98"/>
      <c r="H260" s="154"/>
      <c r="I260" s="98"/>
      <c r="J260" s="240"/>
      <c r="K260" s="145"/>
      <c r="L260" s="101"/>
      <c r="M260" s="238"/>
      <c r="N260" s="145"/>
      <c r="O260" s="237"/>
      <c r="P260" s="237"/>
      <c r="Q260" s="223"/>
    </row>
    <row r="261" ht="13.5">
      <c r="B261" s="110"/>
    </row>
    <row r="262" ht="13.5">
      <c r="B262" s="110"/>
    </row>
  </sheetData>
  <sheetProtection/>
  <mergeCells count="419">
    <mergeCell ref="I87:I88"/>
    <mergeCell ref="E87:E88"/>
    <mergeCell ref="K87:K88"/>
    <mergeCell ref="S90:S91"/>
    <mergeCell ref="P90:P91"/>
    <mergeCell ref="L87:M87"/>
    <mergeCell ref="R90:R91"/>
    <mergeCell ref="Q90:Q91"/>
    <mergeCell ref="X90:X91"/>
    <mergeCell ref="L41:L42"/>
    <mergeCell ref="L43:L50"/>
    <mergeCell ref="J41:J42"/>
    <mergeCell ref="N56:P56"/>
    <mergeCell ref="Q56:Q57"/>
    <mergeCell ref="K56:K57"/>
    <mergeCell ref="T41:W42"/>
    <mergeCell ref="T51:W51"/>
    <mergeCell ref="T53:W53"/>
    <mergeCell ref="R92:R93"/>
    <mergeCell ref="M90:M91"/>
    <mergeCell ref="Q92:Q93"/>
    <mergeCell ref="P92:P93"/>
    <mergeCell ref="O92:O93"/>
    <mergeCell ref="N92:N93"/>
    <mergeCell ref="M92:M93"/>
    <mergeCell ref="O90:O91"/>
    <mergeCell ref="L94:L102"/>
    <mergeCell ref="J142:J150"/>
    <mergeCell ref="K142:K150"/>
    <mergeCell ref="L142:L150"/>
    <mergeCell ref="L116:L117"/>
    <mergeCell ref="L118:L128"/>
    <mergeCell ref="J114:J115"/>
    <mergeCell ref="J116:J117"/>
    <mergeCell ref="L90:L91"/>
    <mergeCell ref="K114:K115"/>
    <mergeCell ref="K116:K117"/>
    <mergeCell ref="K118:K128"/>
    <mergeCell ref="J94:J102"/>
    <mergeCell ref="K94:K102"/>
    <mergeCell ref="M61:M62"/>
    <mergeCell ref="K6:K13"/>
    <mergeCell ref="J90:J91"/>
    <mergeCell ref="K90:K91"/>
    <mergeCell ref="K37:K38"/>
    <mergeCell ref="J87:J88"/>
    <mergeCell ref="J43:J50"/>
    <mergeCell ref="K41:K42"/>
    <mergeCell ref="K43:K50"/>
    <mergeCell ref="J6:J13"/>
    <mergeCell ref="K65:K79"/>
    <mergeCell ref="K92:K93"/>
    <mergeCell ref="L6:L13"/>
    <mergeCell ref="J28:J32"/>
    <mergeCell ref="K28:K32"/>
    <mergeCell ref="L28:L32"/>
    <mergeCell ref="J26:J27"/>
    <mergeCell ref="L92:L93"/>
    <mergeCell ref="K26:K27"/>
    <mergeCell ref="L26:L27"/>
    <mergeCell ref="L56:M56"/>
    <mergeCell ref="Q1:Q2"/>
    <mergeCell ref="H1:H2"/>
    <mergeCell ref="I1:I2"/>
    <mergeCell ref="J1:J2"/>
    <mergeCell ref="K1:K2"/>
    <mergeCell ref="L1:M1"/>
    <mergeCell ref="N1:P1"/>
    <mergeCell ref="A1:B2"/>
    <mergeCell ref="C1:C2"/>
    <mergeCell ref="D1:D2"/>
    <mergeCell ref="E1:E2"/>
    <mergeCell ref="N4:N5"/>
    <mergeCell ref="O4:O5"/>
    <mergeCell ref="J4:J5"/>
    <mergeCell ref="K4:K5"/>
    <mergeCell ref="L4:L5"/>
    <mergeCell ref="M4:M5"/>
    <mergeCell ref="F1:F2"/>
    <mergeCell ref="G1:G2"/>
    <mergeCell ref="Q157:Q158"/>
    <mergeCell ref="A202:B203"/>
    <mergeCell ref="C202:C203"/>
    <mergeCell ref="D202:D203"/>
    <mergeCell ref="E202:E203"/>
    <mergeCell ref="F202:F203"/>
    <mergeCell ref="G202:G203"/>
    <mergeCell ref="H202:H203"/>
    <mergeCell ref="I202:I203"/>
    <mergeCell ref="J202:J203"/>
    <mergeCell ref="H157:H158"/>
    <mergeCell ref="I157:I158"/>
    <mergeCell ref="J157:J158"/>
    <mergeCell ref="I174:I175"/>
    <mergeCell ref="J174:J175"/>
    <mergeCell ref="H183:H184"/>
    <mergeCell ref="A157:B158"/>
    <mergeCell ref="C157:C158"/>
    <mergeCell ref="D157:D158"/>
    <mergeCell ref="E157:E158"/>
    <mergeCell ref="C56:C57"/>
    <mergeCell ref="D56:D57"/>
    <mergeCell ref="E56:E57"/>
    <mergeCell ref="B58:B85"/>
    <mergeCell ref="C58:C85"/>
    <mergeCell ref="C110:C111"/>
    <mergeCell ref="Q110:Q111"/>
    <mergeCell ref="H110:H111"/>
    <mergeCell ref="I110:I111"/>
    <mergeCell ref="J110:J111"/>
    <mergeCell ref="K110:K111"/>
    <mergeCell ref="L110:M110"/>
    <mergeCell ref="N110:P110"/>
    <mergeCell ref="H56:H57"/>
    <mergeCell ref="I56:I57"/>
    <mergeCell ref="J56:J57"/>
    <mergeCell ref="F56:F57"/>
    <mergeCell ref="G56:G57"/>
    <mergeCell ref="Q142:Q150"/>
    <mergeCell ref="N61:N62"/>
    <mergeCell ref="J61:J62"/>
    <mergeCell ref="K61:K62"/>
    <mergeCell ref="L61:L62"/>
    <mergeCell ref="T191:V191"/>
    <mergeCell ref="S118:S128"/>
    <mergeCell ref="T189:V189"/>
    <mergeCell ref="T190:W190"/>
    <mergeCell ref="T132:W132"/>
    <mergeCell ref="T118:W128"/>
    <mergeCell ref="T155:W155"/>
    <mergeCell ref="T199:W199"/>
    <mergeCell ref="T200:W200"/>
    <mergeCell ref="T195:W195"/>
    <mergeCell ref="T196:W196"/>
    <mergeCell ref="T197:W197"/>
    <mergeCell ref="T198:W198"/>
    <mergeCell ref="Q183:Q184"/>
    <mergeCell ref="A183:B184"/>
    <mergeCell ref="D183:D184"/>
    <mergeCell ref="E183:E184"/>
    <mergeCell ref="F183:F184"/>
    <mergeCell ref="G183:G184"/>
    <mergeCell ref="A195:A200"/>
    <mergeCell ref="B195:B200"/>
    <mergeCell ref="C195:C200"/>
    <mergeCell ref="C183:C184"/>
    <mergeCell ref="A193:B194"/>
    <mergeCell ref="C193:C194"/>
    <mergeCell ref="A185:A191"/>
    <mergeCell ref="B185:B191"/>
    <mergeCell ref="C185:C191"/>
    <mergeCell ref="T215:W215"/>
    <mergeCell ref="T216:W216"/>
    <mergeCell ref="A204:A216"/>
    <mergeCell ref="B204:B213"/>
    <mergeCell ref="C204:C216"/>
    <mergeCell ref="T209:W209"/>
    <mergeCell ref="B214:B216"/>
    <mergeCell ref="T214:W214"/>
    <mergeCell ref="X142:X150"/>
    <mergeCell ref="T151:W151"/>
    <mergeCell ref="T152:W152"/>
    <mergeCell ref="K202:K203"/>
    <mergeCell ref="L202:M202"/>
    <mergeCell ref="N202:P202"/>
    <mergeCell ref="Q202:Q203"/>
    <mergeCell ref="T142:W150"/>
    <mergeCell ref="T154:W154"/>
    <mergeCell ref="O142:O150"/>
    <mergeCell ref="A176:A181"/>
    <mergeCell ref="C176:C181"/>
    <mergeCell ref="T176:W176"/>
    <mergeCell ref="B177:B181"/>
    <mergeCell ref="T177:W177"/>
    <mergeCell ref="T178:W178"/>
    <mergeCell ref="T179:W179"/>
    <mergeCell ref="T181:W181"/>
    <mergeCell ref="T180:W180"/>
    <mergeCell ref="T54:W54"/>
    <mergeCell ref="X118:X128"/>
    <mergeCell ref="B136:B138"/>
    <mergeCell ref="T162:W162"/>
    <mergeCell ref="A136:A155"/>
    <mergeCell ref="B139:B155"/>
    <mergeCell ref="T139:W139"/>
    <mergeCell ref="T140:W140"/>
    <mergeCell ref="T141:W141"/>
    <mergeCell ref="S142:S150"/>
    <mergeCell ref="T90:W91"/>
    <mergeCell ref="T107:W107"/>
    <mergeCell ref="T108:W108"/>
    <mergeCell ref="A159:A172"/>
    <mergeCell ref="C159:C172"/>
    <mergeCell ref="T159:W159"/>
    <mergeCell ref="T160:W160"/>
    <mergeCell ref="T161:W161"/>
    <mergeCell ref="B159:B171"/>
    <mergeCell ref="R142:R150"/>
    <mergeCell ref="X41:X42"/>
    <mergeCell ref="M43:M50"/>
    <mergeCell ref="N43:N50"/>
    <mergeCell ref="O43:O50"/>
    <mergeCell ref="P43:P50"/>
    <mergeCell ref="Q43:Q50"/>
    <mergeCell ref="R43:R50"/>
    <mergeCell ref="S43:S50"/>
    <mergeCell ref="X43:X50"/>
    <mergeCell ref="T43:W50"/>
    <mergeCell ref="T39:W39"/>
    <mergeCell ref="T40:W40"/>
    <mergeCell ref="M41:M42"/>
    <mergeCell ref="N41:N42"/>
    <mergeCell ref="O41:O42"/>
    <mergeCell ref="P41:P42"/>
    <mergeCell ref="Q41:Q42"/>
    <mergeCell ref="R41:R42"/>
    <mergeCell ref="S41:S42"/>
    <mergeCell ref="S116:S117"/>
    <mergeCell ref="T131:W131"/>
    <mergeCell ref="M114:M115"/>
    <mergeCell ref="N118:N128"/>
    <mergeCell ref="O118:O128"/>
    <mergeCell ref="P118:P128"/>
    <mergeCell ref="T129:W129"/>
    <mergeCell ref="T116:W117"/>
    <mergeCell ref="N114:N115"/>
    <mergeCell ref="Q114:Q115"/>
    <mergeCell ref="R114:R115"/>
    <mergeCell ref="M118:M128"/>
    <mergeCell ref="M116:M117"/>
    <mergeCell ref="P114:P115"/>
    <mergeCell ref="Q118:Q128"/>
    <mergeCell ref="O116:O117"/>
    <mergeCell ref="P116:P117"/>
    <mergeCell ref="Q116:Q117"/>
    <mergeCell ref="R118:R128"/>
    <mergeCell ref="G193:G194"/>
    <mergeCell ref="X114:X115"/>
    <mergeCell ref="I183:I184"/>
    <mergeCell ref="J183:J184"/>
    <mergeCell ref="K183:K184"/>
    <mergeCell ref="L183:M183"/>
    <mergeCell ref="N183:P183"/>
    <mergeCell ref="N193:P193"/>
    <mergeCell ref="S114:S115"/>
    <mergeCell ref="L114:L115"/>
    <mergeCell ref="J63:J64"/>
    <mergeCell ref="C112:C132"/>
    <mergeCell ref="E110:E111"/>
    <mergeCell ref="D110:D111"/>
    <mergeCell ref="J65:J79"/>
    <mergeCell ref="F110:F111"/>
    <mergeCell ref="G110:G111"/>
    <mergeCell ref="J92:J93"/>
    <mergeCell ref="J118:J128"/>
    <mergeCell ref="H87:H88"/>
    <mergeCell ref="K63:K64"/>
    <mergeCell ref="G87:G88"/>
    <mergeCell ref="F87:F88"/>
    <mergeCell ref="O63:O64"/>
    <mergeCell ref="P63:P64"/>
    <mergeCell ref="Q63:Q64"/>
    <mergeCell ref="O65:O79"/>
    <mergeCell ref="P65:P79"/>
    <mergeCell ref="L63:L64"/>
    <mergeCell ref="M63:M64"/>
    <mergeCell ref="L65:L79"/>
    <mergeCell ref="Q193:Q194"/>
    <mergeCell ref="Q65:Q79"/>
    <mergeCell ref="X116:X117"/>
    <mergeCell ref="R116:R117"/>
    <mergeCell ref="T113:W113"/>
    <mergeCell ref="T114:W115"/>
    <mergeCell ref="T112:W112"/>
    <mergeCell ref="X94:X102"/>
    <mergeCell ref="T103:W103"/>
    <mergeCell ref="T104:W104"/>
    <mergeCell ref="M94:M102"/>
    <mergeCell ref="N94:N102"/>
    <mergeCell ref="Q94:Q102"/>
    <mergeCell ref="S94:S102"/>
    <mergeCell ref="R94:R102"/>
    <mergeCell ref="P94:P102"/>
    <mergeCell ref="T94:W102"/>
    <mergeCell ref="Q174:Q175"/>
    <mergeCell ref="K134:K135"/>
    <mergeCell ref="L134:M134"/>
    <mergeCell ref="Q134:Q135"/>
    <mergeCell ref="N142:N150"/>
    <mergeCell ref="K157:K158"/>
    <mergeCell ref="L157:M157"/>
    <mergeCell ref="N157:P157"/>
    <mergeCell ref="L174:M174"/>
    <mergeCell ref="M142:M150"/>
    <mergeCell ref="D193:D194"/>
    <mergeCell ref="E193:E194"/>
    <mergeCell ref="X92:X93"/>
    <mergeCell ref="M65:M79"/>
    <mergeCell ref="N116:N117"/>
    <mergeCell ref="S92:S93"/>
    <mergeCell ref="T92:W93"/>
    <mergeCell ref="T89:W89"/>
    <mergeCell ref="N90:N91"/>
    <mergeCell ref="O94:O102"/>
    <mergeCell ref="L37:M37"/>
    <mergeCell ref="N37:P37"/>
    <mergeCell ref="F193:F194"/>
    <mergeCell ref="J193:J194"/>
    <mergeCell ref="N134:P134"/>
    <mergeCell ref="K193:K194"/>
    <mergeCell ref="L193:M193"/>
    <mergeCell ref="H193:H194"/>
    <mergeCell ref="I193:I194"/>
    <mergeCell ref="K174:K175"/>
    <mergeCell ref="A134:B135"/>
    <mergeCell ref="C134:C135"/>
    <mergeCell ref="D134:D135"/>
    <mergeCell ref="E134:E135"/>
    <mergeCell ref="F134:F135"/>
    <mergeCell ref="N174:P174"/>
    <mergeCell ref="G134:G135"/>
    <mergeCell ref="H134:H135"/>
    <mergeCell ref="I134:I135"/>
    <mergeCell ref="J134:J135"/>
    <mergeCell ref="F157:F158"/>
    <mergeCell ref="G157:G158"/>
    <mergeCell ref="P142:P150"/>
    <mergeCell ref="T28:W32"/>
    <mergeCell ref="P28:P32"/>
    <mergeCell ref="Q28:Q32"/>
    <mergeCell ref="R28:R32"/>
    <mergeCell ref="O28:O32"/>
    <mergeCell ref="N87:P87"/>
    <mergeCell ref="Q87:Q88"/>
    <mergeCell ref="Q37:Q38"/>
    <mergeCell ref="Q61:Q62"/>
    <mergeCell ref="N65:N79"/>
    <mergeCell ref="N63:N64"/>
    <mergeCell ref="P61:P62"/>
    <mergeCell ref="O61:O62"/>
    <mergeCell ref="X28:X32"/>
    <mergeCell ref="T33:W33"/>
    <mergeCell ref="T35:W35"/>
    <mergeCell ref="H37:H38"/>
    <mergeCell ref="I37:I38"/>
    <mergeCell ref="J37:J38"/>
    <mergeCell ref="T34:W34"/>
    <mergeCell ref="M28:M32"/>
    <mergeCell ref="N28:N32"/>
    <mergeCell ref="S28:S32"/>
    <mergeCell ref="A3:A35"/>
    <mergeCell ref="B89:B108"/>
    <mergeCell ref="C89:C108"/>
    <mergeCell ref="C23:C35"/>
    <mergeCell ref="B3:B21"/>
    <mergeCell ref="C3:C21"/>
    <mergeCell ref="A37:B38"/>
    <mergeCell ref="C37:C38"/>
    <mergeCell ref="C39:C54"/>
    <mergeCell ref="C87:C88"/>
    <mergeCell ref="A58:A85"/>
    <mergeCell ref="A39:A54"/>
    <mergeCell ref="B39:B54"/>
    <mergeCell ref="A56:B57"/>
    <mergeCell ref="A87:B88"/>
    <mergeCell ref="F37:F38"/>
    <mergeCell ref="D37:D38"/>
    <mergeCell ref="E37:E38"/>
    <mergeCell ref="D87:D88"/>
    <mergeCell ref="T24:W24"/>
    <mergeCell ref="T25:W25"/>
    <mergeCell ref="X6:X13"/>
    <mergeCell ref="T14:W14"/>
    <mergeCell ref="T16:W16"/>
    <mergeCell ref="A112:A132"/>
    <mergeCell ref="B112:B132"/>
    <mergeCell ref="A89:A108"/>
    <mergeCell ref="B23:B35"/>
    <mergeCell ref="A110:B111"/>
    <mergeCell ref="P6:P13"/>
    <mergeCell ref="T6:W13"/>
    <mergeCell ref="X26:X27"/>
    <mergeCell ref="R26:R27"/>
    <mergeCell ref="S26:S27"/>
    <mergeCell ref="O26:O27"/>
    <mergeCell ref="P26:P27"/>
    <mergeCell ref="Q26:Q27"/>
    <mergeCell ref="T26:W27"/>
    <mergeCell ref="T15:W15"/>
    <mergeCell ref="C136:C155"/>
    <mergeCell ref="T17:W17"/>
    <mergeCell ref="T19:W19"/>
    <mergeCell ref="O114:O115"/>
    <mergeCell ref="G37:G38"/>
    <mergeCell ref="M26:M27"/>
    <mergeCell ref="N26:N27"/>
    <mergeCell ref="T20:W20"/>
    <mergeCell ref="T21:W21"/>
    <mergeCell ref="T23:W23"/>
    <mergeCell ref="X4:X5"/>
    <mergeCell ref="M6:M13"/>
    <mergeCell ref="N6:N13"/>
    <mergeCell ref="O6:O13"/>
    <mergeCell ref="Q6:Q13"/>
    <mergeCell ref="Q4:Q5"/>
    <mergeCell ref="R4:R5"/>
    <mergeCell ref="P4:P5"/>
    <mergeCell ref="R6:R13"/>
    <mergeCell ref="S6:S13"/>
    <mergeCell ref="T3:W3"/>
    <mergeCell ref="A174:B175"/>
    <mergeCell ref="C174:C175"/>
    <mergeCell ref="D174:D175"/>
    <mergeCell ref="E174:E175"/>
    <mergeCell ref="F174:F175"/>
    <mergeCell ref="G174:G175"/>
    <mergeCell ref="H174:H175"/>
    <mergeCell ref="S4:S5"/>
    <mergeCell ref="T4:W5"/>
  </mergeCells>
  <printOptions/>
  <pageMargins left="0.3937007874015748" right="0.3937007874015748" top="0.7874015748031497" bottom="0.4330708661417323" header="0.5118110236220472" footer="0.31496062992125984"/>
  <pageSetup horizontalDpi="600" verticalDpi="600" orientation="landscape" paperSize="9" scale="65" r:id="rId1"/>
  <headerFooter alignWithMargins="0">
    <oddHeader>&amp;C&amp;"ＭＳ ゴシック,標準"&amp;12｢水環境中の放射性物質影響調査業務｣水生生物の放射性核種分析結果一覧（平成25年度12月調査）</oddHeader>
    <oddFooter xml:space="preserve">&amp;L&amp;"ＭＳ 明朝,標準"&amp;12注1)水生生物が複数採取できた場合は、これらを混合して試料とした。
注2)特記事項欄に胃内容物について記載のある種については、胃内容物を取り除いた上で分析に供した。
注3)和名の下線は、当該の試料の中で特に多く採取された種であることを示す。
注4)成長段階の赤字は、鱗または耳石による年齢査定の結果を示す。
注5)N.D.は、検出下限値未満であることを示す。&amp;R&amp;"ＭＳ 明朝,標準"&amp;16 </oddFooter>
  </headerFooter>
  <rowBreaks count="6" manualBreakCount="6">
    <brk id="55" max="16" man="1"/>
    <brk id="86" max="16" man="1"/>
    <brk id="109" max="16" man="1"/>
    <brk id="156" max="16" man="1"/>
    <brk id="201" max="16" man="1"/>
    <brk id="2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2014-12-19T03:55:03Z</cp:lastPrinted>
  <dcterms:created xsi:type="dcterms:W3CDTF">2014-07-04T06:27:33Z</dcterms:created>
  <dcterms:modified xsi:type="dcterms:W3CDTF">2015-10-16T05:08:22Z</dcterms:modified>
  <cp:category/>
  <cp:version/>
  <cp:contentType/>
  <cp:contentStatus/>
</cp:coreProperties>
</file>