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 showInkAnnotation="0" autoCompressPictures="0"/>
  <bookViews>
    <workbookView xWindow="0" yWindow="0" windowWidth="28800" windowHeight="17475" tabRatio="835"/>
  </bookViews>
  <sheets>
    <sheet name="Questionnaire" sheetId="34" r:id="rId1"/>
    <sheet name="Data" sheetId="25" r:id="rId2"/>
    <sheet name="Cal" sheetId="16" r:id="rId3"/>
    <sheet name="Results" sheetId="35" r:id="rId4"/>
    <sheet name="Results_fertilizer" sheetId="37" r:id="rId5"/>
    <sheet name="Graphs" sheetId="36" r:id="rId6"/>
    <sheet name="Default" sheetId="5" r:id="rId7"/>
  </sheets>
  <externalReferences>
    <externalReference r:id="rId8"/>
    <externalReference r:id="rId9"/>
  </externalReferences>
  <definedNames>
    <definedName name="A" localSheetId="0">#REF!</definedName>
    <definedName name="A" localSheetId="3">#REF!</definedName>
    <definedName name="A" localSheetId="4">#REF!</definedName>
    <definedName name="A">#REF!</definedName>
    <definedName name="agro_inputs" localSheetId="0">#REF!</definedName>
    <definedName name="agro_inputs" localSheetId="3">#REF!</definedName>
    <definedName name="agro_inputs" localSheetId="4">#REF!</definedName>
    <definedName name="agro_inputs">#REF!</definedName>
    <definedName name="chemicals" localSheetId="0">#REF!</definedName>
    <definedName name="chemicals" localSheetId="3">#REF!</definedName>
    <definedName name="chemicals" localSheetId="4">#REF!</definedName>
    <definedName name="chemicals">#REF!</definedName>
    <definedName name="ChoiceListFeedstocks">[1]Chains!$H$11:$H$12</definedName>
    <definedName name="EF_agro_inputs" localSheetId="0">#REF!</definedName>
    <definedName name="EF_agro_inputs" localSheetId="3">#REF!</definedName>
    <definedName name="EF_agro_inputs" localSheetId="4">#REF!</definedName>
    <definedName name="EF_agro_inputs">#REF!</definedName>
    <definedName name="EF_chemicals_kg" localSheetId="0">#REF!</definedName>
    <definedName name="EF_chemicals_kg" localSheetId="3">#REF!</definedName>
    <definedName name="EF_chemicals_kg" localSheetId="4">#REF!</definedName>
    <definedName name="EF_chemicals_kg">#REF!</definedName>
    <definedName name="EF_chemicals_MJ" localSheetId="0">#REF!</definedName>
    <definedName name="EF_chemicals_MJ" localSheetId="3">#REF!</definedName>
    <definedName name="EF_chemicals_MJ" localSheetId="4">#REF!</definedName>
    <definedName name="EF_chemicals_MJ">#REF!</definedName>
    <definedName name="EF_electricity" localSheetId="0">#REF!</definedName>
    <definedName name="EF_electricity" localSheetId="3">#REF!</definedName>
    <definedName name="EF_electricity" localSheetId="4">#REF!</definedName>
    <definedName name="EF_electricity">#REF!</definedName>
    <definedName name="EF_fuels_MJ" localSheetId="0">#REF!</definedName>
    <definedName name="EF_fuels_MJ" localSheetId="3">#REF!</definedName>
    <definedName name="EF_fuels_MJ" localSheetId="4">#REF!</definedName>
    <definedName name="EF_fuels_MJ">#REF!</definedName>
    <definedName name="electricity" localSheetId="0">#REF!</definedName>
    <definedName name="electricity" localSheetId="3">#REF!</definedName>
    <definedName name="electricity" localSheetId="4">#REF!</definedName>
    <definedName name="electricity">#REF!</definedName>
    <definedName name="FE_transport" localSheetId="0">#REF!</definedName>
    <definedName name="FE_transport" localSheetId="3">#REF!</definedName>
    <definedName name="FE_transport" localSheetId="4">#REF!</definedName>
    <definedName name="FE_transport">#REF!</definedName>
    <definedName name="FE_transport1" localSheetId="3">#REF!</definedName>
    <definedName name="FE_transport1" localSheetId="4">#REF!</definedName>
    <definedName name="FE_transport1">#REF!</definedName>
    <definedName name="fuels" localSheetId="0">#REF!</definedName>
    <definedName name="fuels" localSheetId="3">#REF!</definedName>
    <definedName name="fuels" localSheetId="4">#REF!</definedName>
    <definedName name="fuels">#REF!</definedName>
    <definedName name="LHV_fuels" localSheetId="0">#REF!</definedName>
    <definedName name="LHV_fuels" localSheetId="3">#REF!</definedName>
    <definedName name="LHV_fuels" localSheetId="4">#REF!</definedName>
    <definedName name="LHV_fuels">#REF!</definedName>
    <definedName name="LHV_solids" localSheetId="0">#REF!</definedName>
    <definedName name="LHV_solids" localSheetId="3">#REF!</definedName>
    <definedName name="LHV_solids" localSheetId="4">#REF!</definedName>
    <definedName name="LHV_solids">#REF!</definedName>
    <definedName name="Option_A_0_B_1">[2]About!$B$79</definedName>
    <definedName name="Options" localSheetId="0">#REF!</definedName>
    <definedName name="Options" localSheetId="3">#REF!</definedName>
    <definedName name="Options" localSheetId="4">#REF!</definedName>
    <definedName name="Options">#REF!</definedName>
    <definedName name="_xlnm.Print_Area" localSheetId="2">Cal!$A$1:$S$98</definedName>
    <definedName name="_xlnm.Print_Area" localSheetId="1">Data!$A$1:$D$66</definedName>
    <definedName name="_xlnm.Print_Area" localSheetId="6">Default!$A$1:$J$101</definedName>
    <definedName name="_xlnm.Print_Area" localSheetId="0">Questionnaire!$A$1:$B$61</definedName>
    <definedName name="_xlnm.Print_Area" localSheetId="3">Results!$A$1:$Q$24</definedName>
    <definedName name="_xlnm.Print_Area" localSheetId="4">Results_fertilizer!$A$1:$G$15</definedName>
    <definedName name="solids" localSheetId="0">#REF!</definedName>
    <definedName name="solids" localSheetId="3">#REF!</definedName>
    <definedName name="solids" localSheetId="4">#REF!</definedName>
    <definedName name="solids">#REF!</definedName>
    <definedName name="test" localSheetId="0">#REF!</definedName>
    <definedName name="test" localSheetId="3">#REF!</definedName>
    <definedName name="test" localSheetId="4">#REF!</definedName>
    <definedName name="test">#REF!</definedName>
    <definedName name="Transport" localSheetId="0">#REF!</definedName>
    <definedName name="Transport" localSheetId="3">#REF!</definedName>
    <definedName name="Transport" localSheetId="4">#REF!</definedName>
    <definedName name="Transport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5" l="1"/>
  <c r="D26" i="25"/>
  <c r="D9" i="25"/>
  <c r="Q11" i="16"/>
  <c r="O17" i="35"/>
  <c r="Q38" i="16"/>
  <c r="O19" i="35"/>
  <c r="O20" i="35"/>
  <c r="D27" i="25"/>
  <c r="R11" i="16"/>
  <c r="P17" i="35"/>
  <c r="R38" i="16"/>
  <c r="P19" i="35"/>
  <c r="P20" i="35"/>
  <c r="D23" i="25"/>
  <c r="S11" i="16"/>
  <c r="Q17" i="35"/>
  <c r="S38" i="16"/>
  <c r="Q19" i="35"/>
  <c r="Q20" i="35"/>
  <c r="G41" i="35"/>
  <c r="D4" i="25"/>
  <c r="C12" i="25"/>
  <c r="C14" i="25"/>
  <c r="C19" i="25"/>
  <c r="D24" i="25"/>
  <c r="C26" i="25"/>
  <c r="C9" i="25"/>
  <c r="H11" i="16"/>
  <c r="G17" i="35"/>
  <c r="H38" i="16"/>
  <c r="G19" i="35"/>
  <c r="G20" i="35"/>
  <c r="D25" i="25"/>
  <c r="C27" i="25"/>
  <c r="I11" i="16"/>
  <c r="H17" i="35"/>
  <c r="I38" i="16"/>
  <c r="H19" i="35"/>
  <c r="H20" i="35"/>
  <c r="D22" i="25"/>
  <c r="C23" i="25"/>
  <c r="J11" i="16"/>
  <c r="I17" i="35"/>
  <c r="J38" i="16"/>
  <c r="I19" i="35"/>
  <c r="I20" i="35"/>
  <c r="F41" i="35"/>
  <c r="D49" i="25"/>
  <c r="D51" i="25"/>
  <c r="D45" i="25"/>
  <c r="D47" i="25"/>
  <c r="O24" i="16"/>
  <c r="M18" i="35"/>
  <c r="D50" i="25"/>
  <c r="D46" i="25"/>
  <c r="P24" i="16"/>
  <c r="N18" i="35"/>
  <c r="F24" i="16"/>
  <c r="E18" i="35"/>
  <c r="G24" i="16"/>
  <c r="F18" i="35"/>
  <c r="D5" i="25"/>
  <c r="D6" i="25"/>
  <c r="D7" i="25"/>
  <c r="B20" i="5"/>
  <c r="D16" i="25"/>
  <c r="D18" i="25"/>
  <c r="D17" i="25"/>
  <c r="D31" i="25"/>
  <c r="D33" i="25"/>
  <c r="D40" i="25"/>
  <c r="D43" i="25"/>
  <c r="D34" i="25"/>
  <c r="D35" i="25"/>
  <c r="D36" i="25"/>
  <c r="D12" i="25"/>
  <c r="D13" i="25"/>
  <c r="N24" i="16"/>
  <c r="L18" i="35"/>
  <c r="C5" i="25"/>
  <c r="C6" i="25"/>
  <c r="C7" i="25"/>
  <c r="C16" i="25"/>
  <c r="D15" i="25"/>
  <c r="C13" i="25"/>
  <c r="C37" i="25"/>
  <c r="C42" i="16"/>
  <c r="D33" i="16"/>
  <c r="E24" i="16"/>
  <c r="D18" i="35"/>
  <c r="G40" i="35"/>
  <c r="F40" i="35"/>
  <c r="E39" i="35"/>
  <c r="D39" i="35"/>
  <c r="G38" i="35"/>
  <c r="F38" i="35"/>
  <c r="G23" i="16"/>
  <c r="F23" i="16"/>
  <c r="E23" i="16"/>
  <c r="D20" i="25"/>
  <c r="C90" i="16"/>
  <c r="C91" i="16"/>
  <c r="C85" i="16"/>
  <c r="C87" i="16"/>
  <c r="D57" i="25"/>
  <c r="D59" i="25"/>
  <c r="F72" i="16"/>
  <c r="D58" i="25"/>
  <c r="F67" i="16"/>
  <c r="B63" i="5"/>
  <c r="L42" i="16"/>
  <c r="B99" i="5"/>
  <c r="B96" i="5"/>
  <c r="B95" i="5"/>
  <c r="B91" i="5"/>
  <c r="B88" i="5"/>
  <c r="B87" i="5"/>
  <c r="B84" i="5"/>
  <c r="B83" i="5"/>
  <c r="B80" i="5"/>
  <c r="B79" i="5"/>
  <c r="C93" i="16"/>
  <c r="C88" i="16"/>
  <c r="C86" i="16"/>
  <c r="D32" i="25"/>
  <c r="G79" i="16"/>
  <c r="G80" i="16"/>
  <c r="D63" i="25"/>
  <c r="E79" i="16"/>
  <c r="E80" i="16"/>
  <c r="D62" i="25"/>
  <c r="D79" i="16"/>
  <c r="D80" i="16"/>
  <c r="D61" i="25"/>
  <c r="C79" i="16"/>
  <c r="C80" i="16"/>
  <c r="G77" i="16"/>
  <c r="G78" i="16"/>
  <c r="E77" i="16"/>
  <c r="E78" i="16"/>
  <c r="D77" i="16"/>
  <c r="D78" i="16"/>
  <c r="C77" i="16"/>
  <c r="C78" i="16"/>
  <c r="G74" i="16"/>
  <c r="G75" i="16"/>
  <c r="F74" i="16"/>
  <c r="F75" i="16"/>
  <c r="E74" i="16"/>
  <c r="E75" i="16"/>
  <c r="D74" i="16"/>
  <c r="D75" i="16"/>
  <c r="C74" i="16"/>
  <c r="C75" i="16"/>
  <c r="G72" i="16"/>
  <c r="G73" i="16"/>
  <c r="F73" i="16"/>
  <c r="E72" i="16"/>
  <c r="E73" i="16"/>
  <c r="D72" i="16"/>
  <c r="D73" i="16"/>
  <c r="C72" i="16"/>
  <c r="C73" i="16"/>
  <c r="G69" i="16"/>
  <c r="G70" i="16"/>
  <c r="F69" i="16"/>
  <c r="F70" i="16"/>
  <c r="E69" i="16"/>
  <c r="E70" i="16"/>
  <c r="D69" i="16"/>
  <c r="D70" i="16"/>
  <c r="C69" i="16"/>
  <c r="C70" i="16"/>
  <c r="G67" i="16"/>
  <c r="G68" i="16"/>
  <c r="F68" i="16"/>
  <c r="E67" i="16"/>
  <c r="E68" i="16"/>
  <c r="D67" i="16"/>
  <c r="D68" i="16"/>
  <c r="C67" i="16"/>
  <c r="C68" i="16"/>
  <c r="G7" i="37"/>
  <c r="F7" i="37"/>
  <c r="E7" i="37"/>
  <c r="D7" i="37"/>
  <c r="C7" i="37"/>
  <c r="B7" i="37"/>
  <c r="G6" i="37"/>
  <c r="F6" i="37"/>
  <c r="E6" i="37"/>
  <c r="D6" i="37"/>
  <c r="C6" i="37"/>
  <c r="B6" i="37"/>
  <c r="G5" i="37"/>
  <c r="F5" i="37"/>
  <c r="E5" i="37"/>
  <c r="D5" i="37"/>
  <c r="C5" i="37"/>
  <c r="B5" i="37"/>
  <c r="L12" i="5"/>
  <c r="B12" i="5"/>
  <c r="L11" i="5"/>
  <c r="B11" i="5"/>
  <c r="L10" i="5"/>
  <c r="B10" i="5"/>
  <c r="L17" i="5"/>
  <c r="B17" i="5"/>
  <c r="L16" i="5"/>
  <c r="B16" i="5"/>
  <c r="C42" i="25"/>
  <c r="C39" i="25"/>
  <c r="D21" i="25"/>
  <c r="D37" i="25"/>
  <c r="D55" i="25"/>
  <c r="D53" i="25"/>
  <c r="D42" i="25"/>
  <c r="D39" i="25"/>
  <c r="D14" i="25"/>
  <c r="D8" i="25"/>
  <c r="C4" i="25"/>
  <c r="M33" i="16"/>
  <c r="N10" i="5"/>
  <c r="L7" i="5"/>
  <c r="B7" i="5"/>
  <c r="L6" i="5"/>
  <c r="B6" i="5"/>
  <c r="L5" i="5"/>
  <c r="B5" i="5"/>
  <c r="L15" i="5"/>
  <c r="Q10" i="16"/>
  <c r="O7" i="35"/>
  <c r="Q37" i="16"/>
  <c r="O9" i="35"/>
  <c r="R10" i="16"/>
  <c r="P7" i="35"/>
  <c r="R37" i="16"/>
  <c r="P9" i="35"/>
  <c r="S10" i="16"/>
  <c r="Q7" i="35"/>
  <c r="S37" i="16"/>
  <c r="Q9" i="35"/>
  <c r="O23" i="16"/>
  <c r="M8" i="35"/>
  <c r="P23" i="16"/>
  <c r="N8" i="35"/>
  <c r="N23" i="16"/>
  <c r="L8" i="35"/>
  <c r="G31" i="35"/>
  <c r="E30" i="35"/>
  <c r="G29" i="35"/>
  <c r="H10" i="16"/>
  <c r="G7" i="35"/>
  <c r="H37" i="16"/>
  <c r="G9" i="35"/>
  <c r="I10" i="16"/>
  <c r="H7" i="35"/>
  <c r="I37" i="16"/>
  <c r="H9" i="35"/>
  <c r="J10" i="16"/>
  <c r="I7" i="35"/>
  <c r="J37" i="16"/>
  <c r="I9" i="35"/>
  <c r="E8" i="35"/>
  <c r="F8" i="35"/>
  <c r="D8" i="35"/>
  <c r="F31" i="35"/>
  <c r="D30" i="35"/>
  <c r="F29" i="35"/>
  <c r="D54" i="25"/>
  <c r="M16" i="16"/>
  <c r="D6" i="16"/>
  <c r="L7" i="16"/>
  <c r="C7" i="16"/>
  <c r="M31" i="16"/>
  <c r="O32" i="16"/>
  <c r="N29" i="16"/>
  <c r="E7" i="16"/>
  <c r="L31" i="16"/>
  <c r="E29" i="16"/>
  <c r="C55" i="16"/>
  <c r="L56" i="16"/>
  <c r="C50" i="16"/>
  <c r="P32" i="16"/>
  <c r="L53" i="16"/>
  <c r="L50" i="16"/>
  <c r="J19" i="16"/>
  <c r="L57" i="16"/>
  <c r="C52" i="16"/>
  <c r="L29" i="16"/>
  <c r="C61" i="16"/>
  <c r="C21" i="16"/>
  <c r="Q17" i="16"/>
  <c r="L52" i="16"/>
  <c r="C47" i="16"/>
  <c r="L28" i="16"/>
  <c r="C51" i="16"/>
  <c r="L58" i="16"/>
  <c r="L9" i="16"/>
  <c r="C29" i="16"/>
  <c r="C48" i="16"/>
  <c r="M15" i="16"/>
  <c r="I18" i="16"/>
  <c r="E6" i="16"/>
  <c r="M30" i="16"/>
  <c r="D28" i="16"/>
  <c r="L21" i="16"/>
  <c r="C28" i="16"/>
  <c r="N28" i="16"/>
  <c r="G8" i="16"/>
  <c r="C20" i="16"/>
  <c r="E30" i="16"/>
  <c r="L55" i="16"/>
  <c r="S19" i="16"/>
  <c r="D15" i="16"/>
  <c r="H17" i="16"/>
  <c r="M28" i="16"/>
  <c r="L20" i="16"/>
  <c r="C9" i="16"/>
  <c r="P8" i="16"/>
  <c r="N31" i="16"/>
  <c r="E28" i="16"/>
  <c r="L45" i="16"/>
  <c r="R18" i="16"/>
  <c r="D7" i="16"/>
  <c r="M6" i="16"/>
  <c r="C56" i="16"/>
  <c r="L6" i="16"/>
  <c r="C6" i="16"/>
  <c r="L61" i="16"/>
  <c r="O8" i="16"/>
  <c r="N6" i="16"/>
  <c r="C57" i="16"/>
  <c r="L30" i="16"/>
  <c r="D31" i="16"/>
  <c r="C30" i="16"/>
  <c r="L51" i="16"/>
  <c r="C46" i="16"/>
  <c r="C58" i="16"/>
  <c r="N30" i="16"/>
  <c r="F32" i="16"/>
  <c r="L43" i="16"/>
  <c r="L46" i="16"/>
  <c r="C31" i="16"/>
  <c r="C53" i="16"/>
  <c r="M29" i="16"/>
  <c r="F8" i="16"/>
  <c r="E31" i="16"/>
  <c r="L47" i="16"/>
  <c r="D30" i="16"/>
  <c r="L60" i="16"/>
  <c r="C45" i="16"/>
  <c r="L48" i="16"/>
  <c r="G32" i="16"/>
  <c r="C60" i="16"/>
  <c r="C43" i="16"/>
  <c r="M7" i="16"/>
  <c r="D29" i="16"/>
  <c r="D16" i="16"/>
  <c r="N7" i="16"/>
  <c r="E10" i="16" l="1"/>
  <c r="C36" i="16"/>
  <c r="N36" i="16"/>
  <c r="N34" i="16"/>
  <c r="M22" i="16"/>
  <c r="L35" i="16"/>
  <c r="F37" i="16"/>
  <c r="F10" i="16"/>
  <c r="I23" i="16"/>
  <c r="H23" i="16"/>
  <c r="S23" i="16"/>
  <c r="R23" i="16"/>
  <c r="D22" i="16"/>
  <c r="D23" i="16" s="1"/>
  <c r="C34" i="16"/>
  <c r="C10" i="16"/>
  <c r="N35" i="16"/>
  <c r="M23" i="16"/>
  <c r="L36" i="16"/>
  <c r="L34" i="16"/>
  <c r="L22" i="16"/>
  <c r="L23" i="16" s="1"/>
  <c r="L10" i="16"/>
  <c r="P37" i="16"/>
  <c r="E36" i="16"/>
  <c r="E35" i="16"/>
  <c r="E34" i="16"/>
  <c r="E33" i="16"/>
  <c r="D36" i="16"/>
  <c r="D35" i="16"/>
  <c r="D34" i="16"/>
  <c r="D10" i="16"/>
  <c r="C35" i="16"/>
  <c r="C22" i="16"/>
  <c r="C23" i="16" s="1"/>
  <c r="N10" i="16"/>
  <c r="M36" i="16"/>
  <c r="M35" i="16"/>
  <c r="M34" i="16"/>
  <c r="M10" i="16"/>
  <c r="G37" i="16"/>
  <c r="G10" i="16"/>
  <c r="P10" i="16"/>
  <c r="O37" i="16"/>
  <c r="O10" i="16"/>
  <c r="J23" i="16"/>
  <c r="Q23" i="16"/>
  <c r="D37" i="16" l="1"/>
  <c r="E37" i="16"/>
  <c r="E38" i="16" s="1"/>
  <c r="D19" i="35" s="1"/>
  <c r="N37" i="16"/>
  <c r="N38" i="16" s="1"/>
  <c r="L19" i="35" s="1"/>
  <c r="C37" i="16"/>
  <c r="B9" i="35" s="1"/>
  <c r="M37" i="16"/>
  <c r="M38" i="16" s="1"/>
  <c r="K19" i="35" s="1"/>
  <c r="L37" i="16"/>
  <c r="L38" i="16" s="1"/>
  <c r="J19" i="35" s="1"/>
  <c r="L24" i="16"/>
  <c r="J18" i="35" s="1"/>
  <c r="J8" i="35"/>
  <c r="K9" i="35"/>
  <c r="J24" i="16"/>
  <c r="I18" i="35" s="1"/>
  <c r="I8" i="35"/>
  <c r="I10" i="35" s="1"/>
  <c r="O38" i="16"/>
  <c r="M19" i="35" s="1"/>
  <c r="M9" i="35"/>
  <c r="G11" i="16"/>
  <c r="F17" i="35" s="1"/>
  <c r="F20" i="35" s="1"/>
  <c r="F7" i="35"/>
  <c r="K7" i="35"/>
  <c r="M11" i="16"/>
  <c r="K17" i="35" s="1"/>
  <c r="K20" i="35" s="1"/>
  <c r="C24" i="16"/>
  <c r="B18" i="35" s="1"/>
  <c r="B8" i="35"/>
  <c r="D38" i="16"/>
  <c r="C19" i="35" s="1"/>
  <c r="C9" i="35"/>
  <c r="D9" i="35"/>
  <c r="L11" i="16"/>
  <c r="J17" i="35" s="1"/>
  <c r="J7" i="35"/>
  <c r="M24" i="16"/>
  <c r="K18" i="35" s="1"/>
  <c r="K8" i="35"/>
  <c r="C11" i="16"/>
  <c r="B17" i="35" s="1"/>
  <c r="B7" i="35"/>
  <c r="R24" i="16"/>
  <c r="P18" i="35" s="1"/>
  <c r="P8" i="35"/>
  <c r="P10" i="35" s="1"/>
  <c r="H24" i="16"/>
  <c r="G18" i="35" s="1"/>
  <c r="G8" i="35"/>
  <c r="F11" i="16"/>
  <c r="E17" i="35" s="1"/>
  <c r="E7" i="35"/>
  <c r="L9" i="35"/>
  <c r="D24" i="16"/>
  <c r="C18" i="35" s="1"/>
  <c r="C8" i="35"/>
  <c r="Q24" i="16"/>
  <c r="O18" i="35" s="1"/>
  <c r="O8" i="35"/>
  <c r="O11" i="16"/>
  <c r="M17" i="35" s="1"/>
  <c r="M7" i="35"/>
  <c r="P11" i="16"/>
  <c r="N17" i="35" s="1"/>
  <c r="N20" i="35" s="1"/>
  <c r="N7" i="35"/>
  <c r="G38" i="16"/>
  <c r="F19" i="35" s="1"/>
  <c r="F9" i="35"/>
  <c r="N11" i="16"/>
  <c r="L17" i="35" s="1"/>
  <c r="L20" i="35" s="1"/>
  <c r="L7" i="35"/>
  <c r="L10" i="35" s="1"/>
  <c r="D11" i="16"/>
  <c r="C17" i="35" s="1"/>
  <c r="C20" i="35" s="1"/>
  <c r="C7" i="35"/>
  <c r="P38" i="16"/>
  <c r="N19" i="35" s="1"/>
  <c r="N9" i="35"/>
  <c r="S24" i="16"/>
  <c r="Q18" i="35" s="1"/>
  <c r="Q8" i="35"/>
  <c r="Q10" i="35" s="1"/>
  <c r="I24" i="16"/>
  <c r="H18" i="35" s="1"/>
  <c r="H8" i="35"/>
  <c r="H10" i="35" s="1"/>
  <c r="F38" i="16"/>
  <c r="E19" i="35" s="1"/>
  <c r="D40" i="35" s="1"/>
  <c r="E9" i="35"/>
  <c r="D31" i="35" s="1"/>
  <c r="E11" i="16"/>
  <c r="D17" i="35" s="1"/>
  <c r="D20" i="35" s="1"/>
  <c r="D7" i="35"/>
  <c r="J9" i="35" l="1"/>
  <c r="C38" i="16"/>
  <c r="B19" i="35" s="1"/>
  <c r="B40" i="35" s="1"/>
  <c r="D10" i="35"/>
  <c r="C10" i="35"/>
  <c r="N10" i="35"/>
  <c r="E29" i="35"/>
  <c r="M10" i="35"/>
  <c r="E32" i="35" s="1"/>
  <c r="O10" i="35"/>
  <c r="G32" i="35" s="1"/>
  <c r="G30" i="35"/>
  <c r="D29" i="35"/>
  <c r="E10" i="35"/>
  <c r="G10" i="35"/>
  <c r="F32" i="35" s="1"/>
  <c r="F30" i="35"/>
  <c r="B10" i="35"/>
  <c r="B29" i="35"/>
  <c r="J10" i="35"/>
  <c r="C29" i="35"/>
  <c r="B30" i="35"/>
  <c r="F10" i="35"/>
  <c r="E31" i="35"/>
  <c r="C31" i="35"/>
  <c r="C30" i="35"/>
  <c r="M20" i="35"/>
  <c r="E41" i="35" s="1"/>
  <c r="E38" i="35"/>
  <c r="G39" i="35"/>
  <c r="E20" i="35"/>
  <c r="D41" i="35" s="1"/>
  <c r="D38" i="35"/>
  <c r="F39" i="35"/>
  <c r="B20" i="35"/>
  <c r="B41" i="35" s="1"/>
  <c r="B38" i="35"/>
  <c r="C38" i="35"/>
  <c r="J20" i="35"/>
  <c r="C41" i="35" s="1"/>
  <c r="B39" i="35"/>
  <c r="K10" i="35"/>
  <c r="E40" i="35"/>
  <c r="C40" i="35"/>
  <c r="B31" i="35"/>
  <c r="C39" i="35"/>
  <c r="B32" i="35" l="1"/>
  <c r="C32" i="35"/>
  <c r="D32" i="35"/>
</calcChain>
</file>

<file path=xl/sharedStrings.xml><?xml version="1.0" encoding="utf-8"?>
<sst xmlns="http://schemas.openxmlformats.org/spreadsheetml/2006/main" count="961" uniqueCount="426">
  <si>
    <t>tonnes/year</t>
  </si>
  <si>
    <t>N</t>
  </si>
  <si>
    <t>N</t>
    <phoneticPr fontId="4"/>
  </si>
  <si>
    <t>P</t>
  </si>
  <si>
    <t>P</t>
    <phoneticPr fontId="4"/>
  </si>
  <si>
    <t>NOx</t>
    <phoneticPr fontId="4"/>
  </si>
  <si>
    <t>N</t>
    <phoneticPr fontId="4"/>
  </si>
  <si>
    <t>P</t>
    <phoneticPr fontId="4"/>
  </si>
  <si>
    <t>COD</t>
  </si>
  <si>
    <t>COD</t>
    <phoneticPr fontId="4"/>
  </si>
  <si>
    <t>kL/year</t>
    <phoneticPr fontId="4"/>
  </si>
  <si>
    <t>t/kL</t>
  </si>
  <si>
    <t>t/t</t>
  </si>
  <si>
    <t>kWh/year</t>
    <phoneticPr fontId="4"/>
  </si>
  <si>
    <t>-</t>
  </si>
  <si>
    <t>%</t>
  </si>
  <si>
    <t>kgCO2/kWh</t>
    <phoneticPr fontId="4"/>
  </si>
  <si>
    <t>Characterization factor</t>
    <phoneticPr fontId="4"/>
  </si>
  <si>
    <t>Model correction factor</t>
    <phoneticPr fontId="4"/>
  </si>
  <si>
    <r>
      <t>kg/m</t>
    </r>
    <r>
      <rPr>
        <vertAlign val="superscript"/>
        <sz val="10"/>
        <rFont val="Arial"/>
        <family val="2"/>
      </rPr>
      <t>3</t>
    </r>
  </si>
  <si>
    <r>
      <t>g-CH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/g-COD</t>
    </r>
  </si>
  <si>
    <r>
      <t>GJ/t-CH</t>
    </r>
    <r>
      <rPr>
        <vertAlign val="subscript"/>
        <sz val="10"/>
        <rFont val="Arial"/>
        <family val="2"/>
      </rPr>
      <t>4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</si>
  <si>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</si>
  <si>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t>Unit</t>
    <phoneticPr fontId="4"/>
  </si>
  <si>
    <t>Unit</t>
    <phoneticPr fontId="4"/>
  </si>
  <si>
    <t>Unit</t>
    <phoneticPr fontId="4"/>
  </si>
  <si>
    <t>NOx</t>
  </si>
  <si>
    <t>tonnes/year</t>
    <phoneticPr fontId="4"/>
  </si>
  <si>
    <t>Source</t>
    <phoneticPr fontId="4"/>
  </si>
  <si>
    <t>A) METI/EDMC: Comprehensive Energy Statistics, Japan</t>
    <phoneticPr fontId="4"/>
  </si>
  <si>
    <t xml:space="preserve">B) IPCC: 2006 IPCC Guidelines for National Greenhouse Gas Inventories. Volume 2
</t>
    <phoneticPr fontId="4"/>
  </si>
  <si>
    <t>C) NIES-CGER: Keisuke Nansai and Yuichi Moriguchi (2012), NOx, SOx and PM emissions factors of Japanese stationary sources (EF-JASS, ver.2), Center for Global Environmental Research, National Institute for Environmental Studies, Ibarakai, Japan.</t>
    <phoneticPr fontId="4"/>
  </si>
  <si>
    <t>A), C)</t>
    <phoneticPr fontId="4"/>
  </si>
  <si>
    <t>**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</si>
  <si>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</si>
  <si>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</si>
  <si>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</si>
  <si>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</si>
  <si>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*UNFCCC “Indicative simplified baseline and monitoring methodologies for selected small-scale CDM project activity categories- III.H.  Methane recovery in wastewater treatment”, ver.16</t>
    <phoneticPr fontId="4"/>
  </si>
  <si>
    <t>**RSPO “Palm GHG A Greenhouse gas Accounting Tool for Palm Products”</t>
    <phoneticPr fontId="4"/>
  </si>
  <si>
    <t>Mulching</t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</si>
  <si>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/sec</t>
    </r>
    <phoneticPr fontId="4"/>
  </si>
  <si>
    <r>
      <t>g-N/m</t>
    </r>
    <r>
      <rPr>
        <vertAlign val="superscript"/>
        <sz val="12"/>
        <rFont val="Arial"/>
        <family val="2"/>
      </rPr>
      <t>3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</si>
  <si>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</si>
  <si>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g-P/m</t>
    </r>
    <r>
      <rPr>
        <vertAlign val="superscript"/>
        <sz val="12"/>
        <rFont val="Arial"/>
        <family val="2"/>
      </rPr>
      <t>3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</si>
  <si>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</si>
  <si>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</si>
  <si>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</si>
  <si>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</si>
  <si>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</si>
  <si>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</si>
  <si>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</si>
  <si>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g/m</t>
    </r>
    <r>
      <rPr>
        <vertAlign val="superscript"/>
        <sz val="12"/>
        <rFont val="Arial"/>
        <family val="2"/>
      </rPr>
      <t>3</t>
    </r>
    <phoneticPr fontId="4"/>
  </si>
  <si>
    <r>
      <t>g-N/m</t>
    </r>
    <r>
      <rPr>
        <vertAlign val="superscript"/>
        <sz val="12"/>
        <rFont val="Arial"/>
        <family val="2"/>
      </rPr>
      <t>3</t>
    </r>
    <phoneticPr fontId="4"/>
  </si>
  <si>
    <r>
      <t>g-P/m</t>
    </r>
    <r>
      <rPr>
        <vertAlign val="superscript"/>
        <sz val="12"/>
        <rFont val="Arial"/>
        <family val="2"/>
      </rPr>
      <t>3</t>
    </r>
    <phoneticPr fontId="4"/>
  </si>
  <si>
    <r>
      <t>g-N/m</t>
    </r>
    <r>
      <rPr>
        <vertAlign val="superscript"/>
        <sz val="12"/>
        <rFont val="Arial"/>
        <family val="2"/>
      </rPr>
      <t>3</t>
    </r>
    <phoneticPr fontId="4"/>
  </si>
  <si>
    <r>
      <t>g-P/m</t>
    </r>
    <r>
      <rPr>
        <vertAlign val="superscript"/>
        <sz val="12"/>
        <rFont val="Arial"/>
        <family val="2"/>
      </rPr>
      <t>3</t>
    </r>
    <phoneticPr fontId="4"/>
  </si>
  <si>
    <t>-</t>
    <phoneticPr fontId="4"/>
  </si>
  <si>
    <t>-</t>
    <phoneticPr fontId="4"/>
  </si>
  <si>
    <t>MWh/t</t>
    <phoneticPr fontId="4"/>
  </si>
  <si>
    <t>tCO2/t</t>
    <phoneticPr fontId="4"/>
  </si>
  <si>
    <t>tCH4/t</t>
    <phoneticPr fontId="4"/>
  </si>
  <si>
    <t>tN2O/t</t>
    <phoneticPr fontId="4"/>
  </si>
  <si>
    <t>-</t>
    <phoneticPr fontId="4"/>
  </si>
  <si>
    <t>Anaerobic deep lagoon (depth more than 2 metres)</t>
    <phoneticPr fontId="4"/>
  </si>
  <si>
    <t>Nm3 CH4 / Nm3 biogas</t>
    <phoneticPr fontId="4"/>
  </si>
  <si>
    <t>MWh / t CH4 produced</t>
    <phoneticPr fontId="4"/>
  </si>
  <si>
    <t>0 for Covered anaerobic lagoons (gravity fed) / conventional digesters;</t>
    <phoneticPr fontId="4"/>
  </si>
  <si>
    <t>t CH4 / Nm3 CH4</t>
    <phoneticPr fontId="4"/>
  </si>
  <si>
    <t>t CH4 leaked / t CH4 produced</t>
    <phoneticPr fontId="4"/>
  </si>
  <si>
    <t>0.028: Digesters with steel or lined concrete or fiberglass digesters and a gas holding system (egg shaped digesters) and monolithic construction;</t>
    <phoneticPr fontId="4"/>
  </si>
  <si>
    <t>Normal conditions are defined as 20oC and 1 atm pressure</t>
    <phoneticPr fontId="4"/>
  </si>
  <si>
    <t>C</t>
    <phoneticPr fontId="4"/>
  </si>
  <si>
    <t>Total</t>
    <phoneticPr fontId="4"/>
  </si>
  <si>
    <t>Total</t>
    <phoneticPr fontId="4"/>
  </si>
  <si>
    <t>D</t>
    <phoneticPr fontId="4"/>
  </si>
  <si>
    <t>(ton)</t>
    <phoneticPr fontId="4"/>
  </si>
  <si>
    <t>Impacts</t>
    <phoneticPr fontId="4"/>
  </si>
  <si>
    <t>(ton)</t>
    <phoneticPr fontId="4"/>
  </si>
  <si>
    <r>
      <t>(ton-SO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  <phoneticPr fontId="4"/>
  </si>
  <si>
    <r>
      <t>(ton-CO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eq)</t>
    </r>
    <phoneticPr fontId="4"/>
  </si>
  <si>
    <t>Graphs</t>
    <phoneticPr fontId="4"/>
  </si>
  <si>
    <t>NOx</t>
    <phoneticPr fontId="4"/>
  </si>
  <si>
    <t>N</t>
    <phoneticPr fontId="4"/>
  </si>
  <si>
    <t>P</t>
    <phoneticPr fontId="4"/>
  </si>
  <si>
    <t>COD</t>
    <phoneticPr fontId="4"/>
  </si>
  <si>
    <r>
      <t>CO</t>
    </r>
    <r>
      <rPr>
        <vertAlign val="subscript"/>
        <sz val="11"/>
        <rFont val="Arial"/>
        <family val="2"/>
      </rPr>
      <t>2</t>
    </r>
    <phoneticPr fontId="4"/>
  </si>
  <si>
    <r>
      <t>CH</t>
    </r>
    <r>
      <rPr>
        <vertAlign val="subscript"/>
        <sz val="11"/>
        <rFont val="Arial"/>
        <family val="2"/>
      </rPr>
      <t>4</t>
    </r>
    <phoneticPr fontId="4"/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</si>
  <si>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phoneticPr fontId="4"/>
  </si>
  <si>
    <r>
      <t>SO</t>
    </r>
    <r>
      <rPr>
        <vertAlign val="subscript"/>
        <sz val="11"/>
        <rFont val="Arial"/>
        <family val="2"/>
      </rPr>
      <t>2</t>
    </r>
    <phoneticPr fontId="4"/>
  </si>
  <si>
    <t>kgCO2/TJ</t>
    <phoneticPr fontId="4"/>
  </si>
  <si>
    <t>kgCH4/TJ</t>
    <phoneticPr fontId="4"/>
  </si>
  <si>
    <t>kgN2O/TJ</t>
    <phoneticPr fontId="4"/>
  </si>
  <si>
    <t>Table 2.3, Volume 2: Energy, 2006 IPCC Guidelines for National Greenhouse Gas Inventories</t>
    <phoneticPr fontId="4"/>
  </si>
  <si>
    <t>TJ/Gg</t>
  </si>
  <si>
    <t>TJ/Gg</t>
    <phoneticPr fontId="4"/>
  </si>
  <si>
    <t>Table 1.2, Volume 2: Energy, 2006 IPCC Guidelines for National Greenhouse Gas Inventories</t>
    <phoneticPr fontId="4"/>
  </si>
  <si>
    <t>tCO2/t</t>
    <phoneticPr fontId="4"/>
  </si>
  <si>
    <t>tCH4/t</t>
    <phoneticPr fontId="4"/>
  </si>
  <si>
    <t>tN2O/t</t>
    <phoneticPr fontId="4"/>
  </si>
  <si>
    <t>kg/l</t>
    <phoneticPr fontId="4"/>
  </si>
  <si>
    <t>kg/m3</t>
    <phoneticPr fontId="4"/>
  </si>
  <si>
    <t>Density</t>
    <phoneticPr fontId="4"/>
  </si>
  <si>
    <t>Old</t>
    <phoneticPr fontId="4"/>
  </si>
  <si>
    <t>GHG emission factor</t>
    <phoneticPr fontId="4"/>
  </si>
  <si>
    <t>Net calorific value</t>
    <phoneticPr fontId="4"/>
  </si>
  <si>
    <t>GHG emission factor per calorific value</t>
    <phoneticPr fontId="4"/>
  </si>
  <si>
    <t>Calculed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</si>
  <si>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</si>
  <si>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</si>
  <si>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</si>
  <si>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</si>
  <si>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</si>
  <si>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</si>
  <si>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B)</t>
    <phoneticPr fontId="4"/>
  </si>
  <si>
    <r>
      <t>CO</t>
    </r>
    <r>
      <rPr>
        <vertAlign val="subscript"/>
        <sz val="10"/>
        <rFont val="Arial"/>
        <family val="2"/>
      </rPr>
      <t>2</t>
    </r>
    <phoneticPr fontId="4"/>
  </si>
  <si>
    <r>
      <t>CH</t>
    </r>
    <r>
      <rPr>
        <vertAlign val="subscript"/>
        <sz val="10"/>
        <rFont val="Arial"/>
        <family val="2"/>
      </rPr>
      <t>4</t>
    </r>
    <phoneticPr fontId="4"/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</si>
  <si>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phoneticPr fontId="4"/>
  </si>
  <si>
    <r>
      <t>SO</t>
    </r>
    <r>
      <rPr>
        <vertAlign val="subscript"/>
        <sz val="10"/>
        <rFont val="Arial"/>
        <family val="2"/>
      </rPr>
      <t>2</t>
    </r>
    <phoneticPr fontId="4"/>
  </si>
  <si>
    <r>
      <t>tCH</t>
    </r>
    <r>
      <rPr>
        <vertAlign val="subscript"/>
        <sz val="10"/>
        <rFont val="Arial"/>
        <family val="2"/>
      </rPr>
      <t>4</t>
    </r>
    <phoneticPr fontId="4"/>
  </si>
  <si>
    <r>
      <t>tCO</t>
    </r>
    <r>
      <rPr>
        <vertAlign val="subscript"/>
        <sz val="10"/>
        <rFont val="Arial"/>
        <family val="2"/>
      </rPr>
      <t>2</t>
    </r>
    <phoneticPr fontId="4"/>
  </si>
  <si>
    <r>
      <t>tN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phoneticPr fontId="4"/>
  </si>
  <si>
    <t>***</t>
    <phoneticPr fontId="4"/>
  </si>
  <si>
    <t>****</t>
    <phoneticPr fontId="4"/>
  </si>
  <si>
    <t>*****</t>
    <phoneticPr fontId="4"/>
  </si>
  <si>
    <t>*****CDM Methodological Tool Emissions from solid waste disposal sites, Version 06.0.1</t>
    <phoneticPr fontId="4"/>
  </si>
  <si>
    <t>***CDM Methodological Tool Project and leakage emissions from composting, Version 01.0.0</t>
    <phoneticPr fontId="4"/>
  </si>
  <si>
    <t>****CDM Methodological Tool Project and leakage emissions from anaerobic digesters, version 01.0.0</t>
    <phoneticPr fontId="4"/>
  </si>
  <si>
    <t>Sumatra</t>
    <phoneticPr fontId="4"/>
  </si>
  <si>
    <t>kgCO2/kWh</t>
    <phoneticPr fontId="4"/>
  </si>
  <si>
    <t>West Kalimantan</t>
    <phoneticPr fontId="4"/>
  </si>
  <si>
    <t>South and Central Kalimantan</t>
    <phoneticPr fontId="4"/>
  </si>
  <si>
    <t>East Kalimantan</t>
    <phoneticPr fontId="4"/>
  </si>
  <si>
    <t>Kotamobagu Minahasa</t>
    <phoneticPr fontId="4"/>
  </si>
  <si>
    <t>South Sulawesi, West Sulawesi</t>
    <phoneticPr fontId="4"/>
  </si>
  <si>
    <t>Batam</t>
    <phoneticPr fontId="4"/>
  </si>
  <si>
    <t>Sumatra</t>
  </si>
  <si>
    <t>D),</t>
    <phoneticPr fontId="4"/>
  </si>
  <si>
    <t>D) IGES: List of Grid Emission Factor (2014), http://pub.iges.or.jp/modules/envirolib/view.php?docid=2136</t>
    <phoneticPr fontId="4"/>
  </si>
  <si>
    <t>-</t>
    <phoneticPr fontId="4"/>
  </si>
  <si>
    <t>-</t>
    <phoneticPr fontId="4"/>
  </si>
  <si>
    <t>ton-compost/year</t>
    <phoneticPr fontId="4"/>
  </si>
  <si>
    <t>kg-N</t>
    <phoneticPr fontId="4"/>
  </si>
  <si>
    <t>tonCO2e</t>
    <phoneticPr fontId="4"/>
  </si>
  <si>
    <t>kg</t>
    <phoneticPr fontId="4"/>
  </si>
  <si>
    <t>t/t</t>
    <phoneticPr fontId="4"/>
  </si>
  <si>
    <t>t/t</t>
    <phoneticPr fontId="4"/>
  </si>
  <si>
    <t>Grid Emission Factor</t>
    <phoneticPr fontId="4"/>
  </si>
  <si>
    <t>RP</t>
    <phoneticPr fontId="4"/>
  </si>
  <si>
    <t xml:space="preserve">  Chemical Fertilizer Emission Factor</t>
    <phoneticPr fontId="47"/>
  </si>
  <si>
    <t>MOP</t>
    <phoneticPr fontId="4"/>
  </si>
  <si>
    <t xml:space="preserve">  Kalium content</t>
    <phoneticPr fontId="4"/>
  </si>
  <si>
    <t xml:space="preserve">  Fertilizer equivalent-MOP(kg)/28ton-compost</t>
    <phoneticPr fontId="4"/>
  </si>
  <si>
    <t xml:space="preserve">  CO2 emission factor of kalium content</t>
    <phoneticPr fontId="4"/>
  </si>
  <si>
    <t>kgCO2e/kg-K</t>
    <phoneticPr fontId="4"/>
  </si>
  <si>
    <t xml:space="preserve">   (1) MOP production</t>
    <phoneticPr fontId="47"/>
  </si>
  <si>
    <t>kgCO2e/kg-MOP</t>
    <phoneticPr fontId="4"/>
  </si>
  <si>
    <t xml:space="preserve">   (2) MOP Application</t>
    <phoneticPr fontId="47"/>
  </si>
  <si>
    <t>Results of GHG emission reduction by substitution of chemical fertilizer</t>
    <phoneticPr fontId="4"/>
  </si>
  <si>
    <t>Potential CO2-offset by substitution of fertilizer by compost utilizing (ton-CO2e)</t>
    <phoneticPr fontId="4"/>
  </si>
  <si>
    <t>(tonCO2e)</t>
    <phoneticPr fontId="4"/>
  </si>
  <si>
    <t>composting (open wind row)</t>
    <phoneticPr fontId="4"/>
  </si>
  <si>
    <t>composting (close system)</t>
    <phoneticPr fontId="4"/>
  </si>
  <si>
    <t>composting (mature)</t>
    <phoneticPr fontId="4"/>
  </si>
  <si>
    <t>solid decantor</t>
    <phoneticPr fontId="4"/>
  </si>
  <si>
    <t>POME (LA)</t>
    <phoneticPr fontId="4"/>
  </si>
  <si>
    <t xml:space="preserve"> Substition of Urea utilization</t>
    <phoneticPr fontId="4"/>
  </si>
  <si>
    <t xml:space="preserve"> Substition of RP utilization</t>
    <phoneticPr fontId="4"/>
  </si>
  <si>
    <t xml:space="preserve"> Substition of MOP utilization</t>
    <phoneticPr fontId="4"/>
  </si>
  <si>
    <t>Fertilizer substitution</t>
    <phoneticPr fontId="4"/>
  </si>
  <si>
    <t>Substitute by Solid waste</t>
    <phoneticPr fontId="4"/>
  </si>
  <si>
    <t>Open wind row</t>
    <phoneticPr fontId="4"/>
  </si>
  <si>
    <t>close system</t>
    <phoneticPr fontId="4"/>
  </si>
  <si>
    <t>manure</t>
    <phoneticPr fontId="4"/>
  </si>
  <si>
    <t>mulching</t>
    <phoneticPr fontId="4"/>
  </si>
  <si>
    <t>Urea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</si>
  <si>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Nitrogen content weight (kg) in solid waste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</si>
  <si>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Potential CO2 emissions from Compost Utilization</t>
    </r>
    <phoneticPr fontId="47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</si>
  <si>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(urea) weight(kg) produced from solid waste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</si>
  <si>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Potential CO2 emission from Urea Utilization</t>
    </r>
    <phoneticPr fontId="47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</si>
  <si>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phosphus content weight (kg) in solid waste</t>
    </r>
    <phoneticPr fontId="4"/>
  </si>
  <si>
    <t>kg-P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</si>
  <si>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(RP) weight(kg) produced from solid waste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</si>
  <si>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Potential CO2 emission from RP Utilization</t>
    </r>
    <phoneticPr fontId="47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</si>
  <si>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kalium content weight (kg) in solid waste</t>
    </r>
    <phoneticPr fontId="4"/>
  </si>
  <si>
    <t>kg-K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</si>
  <si>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(MOP) weight(kg) produced from solid waste</t>
    </r>
    <phoneticPr fontId="4"/>
  </si>
  <si>
    <t>Substitute by POME(land application)</t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</si>
  <si>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Nitrogen content weight (kg) in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</si>
  <si>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(urea) weight(kg) produced from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</si>
  <si>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phosphus content weight (kg) in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</si>
  <si>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(RP) weight(kg) produced from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</si>
  <si>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kalium content weight (kg) in POME</t>
    </r>
    <phoneticPr fontId="4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</si>
  <si>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The amount of Fertilizer (MOP) weight(kg) produced from POME</t>
    </r>
    <phoneticPr fontId="4"/>
  </si>
  <si>
    <t>solid decanter</t>
    <phoneticPr fontId="4"/>
  </si>
  <si>
    <t>Fertilizer</t>
    <phoneticPr fontId="4"/>
  </si>
  <si>
    <t xml:space="preserve">  Nitrogen content</t>
    <phoneticPr fontId="4"/>
  </si>
  <si>
    <t xml:space="preserve">  Fertilizer equivalent-urea(kg)/28ton-compost</t>
    <phoneticPr fontId="4"/>
  </si>
  <si>
    <t xml:space="preserve">  Emission factor of Nitrogen content</t>
    <phoneticPr fontId="4"/>
  </si>
  <si>
    <t>kgCO2e/kg-N</t>
    <phoneticPr fontId="4"/>
  </si>
  <si>
    <t xml:space="preserve">  Chemical Fertilizer Emission Factor</t>
    <phoneticPr fontId="47"/>
  </si>
  <si>
    <t xml:space="preserve">   (1) Urea production</t>
    <phoneticPr fontId="47"/>
  </si>
  <si>
    <t>kgCO2e/kg-urea</t>
    <phoneticPr fontId="4"/>
  </si>
  <si>
    <t>Estimasion CO2, Non-Co2 GHG and other gas pollution emissions of Indonesia's Urea Fertilizeer Factories</t>
    <phoneticPr fontId="47"/>
  </si>
  <si>
    <t xml:space="preserve">   (2) Urea Application</t>
    <phoneticPr fontId="47"/>
  </si>
  <si>
    <t>ISCC 205 GHG emission calculation methodology and GHG audit ISCC 11-03-15</t>
    <phoneticPr fontId="47"/>
  </si>
  <si>
    <t>RP</t>
    <phoneticPr fontId="4"/>
  </si>
  <si>
    <t xml:space="preserve">  phosphorus content</t>
    <phoneticPr fontId="4"/>
  </si>
  <si>
    <t xml:space="preserve">  Fertilizer equivalent-RP(kg)/28ton-compost</t>
    <phoneticPr fontId="4"/>
  </si>
  <si>
    <t xml:space="preserve">  CO2 emission factor of phosphorus content</t>
    <phoneticPr fontId="4"/>
  </si>
  <si>
    <t>kgCO2e/kg-P</t>
    <phoneticPr fontId="4"/>
  </si>
  <si>
    <t xml:space="preserve">   (1) RP production</t>
    <phoneticPr fontId="47"/>
  </si>
  <si>
    <t>kgCO2e/kg-RP</t>
    <phoneticPr fontId="4"/>
  </si>
  <si>
    <t xml:space="preserve">   (2) RP Application</t>
    <phoneticPr fontId="47"/>
  </si>
  <si>
    <t>Emissions of methane from stock pile</t>
    <phoneticPr fontId="4"/>
  </si>
  <si>
    <t>Emissions of nitrous oxide from stock pile</t>
    <phoneticPr fontId="4"/>
  </si>
  <si>
    <t>Catatan: Mohon masukkan angka tahunan untuk setiap parameter, misal: rata-rata 3 tahun terakhir</t>
  </si>
  <si>
    <t>Jumlah listrik dari boiler yg dibutuhkan untuk pemrosesan (kWh/tahun)</t>
  </si>
  <si>
    <t>Pengolahan limbah cair</t>
    <phoneticPr fontId="4"/>
  </si>
  <si>
    <t>Jumlah POME ke dalam kolam terbuka (open lagoon) tanpa sistem penangkap metana (m3/tahun) (bukan untuk dihitung)</t>
    <phoneticPr fontId="4"/>
  </si>
  <si>
    <t>Konsentrasi COD pada POME ke dalam kolam terbuka (open lagoon) tanpa sistem penangkap metana (gram/m3)</t>
  </si>
  <si>
    <t>Jumlah POME pada inlet sistem pengolahan limbah cair (m3/tahun) (bukan untuk dihitung)</t>
    <phoneticPr fontId="4"/>
  </si>
  <si>
    <t>Jumlah listrik dari jaringan (PLN), jika ada (kWh/tahun)</t>
  </si>
  <si>
    <t>Konsentrasi COD pada POME di inlet sistem pengolahan limbah cair (gram/m3)</t>
    <phoneticPr fontId="4"/>
  </si>
  <si>
    <t>Jumlah listrik yg dijual ke jaringan (grid), jika ada (kWh/tahun)</t>
  </si>
  <si>
    <t>Jumlah metana yang tertangkap dalam m3/tahun, jika sistem sudah terpasang. Jika belum, masukkan nol</t>
  </si>
  <si>
    <t>Jumlah POME yang dialirkan ke badan air setelah diolah (m3/tahun)</t>
  </si>
  <si>
    <t>Jumlah POME untuk land application (pupuk) (m3/tahun)</t>
  </si>
  <si>
    <t>Jumlah POME murni (belum diolah) untuk kompos (m3/tahun)</t>
  </si>
  <si>
    <t>COD pada POME untuk land application (gram/m3)</t>
  </si>
  <si>
    <t>Konsentrasi N untuk land application (gram-N/m3)</t>
  </si>
  <si>
    <t>(a) jika nilai BOD 2000-3500 mg/liter, maka gunakan 387.5 (nilai N 325 - 450 mg/liter); (b) jika nilai BOD 3500 - 5000 mg/liter, maka gunakan 587.5 (nilai N 500 - 675 mg/liter)</t>
    <phoneticPr fontId="4"/>
  </si>
  <si>
    <t>Konsentrasi P untuk land application (gram-P/m3)</t>
  </si>
  <si>
    <t>(a) jika nilai BOD 2000-3500 mg/liter, maka gunakan 73.5 (nilai P 62 - 85 mg/liter); (b) jika nilai BOD 3500 - 5000 mg/liter, maka gunakan 100 (nilai P 90 - 110 mg/liter)</t>
  </si>
  <si>
    <t>COD pada POME yang dialirkan ke badan air setelah diolah (gram/m3)</t>
  </si>
  <si>
    <t>Konsentrasi N pada POME yang dialirkan ke badan air setelah diolah (gram/m3) (BOD &lt; 100 mg/liter: 50, 100&lt; BOD &lt; 150 mg/liter: 450)</t>
    <phoneticPr fontId="4"/>
  </si>
  <si>
    <t>Konsentrasi P pada POME yang dialirkan ke badan air setelah diolah (gram/m3) (BOD &lt; 100 mg/liter: 12, 100&lt; BOD &lt; 150 mg/liter: 70)</t>
    <phoneticPr fontId="4"/>
  </si>
  <si>
    <t>Pengolahan limbah padat</t>
    <phoneticPr fontId="4"/>
  </si>
  <si>
    <t>Jumlah tandan kosong sawit (EFB) untuk pembakaran (incineration) (ton/tahun)</t>
    <phoneticPr fontId="4"/>
  </si>
  <si>
    <t>Jumlah tandan kosong sawit (EFB) untuk bahan bakar boiler (ton/tahun)</t>
  </si>
  <si>
    <t>Jumlah tandan kosong sawit (EFB) untuk pengomposan (mature) (ton/tahun)</t>
  </si>
  <si>
    <t>Jumlah tandan kosong sawit (EFB) untuk penumpukan (piling) (ton/tahun)</t>
  </si>
  <si>
    <t>Jumlah cangkang (shell) yang disimpan (ton/tahun) (untuk kemudian dijual ke pihak lain)</t>
  </si>
  <si>
    <t>Jumlah cangkang (shell) untuk bahan bakar boiler (ton/tahun)</t>
  </si>
  <si>
    <t>Laju gas buang pembakaran (incinerator) (m3/detik)</t>
    <phoneticPr fontId="4"/>
  </si>
  <si>
    <t>Konsentrasi NOx pada gas buang pembakaran (g-N/m3) (bisa memakai nilai default 70 gram-N/ton-CPO)</t>
  </si>
  <si>
    <t>Konsentrasi SOx pada gas buang pembakaran (g-N/m3) (bisa memakai nilai default 0.6 gram-N/ton-CPO)</t>
  </si>
  <si>
    <t>Laju gas buang boiler (m3/detik)</t>
    <phoneticPr fontId="4"/>
  </si>
  <si>
    <t>Konsentrasi NOx pada gas buang boiler (g-N/m3) (bisa memakai nilai default 70 gram-N/ton-CPO)</t>
  </si>
  <si>
    <t>Konsentrasi SOx pada gas buang boiler (g-N/m3) (bisa memakai nilai default 70 gram-N/ton-CPO)</t>
  </si>
  <si>
    <t>Jumlah abu pembakaran (incinerator) tanpa aplikasi (ton/tahun) (bukan untuk dihitung)</t>
  </si>
  <si>
    <t>Jumlah abu boiler tanpa aplikasi (ton/tahun) (bukan untuk dihitung)</t>
  </si>
  <si>
    <t>Jumlah abu pembakaran dan boiler untuk aplikasi kompos atau perkebunan (ton/tahun)</t>
  </si>
  <si>
    <t>Konsentrasi N pada solid decanter (gram-N/m3)</t>
  </si>
  <si>
    <t>Konsentrasi P pada solid decanter (gram-N/m3)</t>
  </si>
  <si>
    <t>Ringkasan data terinput untuk inventory analysis dan uji dampak</t>
  </si>
  <si>
    <t>Input tandan buah segar (TBS)</t>
    <phoneticPr fontId="4"/>
  </si>
  <si>
    <t>Penggunaan minyak solar</t>
    <phoneticPr fontId="4"/>
  </si>
  <si>
    <t>Penggunaan listrik (dari grid)</t>
    <phoneticPr fontId="4"/>
  </si>
  <si>
    <t>Penggunaan listrik (dari boiler)</t>
    <phoneticPr fontId="4"/>
  </si>
  <si>
    <t>Penggunaan batu bara</t>
    <phoneticPr fontId="4"/>
  </si>
  <si>
    <t>Pengolahan limbah cair</t>
  </si>
  <si>
    <t>Jumlah POME ke kolam (lagoon)</t>
  </si>
  <si>
    <t>Konsentrasi COD pada POME ke kolam (lagoon)</t>
  </si>
  <si>
    <t>Jumlah POME pada inlet sistem pengolahan limbah cair</t>
  </si>
  <si>
    <t xml:space="preserve">Konsentrasi COD pada POME di inlet sistem pengolahan limbah cair </t>
  </si>
  <si>
    <t>Penggunaan listrik (dari grid)</t>
  </si>
  <si>
    <t>Jumlah biogas yang tertangkap</t>
  </si>
  <si>
    <t>Listrik yang dijual (ke grid)</t>
  </si>
  <si>
    <t>POME yang dialirkan ke badan air (setelah pengolahan)</t>
  </si>
  <si>
    <t>POME untuk land application</t>
  </si>
  <si>
    <t>POME untuk pengomposan</t>
  </si>
  <si>
    <t>Konsentrasi COD pada POME untuk land application (setelah pengolahan)</t>
  </si>
  <si>
    <t>Konsentrasi COD pada POME untuk dialirkan (setelah pengolahan)</t>
  </si>
  <si>
    <t>Konsentrasi N pada POME untuk land application (setelah pengolahan)</t>
  </si>
  <si>
    <t>Konsentrasi P pada POME untuk land application (setelah pengolahan)</t>
  </si>
  <si>
    <t>Konsentrasi N pada POME untuk dialirkan (setelah pengolahan)</t>
  </si>
  <si>
    <t>Konsentrasi P pada POME untuk dialirkan (setelah pengolahan)</t>
  </si>
  <si>
    <t>Pengolahan limbah padat</t>
  </si>
  <si>
    <t>Tandan kosong sawit (EFB)</t>
    <phoneticPr fontId="4"/>
  </si>
  <si>
    <t>Pembakaran (incineration)</t>
    <phoneticPr fontId="4"/>
  </si>
  <si>
    <t>Mulching</t>
    <phoneticPr fontId="4"/>
  </si>
  <si>
    <t>Untuk bahan bakar boiler</t>
    <phoneticPr fontId="4"/>
  </si>
  <si>
    <t>Pengomposan (open wind row)</t>
    <phoneticPr fontId="4"/>
  </si>
  <si>
    <t>Pengomposan (close system)</t>
    <phoneticPr fontId="4"/>
  </si>
  <si>
    <t>Pengomposan (mature)</t>
    <phoneticPr fontId="4"/>
  </si>
  <si>
    <t>Penumpukan (piling)</t>
    <phoneticPr fontId="4"/>
  </si>
  <si>
    <t>Cangkang (shell)</t>
    <phoneticPr fontId="4"/>
  </si>
  <si>
    <t>Disimpan untuk kemudian dijual ke pihak lain</t>
    <phoneticPr fontId="4"/>
  </si>
  <si>
    <t>Gas buang pembakaran (incinerator)</t>
    <phoneticPr fontId="4"/>
  </si>
  <si>
    <t>Laju gas buang</t>
    <phoneticPr fontId="4"/>
  </si>
  <si>
    <t xml:space="preserve">Konsentrasi NOx </t>
    <phoneticPr fontId="4"/>
  </si>
  <si>
    <t xml:space="preserve">Konsentrasi SOx </t>
    <phoneticPr fontId="4"/>
  </si>
  <si>
    <t>Gas buang boiler</t>
    <phoneticPr fontId="4"/>
  </si>
  <si>
    <t>Abu</t>
    <phoneticPr fontId="4"/>
  </si>
  <si>
    <t>Abu pembakaran tanpa aplikasi</t>
    <phoneticPr fontId="4"/>
  </si>
  <si>
    <t>Abu boiler tanpa aplikasi</t>
    <phoneticPr fontId="4"/>
  </si>
  <si>
    <t>Abu pembakaran dan boiler untuk pengomposan atau perkebunan</t>
    <phoneticPr fontId="4"/>
  </si>
  <si>
    <t>Solid decanter</t>
    <phoneticPr fontId="4"/>
  </si>
  <si>
    <t>Untuk land application</t>
    <phoneticPr fontId="4"/>
  </si>
  <si>
    <t xml:space="preserve">Konsentrasi N </t>
    <phoneticPr fontId="4"/>
  </si>
  <si>
    <t>Konsentrasi P</t>
    <phoneticPr fontId="4"/>
  </si>
  <si>
    <t xml:space="preserve">   Potensi kompos yang dihasilkan dari EFB (row angin opern)</t>
    <phoneticPr fontId="4"/>
  </si>
  <si>
    <t xml:space="preserve">   Potensi kompos yang dihasilkan dari EFB (Close system)</t>
    <phoneticPr fontId="4"/>
  </si>
  <si>
    <t xml:space="preserve">   Potensi kompos yang dihasilkan dari EFB (mature)</t>
    <phoneticPr fontId="4"/>
  </si>
  <si>
    <t>Lembar perhitungan</t>
    <phoneticPr fontId="4"/>
  </si>
  <si>
    <t>Penggunaan minyak solar</t>
  </si>
  <si>
    <t>SO2, NOx boiler</t>
    <phoneticPr fontId="4"/>
  </si>
  <si>
    <t>Penggunaan listrik</t>
  </si>
  <si>
    <t>Penggunaan batu bara</t>
    <phoneticPr fontId="4"/>
  </si>
  <si>
    <t>CH4 dari POME (tanpa penangkapan)</t>
    <phoneticPr fontId="4"/>
  </si>
  <si>
    <t>CH4 dari POME (aliran air)</t>
    <phoneticPr fontId="4"/>
  </si>
  <si>
    <t>Emisi N ke air</t>
    <phoneticPr fontId="4"/>
  </si>
  <si>
    <t xml:space="preserve">Emisi P ke air </t>
    <phoneticPr fontId="4"/>
  </si>
  <si>
    <t>Emisi COD ke air</t>
    <phoneticPr fontId="4"/>
  </si>
  <si>
    <r>
      <t>Penjualan listrik (</t>
    </r>
    <r>
      <rPr>
        <i/>
        <u/>
        <sz val="10"/>
        <rFont val="Arial"/>
        <family val="2"/>
      </rPr>
      <t>credit</t>
    </r>
    <r>
      <rPr>
        <sz val="10"/>
        <rFont val="Arial"/>
        <family val="2"/>
      </rPr>
      <t>)</t>
    </r>
    <phoneticPr fontId="4"/>
  </si>
  <si>
    <t>Emisi pengolahan anaerobik</t>
    <phoneticPr fontId="4"/>
  </si>
  <si>
    <t>Tandan kosong sawit (EFB) untuk pembakaran</t>
  </si>
  <si>
    <t>Tandan kosong sawit (EFB) untuk bahan bakar boiler</t>
  </si>
  <si>
    <t>Cangkang (shell) untuk bahan bakar boiler</t>
  </si>
  <si>
    <t>Serat (shell) untuk bahan bakar boiler</t>
  </si>
  <si>
    <t>SO2, NOx dari pembakaran</t>
  </si>
  <si>
    <t>Timbunan (stockpile)</t>
  </si>
  <si>
    <t>Pengomposan (open wind row)</t>
  </si>
  <si>
    <t>Pengomposan (close system)</t>
  </si>
  <si>
    <t>Pengomposan (mature)</t>
  </si>
  <si>
    <t>Total</t>
  </si>
  <si>
    <t>Emisi dari timbunan (stockpile)</t>
  </si>
  <si>
    <t>Emisi dari konsumsi listrik</t>
  </si>
  <si>
    <t>Emisi dari konsumsi bahan bakar fosil</t>
  </si>
  <si>
    <t>Emisi metana dari pengomposan</t>
  </si>
  <si>
    <t>Emisi N2O dari pengomposan</t>
  </si>
  <si>
    <t>Emisi dari pengolahan anaerobik</t>
  </si>
  <si>
    <t>Metana dari pengolahan anaerobik</t>
  </si>
  <si>
    <t>Hasil</t>
  </si>
  <si>
    <t>Emisi</t>
  </si>
  <si>
    <t>Total</t>
    <phoneticPr fontId="4"/>
  </si>
  <si>
    <t xml:space="preserve">Nilai Default </t>
  </si>
  <si>
    <t>Faktor emisi untuk bahan bakar, listrik</t>
  </si>
  <si>
    <t>Solar CO2</t>
  </si>
  <si>
    <t>Solar CH4</t>
  </si>
  <si>
    <t>Solar N2O</t>
  </si>
  <si>
    <t>Solar SO2</t>
  </si>
  <si>
    <t>Solar NOx</t>
  </si>
  <si>
    <t>Batu bara CO2</t>
    <phoneticPr fontId="4"/>
  </si>
  <si>
    <t>Batu bara CH4</t>
    <phoneticPr fontId="4"/>
  </si>
  <si>
    <t>Batu bara N2O</t>
    <phoneticPr fontId="4"/>
  </si>
  <si>
    <t>Batu bara SO2</t>
    <phoneticPr fontId="4"/>
  </si>
  <si>
    <t>Batu bara NOx</t>
    <phoneticPr fontId="4"/>
  </si>
  <si>
    <t>Limbah padat biomassa CO2</t>
  </si>
  <si>
    <t>Limbah padat biomassa CH4</t>
  </si>
  <si>
    <t>Limbah padat biomassa N2O</t>
  </si>
  <si>
    <t>Limbah padat biomassa SO2</t>
  </si>
  <si>
    <t>Limbah padat biomassa NOx</t>
  </si>
  <si>
    <t>Listrik grid</t>
  </si>
  <si>
    <t xml:space="preserve">Parameters untuk CH4 </t>
  </si>
  <si>
    <t>Densitas CH4</t>
  </si>
  <si>
    <t xml:space="preserve">Faktor koreksi (correction faktor) CH4 </t>
  </si>
  <si>
    <t xml:space="preserve">Produksi CH4 </t>
  </si>
  <si>
    <t xml:space="preserve">Lower heating value CH4 </t>
  </si>
  <si>
    <t>Efisiensi mesin gas</t>
  </si>
  <si>
    <t>Kompos</t>
  </si>
  <si>
    <t>Default value for the specific quantity of electricity consumed per tonne of waste
composted</t>
    <phoneticPr fontId="4"/>
  </si>
  <si>
    <t>Default emission factor for fossil fuel consumed by the composting activity per tonne of waste composted (wet basis)</t>
    <phoneticPr fontId="4"/>
  </si>
  <si>
    <t>Emission factor of methane per tonne of waste composted</t>
    <phoneticPr fontId="4"/>
  </si>
  <si>
    <t>Emission factor of nitrous oxide per tonne of waste composted</t>
    <phoneticPr fontId="4"/>
  </si>
  <si>
    <t>Default value for the fraction of methane in the biogas</t>
    <phoneticPr fontId="4"/>
  </si>
  <si>
    <t>Density of methane at normal conditions</t>
    <phoneticPr fontId="4"/>
  </si>
  <si>
    <t>Default factor for the electricity consumption associated with the anaerobic digester per ton of methane generated</t>
    <phoneticPr fontId="4"/>
  </si>
  <si>
    <t>Default emission factor for the fraction of CH4 produced that leaks from the
anaerobic digester</t>
    <phoneticPr fontId="4"/>
  </si>
  <si>
    <t>Characterization factor</t>
    <phoneticPr fontId="4"/>
  </si>
  <si>
    <t>Souce: IPCC “Fourth Assessment Report: Climate Change 2007 (AR4)”, Time horizon: 100years</t>
    <phoneticPr fontId="4"/>
  </si>
  <si>
    <t>Penimbunan (stockpile)</t>
  </si>
  <si>
    <t>Tahun</t>
  </si>
  <si>
    <t>Bagian (fraction) metana di biogas</t>
  </si>
  <si>
    <t>Bagian (fraction) degradable organic carbon (DOC) di tandan buah kosong (EFB)</t>
  </si>
  <si>
    <t>Nilai default bagian degradable organic carbon (DOC) di tandan buah kosong (EFB) yang terurai di SWDS</t>
  </si>
  <si>
    <t>Faktor koreksi metana untuk tandan buah kosong (EFB) (tempat pembuangan dangkal tak terkelola atau stockpile yang bisa dianggap SWDS)</t>
  </si>
  <si>
    <t>Laju pembusukan tandan buah kosong (EFB)</t>
  </si>
  <si>
    <t>Faktor oksidasi (SWDS)</t>
  </si>
  <si>
    <t>Faktor eksponensial</t>
  </si>
  <si>
    <t>Lokasi pabrik kelapa sawit (pilih salah satu di bawah ini)</t>
    <phoneticPr fontId="4"/>
  </si>
  <si>
    <t>eutrofikasi</t>
    <phoneticPr fontId="4"/>
  </si>
  <si>
    <t>oksidasi</t>
    <phoneticPr fontId="4"/>
  </si>
  <si>
    <t>Pemanasan global</t>
    <phoneticPr fontId="4"/>
  </si>
  <si>
    <t xml:space="preserve">TJumlah tandan kosong sawit (EFB) untuk pembakaran (incineration) (ton/tahun) </t>
    <phoneticPr fontId="4"/>
  </si>
  <si>
    <t>Jumlah tandan kosong sawit (EFB) untuk pengomposan (open wind row) (ton/tahun)</t>
    <phoneticPr fontId="4"/>
  </si>
  <si>
    <t>Jumlah tandan kosong sawit (EFB) untuk pengomposan (close system) (ton/tahun)</t>
    <phoneticPr fontId="4"/>
  </si>
  <si>
    <t>Jumlah solid decanter untuk land applciation (ton/tahun)</t>
    <phoneticPr fontId="4"/>
  </si>
  <si>
    <t>Proses produksi minyak CPO</t>
    <phoneticPr fontId="4"/>
  </si>
  <si>
    <t>Jumlah tandan buah segar (TBS) yg dibutuhkan untuk produksi minyak CPO (ton/tahun)</t>
    <phoneticPr fontId="4"/>
  </si>
  <si>
    <t>Kuesioner mengenai produksi CPO</t>
    <phoneticPr fontId="4"/>
  </si>
  <si>
    <t>Jumlah minyak solar yg dibutuhkan untuk produksi minyak CPO (kilo liter/tahun)</t>
    <phoneticPr fontId="4"/>
  </si>
  <si>
    <t>Jumlah batu bara yg dibutuhkan untuk produksi minyak CPO (m3/tahun)</t>
    <phoneticPr fontId="4"/>
  </si>
  <si>
    <t>Jumlah listrik (dari PLN) yg dibutuhkan untuk produksi minyak CPO (kWh/tahun)</t>
    <phoneticPr fontId="4"/>
  </si>
  <si>
    <t>Jumlah produksi CPO (ton/tahun)</t>
    <phoneticPr fontId="4"/>
  </si>
  <si>
    <t>Jumlah sabut (fiber) yang disimpan (ton/tahun) (untuk kemudian dijual ke pihak lain)</t>
    <phoneticPr fontId="4"/>
  </si>
  <si>
    <t>Jumlah sabut (fiber) untuk bahan bakar boiler (ton/tahun)</t>
    <phoneticPr fontId="4"/>
  </si>
  <si>
    <t>Actual</t>
  </si>
  <si>
    <t>Actual</t>
    <phoneticPr fontId="4"/>
  </si>
  <si>
    <t>Actual</t>
    <phoneticPr fontId="4"/>
  </si>
  <si>
    <t>Proses produksi minyak CPO</t>
  </si>
  <si>
    <t>Proses produksi minyak CPO</t>
    <phoneticPr fontId="4"/>
  </si>
  <si>
    <t>Produksi CPO</t>
    <phoneticPr fontId="4"/>
  </si>
  <si>
    <t>Sabut (fiber)</t>
    <phoneticPr fontId="4"/>
  </si>
  <si>
    <t>No treatment</t>
  </si>
  <si>
    <t>No treatment</t>
    <phoneticPr fontId="4"/>
  </si>
  <si>
    <t>Total/CPO</t>
    <phoneticPr fontId="4"/>
  </si>
  <si>
    <t>Emissions/unit-CPO</t>
    <phoneticPr fontId="4"/>
  </si>
  <si>
    <t>(ton/CPO)</t>
    <phoneticPr fontId="4"/>
  </si>
  <si>
    <r>
      <t>CO</t>
    </r>
    <r>
      <rPr>
        <vertAlign val="subscript"/>
        <sz val="11"/>
        <rFont val="Arial"/>
        <family val="2"/>
      </rPr>
      <t>2</t>
    </r>
    <phoneticPr fontId="4"/>
  </si>
  <si>
    <r>
      <t>CH</t>
    </r>
    <r>
      <rPr>
        <vertAlign val="subscript"/>
        <sz val="11"/>
        <rFont val="Arial"/>
        <family val="2"/>
      </rPr>
      <t>4</t>
    </r>
    <phoneticPr fontId="4"/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</si>
  <si>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phoneticPr fontId="4"/>
  </si>
  <si>
    <r>
      <t>SO</t>
    </r>
    <r>
      <rPr>
        <vertAlign val="subscript"/>
        <sz val="11"/>
        <rFont val="Arial"/>
        <family val="2"/>
      </rPr>
      <t>2</t>
    </r>
    <phoneticPr fontId="4"/>
  </si>
  <si>
    <t>COD</t>
    <phoneticPr fontId="4"/>
  </si>
  <si>
    <t>CPO production process</t>
    <phoneticPr fontId="4"/>
  </si>
  <si>
    <t>Waste water treatment</t>
    <phoneticPr fontId="4"/>
  </si>
  <si>
    <t>Solid waste treatment</t>
    <phoneticPr fontId="4"/>
  </si>
  <si>
    <r>
      <t>(kg-CO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eq/CPO)</t>
    </r>
    <phoneticPr fontId="4"/>
  </si>
  <si>
    <r>
      <t>(ton-SO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eq/CPO)</t>
    </r>
    <phoneticPr fontId="4"/>
  </si>
  <si>
    <t>Global warming</t>
    <phoneticPr fontId="4"/>
  </si>
  <si>
    <t>Acidification</t>
  </si>
  <si>
    <t>Eutrophication</t>
  </si>
  <si>
    <t>No treatment</t>
    <phoneticPr fontId="4"/>
  </si>
  <si>
    <t>Actual</t>
    <phoneticPr fontId="4"/>
  </si>
  <si>
    <t>No treatment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</si>
</sst>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;[Red]\-#,##0.0"/>
    <numFmt numFmtId="180" formatCode="#,##0.000;[Red]\-#,##0.000"/>
    <numFmt numFmtId="181" formatCode="0.0"/>
    <numFmt numFmtId="182" formatCode="_-* #,##0.00_-;_-* #,##0.00\-;_-* &quot;-&quot;??_-;_-@_-"/>
    <numFmt numFmtId="183" formatCode="0.0E+00"/>
    <numFmt numFmtId="184" formatCode="_([$€-2]* #,##0.00_);_([$€-2]* \(#,##0.00\);_([$€-2]* &quot;-&quot;??_)"/>
    <numFmt numFmtId="185" formatCode="_([$€-2]* #,##0.00_);_([$€-2]* \(#,##0.00\);_([$€-2]* \-??_)"/>
    <numFmt numFmtId="186" formatCode="_(* #,##0.00_);_(* \(#,##0.00\);_(* \-??_);_(@_)"/>
    <numFmt numFmtId="187" formatCode="0.0000"/>
    <numFmt numFmtId="188" formatCode="0.00.E+00"/>
    <numFmt numFmtId="189" formatCode="_-* #,##0_-;\-* #,##0_-;_-* &quot;-&quot;_-;_-@_-"/>
    <numFmt numFmtId="190" formatCode="#,##0_ ;[Red]\-#,##0\ "/>
    <numFmt numFmtId="191" formatCode="#,##0_ "/>
    <numFmt numFmtId="192" formatCode="#,##0_);[Red]\(#,##0\)"/>
    <numFmt numFmtId="193" formatCode="0.000_);[Red]\(0.000\)"/>
  </numFmts>
  <fonts count="49">
    <font>
      <sz val="11"/>
      <name val="ＭＳ Ｐゴシック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sz val="10"/>
      <color rgb="FFFF0000"/>
      <name val="ＭＳ Ｐゴシック"/>
      <family val="3"/>
      <charset val="128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2"/>
      <color theme="0"/>
      <name val="ＭＳ Ｐゴシック"/>
      <family val="2"/>
      <charset val="128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2"/>
      <color rgb="FFFF0000"/>
      <name val="Arial"/>
      <family val="2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Helvetica Neue Lt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sz val="12"/>
      <color rgb="FFFF6600"/>
      <name val="Arial"/>
      <family val="2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Arial"/>
      <family val="2"/>
    </font>
    <font>
      <sz val="12"/>
      <color rgb="FF006100"/>
      <name val="ＭＳ Ｐゴシック"/>
      <family val="2"/>
      <charset val="128"/>
      <scheme val="minor"/>
    </font>
    <font>
      <vertAlign val="subscript"/>
      <sz val="11"/>
      <name val="Arial"/>
      <family val="2"/>
    </font>
    <font>
      <sz val="12"/>
      <color rgb="FF006100"/>
      <name val="Arial"/>
      <family val="2"/>
    </font>
    <font>
      <sz val="10"/>
      <color theme="8"/>
      <name val="Arial"/>
      <family val="2"/>
    </font>
    <font>
      <sz val="10"/>
      <name val="ＭＳ Ｐゴシック"/>
      <family val="2"/>
      <charset val="128"/>
    </font>
    <font>
      <sz val="10"/>
      <color theme="8" tint="-0.249977111117893"/>
      <name val="Arial"/>
      <family val="2"/>
    </font>
    <font>
      <sz val="10"/>
      <color rgb="FF82B326"/>
      <name val="Arial"/>
      <family val="2"/>
    </font>
    <font>
      <i/>
      <u/>
      <sz val="10"/>
      <name val="Arial"/>
      <family val="2"/>
    </font>
    <font>
      <sz val="12"/>
      <color rgb="FF0000FF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theme="7" tint="-0.249977111117893"/>
      </bottom>
      <diagonal/>
    </border>
    <border>
      <left/>
      <right/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theme="3" tint="-0.249977111117893"/>
      </top>
      <bottom style="hair">
        <color theme="3" tint="-0.249977111117893"/>
      </bottom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969">
    <xf numFmtId="0" fontId="0" fillId="0" borderId="0"/>
    <xf numFmtId="3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178" fontId="1" fillId="0" borderId="0" applyFont="0" applyFill="0" applyBorder="0" applyAlignment="0" applyProtection="0"/>
    <xf numFmtId="0" fontId="5" fillId="0" borderId="0"/>
    <xf numFmtId="178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5" fillId="0" borderId="0" applyFont="0" applyFill="0" applyBorder="0" applyAlignment="0" applyProtection="0"/>
    <xf numFmtId="186" fontId="5" fillId="0" borderId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ill="0" applyBorder="0" applyAlignment="0" applyProtection="0"/>
    <xf numFmtId="178" fontId="26" fillId="0" borderId="0" applyFont="0" applyFill="0" applyBorder="0" applyAlignment="0" applyProtection="0"/>
    <xf numFmtId="0" fontId="26" fillId="0" borderId="0"/>
    <xf numFmtId="0" fontId="5" fillId="0" borderId="0">
      <alignment wrapText="1"/>
    </xf>
    <xf numFmtId="0" fontId="1" fillId="0" borderId="0"/>
    <xf numFmtId="178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18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310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11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11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181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179" fontId="5" fillId="0" borderId="0" xfId="1" applyNumberFormat="1" applyFont="1" applyBorder="1" applyAlignment="1">
      <alignment vertical="center" shrinkToFit="1"/>
    </xf>
    <xf numFmtId="0" fontId="21" fillId="8" borderId="0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left" vertical="center" shrinkToFit="1"/>
    </xf>
    <xf numFmtId="0" fontId="21" fillId="11" borderId="0" xfId="0" applyFont="1" applyFill="1" applyBorder="1" applyAlignment="1">
      <alignment vertical="center" shrinkToFit="1"/>
    </xf>
    <xf numFmtId="0" fontId="21" fillId="11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shrinkToFit="1"/>
    </xf>
    <xf numFmtId="0" fontId="5" fillId="1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5" borderId="0" xfId="513" applyFont="1" applyFill="1" applyBorder="1" applyAlignment="1">
      <alignment horizontal="left" vertical="center"/>
    </xf>
    <xf numFmtId="0" fontId="7" fillId="4" borderId="0" xfId="513" applyFont="1" applyFill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2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7" fillId="7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7" fillId="7" borderId="9" xfId="0" applyFont="1" applyFill="1" applyBorder="1" applyAlignment="1">
      <alignment horizontal="left" vertical="center" wrapText="1" indent="1"/>
    </xf>
    <xf numFmtId="0" fontId="7" fillId="7" borderId="6" xfId="0" applyFont="1" applyFill="1" applyBorder="1" applyAlignment="1">
      <alignment horizontal="left" vertical="center" wrapText="1" indent="1"/>
    </xf>
    <xf numFmtId="0" fontId="7" fillId="7" borderId="7" xfId="0" applyFont="1" applyFill="1" applyBorder="1" applyAlignment="1">
      <alignment horizontal="left" vertical="center" wrapText="1" indent="1"/>
    </xf>
    <xf numFmtId="0" fontId="7" fillId="7" borderId="0" xfId="0" applyFont="1" applyFill="1" applyBorder="1" applyAlignment="1">
      <alignment horizontal="left" vertical="center" wrapText="1" indent="1"/>
    </xf>
    <xf numFmtId="0" fontId="27" fillId="8" borderId="0" xfId="0" applyFont="1" applyFill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vertical="center"/>
    </xf>
    <xf numFmtId="0" fontId="7" fillId="4" borderId="0" xfId="513" applyFont="1" applyFill="1" applyBorder="1" applyAlignment="1">
      <alignment horizontal="left" vertical="center" wrapText="1"/>
    </xf>
    <xf numFmtId="0" fontId="7" fillId="4" borderId="0" xfId="513" applyFont="1" applyFill="1" applyBorder="1" applyAlignment="1">
      <alignment horizontal="center" vertical="center" shrinkToFit="1"/>
    </xf>
    <xf numFmtId="0" fontId="7" fillId="5" borderId="0" xfId="513" applyFont="1" applyFill="1" applyBorder="1" applyAlignment="1">
      <alignment horizontal="left" vertical="center" wrapText="1"/>
    </xf>
    <xf numFmtId="0" fontId="7" fillId="5" borderId="0" xfId="513" applyFont="1" applyFill="1" applyBorder="1" applyAlignment="1">
      <alignment horizontal="center" vertical="center" shrinkToFit="1"/>
    </xf>
    <xf numFmtId="0" fontId="31" fillId="7" borderId="0" xfId="0" applyFont="1" applyFill="1" applyAlignment="1">
      <alignment vertical="center"/>
    </xf>
    <xf numFmtId="0" fontId="7" fillId="4" borderId="0" xfId="513" applyFont="1" applyFill="1" applyBorder="1" applyAlignment="1">
      <alignment horizontal="center" vertical="center" wrapText="1"/>
    </xf>
    <xf numFmtId="0" fontId="7" fillId="5" borderId="0" xfId="513" applyFont="1" applyFill="1" applyBorder="1" applyAlignment="1">
      <alignment horizontal="center" vertical="center" wrapText="1"/>
    </xf>
    <xf numFmtId="179" fontId="5" fillId="0" borderId="0" xfId="1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180" fontId="5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Border="1" applyAlignment="1">
      <alignment vertical="center" shrinkToFit="1"/>
    </xf>
    <xf numFmtId="38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8" fillId="0" borderId="0" xfId="0" applyFont="1" applyBorder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shrinkToFit="1"/>
    </xf>
    <xf numFmtId="0" fontId="35" fillId="0" borderId="0" xfId="0" applyFont="1" applyBorder="1" applyAlignment="1">
      <alignment shrinkToFit="1"/>
    </xf>
    <xf numFmtId="40" fontId="5" fillId="0" borderId="0" xfId="1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 shrinkToFit="1"/>
    </xf>
    <xf numFmtId="179" fontId="5" fillId="0" borderId="0" xfId="1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79" fontId="5" fillId="0" borderId="0" xfId="1" applyNumberFormat="1" applyFont="1" applyFill="1" applyBorder="1" applyAlignment="1">
      <alignment horizontal="right" vertical="center" shrinkToFit="1"/>
    </xf>
    <xf numFmtId="183" fontId="32" fillId="0" borderId="0" xfId="0" applyNumberFormat="1" applyFont="1" applyFill="1" applyBorder="1" applyAlignment="1">
      <alignment vertical="center" shrinkToFit="1"/>
    </xf>
    <xf numFmtId="0" fontId="34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Border="1" applyAlignment="1">
      <alignment shrinkToFit="1"/>
    </xf>
    <xf numFmtId="0" fontId="28" fillId="0" borderId="0" xfId="0" applyFont="1" applyAlignment="1">
      <alignment horizontal="center" vertical="center"/>
    </xf>
    <xf numFmtId="38" fontId="28" fillId="0" borderId="0" xfId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Continuous" vertical="center" shrinkToFit="1"/>
    </xf>
    <xf numFmtId="0" fontId="28" fillId="0" borderId="20" xfId="0" applyFont="1" applyFill="1" applyBorder="1" applyAlignment="1">
      <alignment horizontal="centerContinuous" vertical="center"/>
    </xf>
    <xf numFmtId="0" fontId="28" fillId="0" borderId="21" xfId="0" applyFont="1" applyFill="1" applyBorder="1" applyAlignment="1">
      <alignment horizontal="centerContinuous" vertical="center"/>
    </xf>
    <xf numFmtId="0" fontId="28" fillId="0" borderId="28" xfId="0" applyFont="1" applyFill="1" applyBorder="1" applyAlignment="1">
      <alignment horizontal="centerContinuous" vertical="center" shrinkToFit="1"/>
    </xf>
    <xf numFmtId="0" fontId="28" fillId="0" borderId="19" xfId="0" applyFont="1" applyFill="1" applyBorder="1" applyAlignment="1">
      <alignment horizontal="centerContinuous"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7" fillId="9" borderId="0" xfId="513" applyFont="1" applyFill="1" applyBorder="1" applyAlignment="1">
      <alignment horizontal="center" vertical="center" wrapText="1"/>
    </xf>
    <xf numFmtId="0" fontId="7" fillId="14" borderId="0" xfId="513" applyFont="1" applyFill="1" applyBorder="1" applyAlignment="1">
      <alignment horizontal="center" vertical="center" wrapText="1"/>
    </xf>
    <xf numFmtId="0" fontId="7" fillId="15" borderId="0" xfId="513" applyFont="1" applyFill="1" applyBorder="1" applyAlignment="1">
      <alignment horizontal="left" vertical="center"/>
    </xf>
    <xf numFmtId="0" fontId="29" fillId="17" borderId="12" xfId="1" applyNumberFormat="1" applyFont="1" applyFill="1" applyBorder="1" applyAlignment="1">
      <alignment vertical="center" shrinkToFit="1"/>
    </xf>
    <xf numFmtId="0" fontId="28" fillId="17" borderId="12" xfId="0" applyNumberFormat="1" applyFont="1" applyFill="1" applyBorder="1" applyAlignment="1">
      <alignment horizontal="right" vertical="center" shrinkToFit="1"/>
    </xf>
    <xf numFmtId="0" fontId="7" fillId="16" borderId="0" xfId="513" applyFont="1" applyFill="1" applyBorder="1" applyAlignment="1">
      <alignment horizontal="left" vertical="center" wrapText="1"/>
    </xf>
    <xf numFmtId="0" fontId="7" fillId="16" borderId="0" xfId="513" applyFont="1" applyFill="1" applyBorder="1" applyAlignment="1">
      <alignment horizontal="center" vertical="center" shrinkToFit="1"/>
    </xf>
    <xf numFmtId="0" fontId="7" fillId="16" borderId="0" xfId="513" applyFont="1" applyFill="1" applyBorder="1" applyAlignment="1">
      <alignment horizontal="center" vertical="center" wrapText="1"/>
    </xf>
    <xf numFmtId="0" fontId="7" fillId="17" borderId="0" xfId="513" applyFont="1" applyFill="1" applyBorder="1" applyAlignment="1">
      <alignment horizontal="center" vertical="center" wrapText="1"/>
    </xf>
    <xf numFmtId="38" fontId="19" fillId="16" borderId="38" xfId="1" applyFont="1" applyFill="1" applyBorder="1" applyAlignment="1">
      <alignment vertical="center" shrinkToFit="1"/>
    </xf>
    <xf numFmtId="38" fontId="19" fillId="17" borderId="38" xfId="1" applyFont="1" applyFill="1" applyBorder="1" applyAlignment="1">
      <alignment vertical="center" shrinkToFit="1"/>
    </xf>
    <xf numFmtId="0" fontId="28" fillId="18" borderId="15" xfId="0" applyFont="1" applyFill="1" applyBorder="1" applyAlignment="1">
      <alignment horizontal="left" vertical="center" wrapText="1"/>
    </xf>
    <xf numFmtId="38" fontId="28" fillId="18" borderId="22" xfId="1" applyFont="1" applyFill="1" applyBorder="1" applyAlignment="1">
      <alignment vertical="center" shrinkToFit="1"/>
    </xf>
    <xf numFmtId="38" fontId="28" fillId="18" borderId="23" xfId="1" applyFont="1" applyFill="1" applyBorder="1" applyAlignment="1">
      <alignment vertical="center" shrinkToFit="1"/>
    </xf>
    <xf numFmtId="38" fontId="28" fillId="18" borderId="24" xfId="1" applyFont="1" applyFill="1" applyBorder="1" applyAlignment="1">
      <alignment vertical="center" shrinkToFit="1"/>
    </xf>
    <xf numFmtId="38" fontId="28" fillId="18" borderId="10" xfId="1" applyFont="1" applyFill="1" applyBorder="1" applyAlignment="1">
      <alignment vertical="center" shrinkToFit="1"/>
    </xf>
    <xf numFmtId="0" fontId="28" fillId="15" borderId="15" xfId="0" applyFont="1" applyFill="1" applyBorder="1" applyAlignment="1">
      <alignment horizontal="left" vertical="center" wrapText="1"/>
    </xf>
    <xf numFmtId="38" fontId="28" fillId="15" borderId="22" xfId="1" applyFont="1" applyFill="1" applyBorder="1" applyAlignment="1">
      <alignment vertical="center" shrinkToFit="1"/>
    </xf>
    <xf numFmtId="38" fontId="28" fillId="15" borderId="23" xfId="1" applyFont="1" applyFill="1" applyBorder="1" applyAlignment="1">
      <alignment vertical="center" shrinkToFit="1"/>
    </xf>
    <xf numFmtId="38" fontId="28" fillId="15" borderId="24" xfId="1" applyFont="1" applyFill="1" applyBorder="1" applyAlignment="1">
      <alignment vertical="center" shrinkToFit="1"/>
    </xf>
    <xf numFmtId="38" fontId="28" fillId="15" borderId="10" xfId="1" applyFont="1" applyFill="1" applyBorder="1" applyAlignment="1">
      <alignment vertical="center" shrinkToFit="1"/>
    </xf>
    <xf numFmtId="0" fontId="28" fillId="13" borderId="29" xfId="0" applyFont="1" applyFill="1" applyBorder="1" applyAlignment="1">
      <alignment horizontal="left" vertical="center" wrapText="1"/>
    </xf>
    <xf numFmtId="38" fontId="28" fillId="13" borderId="30" xfId="1" applyFont="1" applyFill="1" applyBorder="1" applyAlignment="1">
      <alignment vertical="center" shrinkToFit="1"/>
    </xf>
    <xf numFmtId="38" fontId="28" fillId="13" borderId="31" xfId="1" applyFont="1" applyFill="1" applyBorder="1" applyAlignment="1">
      <alignment vertical="center" shrinkToFit="1"/>
    </xf>
    <xf numFmtId="38" fontId="28" fillId="13" borderId="32" xfId="1" applyFont="1" applyFill="1" applyBorder="1" applyAlignment="1">
      <alignment vertical="center" shrinkToFit="1"/>
    </xf>
    <xf numFmtId="38" fontId="28" fillId="13" borderId="33" xfId="1" applyFont="1" applyFill="1" applyBorder="1" applyAlignment="1">
      <alignment vertical="center" shrinkToFit="1"/>
    </xf>
    <xf numFmtId="38" fontId="28" fillId="13" borderId="29" xfId="1" applyFont="1" applyFill="1" applyBorder="1" applyAlignment="1">
      <alignment vertical="center" shrinkToFit="1"/>
    </xf>
    <xf numFmtId="38" fontId="28" fillId="13" borderId="34" xfId="1" applyFont="1" applyFill="1" applyBorder="1" applyAlignment="1">
      <alignment vertical="center" shrinkToFit="1"/>
    </xf>
    <xf numFmtId="38" fontId="28" fillId="13" borderId="35" xfId="1" applyFont="1" applyFill="1" applyBorder="1" applyAlignment="1">
      <alignment vertical="center" shrinkToFit="1"/>
    </xf>
    <xf numFmtId="38" fontId="28" fillId="18" borderId="15" xfId="1" applyFont="1" applyFill="1" applyBorder="1" applyAlignment="1">
      <alignment vertical="center" shrinkToFit="1"/>
    </xf>
    <xf numFmtId="38" fontId="28" fillId="18" borderId="3" xfId="1" applyFont="1" applyFill="1" applyBorder="1" applyAlignment="1">
      <alignment vertical="center" shrinkToFit="1"/>
    </xf>
    <xf numFmtId="38" fontId="28" fillId="18" borderId="16" xfId="1" applyFont="1" applyFill="1" applyBorder="1" applyAlignment="1">
      <alignment vertical="center" shrinkToFit="1"/>
    </xf>
    <xf numFmtId="38" fontId="28" fillId="15" borderId="15" xfId="1" applyFont="1" applyFill="1" applyBorder="1" applyAlignment="1">
      <alignment vertical="center" shrinkToFit="1"/>
    </xf>
    <xf numFmtId="38" fontId="28" fillId="15" borderId="3" xfId="1" applyFont="1" applyFill="1" applyBorder="1" applyAlignment="1">
      <alignment vertical="center" shrinkToFit="1"/>
    </xf>
    <xf numFmtId="38" fontId="28" fillId="15" borderId="16" xfId="1" applyFont="1" applyFill="1" applyBorder="1" applyAlignment="1">
      <alignment vertical="center" shrinkToFit="1"/>
    </xf>
    <xf numFmtId="0" fontId="28" fillId="6" borderId="17" xfId="0" applyFont="1" applyFill="1" applyBorder="1" applyAlignment="1">
      <alignment vertical="center"/>
    </xf>
    <xf numFmtId="38" fontId="28" fillId="6" borderId="25" xfId="1" applyFont="1" applyFill="1" applyBorder="1" applyAlignment="1">
      <alignment vertical="center" shrinkToFit="1"/>
    </xf>
    <xf numFmtId="38" fontId="28" fillId="6" borderId="26" xfId="1" applyFont="1" applyFill="1" applyBorder="1" applyAlignment="1">
      <alignment vertical="center" shrinkToFit="1"/>
    </xf>
    <xf numFmtId="38" fontId="28" fillId="6" borderId="27" xfId="1" applyFont="1" applyFill="1" applyBorder="1" applyAlignment="1">
      <alignment vertical="center" shrinkToFit="1"/>
    </xf>
    <xf numFmtId="38" fontId="28" fillId="6" borderId="11" xfId="1" applyFont="1" applyFill="1" applyBorder="1" applyAlignment="1">
      <alignment vertical="center" shrinkToFit="1"/>
    </xf>
    <xf numFmtId="38" fontId="28" fillId="6" borderId="17" xfId="1" applyFont="1" applyFill="1" applyBorder="1" applyAlignment="1">
      <alignment vertical="center" shrinkToFit="1"/>
    </xf>
    <xf numFmtId="38" fontId="28" fillId="6" borderId="4" xfId="1" applyFont="1" applyFill="1" applyBorder="1" applyAlignment="1">
      <alignment vertical="center" shrinkToFit="1"/>
    </xf>
    <xf numFmtId="38" fontId="28" fillId="6" borderId="18" xfId="1" applyFont="1" applyFill="1" applyBorder="1" applyAlignment="1">
      <alignment vertical="center" shrinkToFit="1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Continuous" vertical="center"/>
    </xf>
    <xf numFmtId="0" fontId="28" fillId="0" borderId="2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39" fillId="12" borderId="0" xfId="2325" applyFont="1" applyBorder="1" applyAlignment="1">
      <alignment horizontal="centerContinuous" vertical="center" shrinkToFit="1"/>
    </xf>
    <xf numFmtId="0" fontId="39" fillId="12" borderId="0" xfId="2325" applyFont="1" applyBorder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7" borderId="7" xfId="0" applyFont="1" applyFill="1" applyBorder="1" applyAlignment="1">
      <alignment horizontal="left" vertical="center" wrapText="1" indent="2"/>
    </xf>
    <xf numFmtId="38" fontId="7" fillId="9" borderId="38" xfId="1" applyFont="1" applyFill="1" applyBorder="1" applyAlignment="1">
      <alignment vertical="center" shrinkToFit="1"/>
    </xf>
    <xf numFmtId="0" fontId="7" fillId="9" borderId="38" xfId="1" applyNumberFormat="1" applyFont="1" applyFill="1" applyBorder="1" applyAlignment="1">
      <alignment vertical="center" shrinkToFit="1"/>
    </xf>
    <xf numFmtId="38" fontId="7" fillId="0" borderId="0" xfId="1" applyFont="1" applyBorder="1" applyAlignment="1">
      <alignment horizontal="left" vertical="center" shrinkToFit="1"/>
    </xf>
    <xf numFmtId="38" fontId="7" fillId="5" borderId="38" xfId="1" applyFont="1" applyFill="1" applyBorder="1" applyAlignment="1">
      <alignment vertical="center" shrinkToFit="1"/>
    </xf>
    <xf numFmtId="38" fontId="7" fillId="14" borderId="38" xfId="1" applyFont="1" applyFill="1" applyBorder="1" applyAlignment="1">
      <alignment vertical="center" shrinkToFit="1"/>
    </xf>
    <xf numFmtId="0" fontId="7" fillId="5" borderId="38" xfId="514" applyNumberFormat="1" applyFont="1" applyFill="1" applyBorder="1" applyAlignment="1">
      <alignment vertical="center" shrinkToFit="1"/>
    </xf>
    <xf numFmtId="0" fontId="7" fillId="14" borderId="38" xfId="514" applyNumberFormat="1" applyFont="1" applyFill="1" applyBorder="1" applyAlignment="1">
      <alignment vertical="center" shrinkToFit="1"/>
    </xf>
    <xf numFmtId="0" fontId="4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11" fontId="5" fillId="0" borderId="0" xfId="0" applyNumberFormat="1" applyFont="1" applyFill="1" applyBorder="1" applyAlignment="1">
      <alignment horizontal="right" vertical="center" wrapText="1"/>
    </xf>
    <xf numFmtId="11" fontId="15" fillId="0" borderId="0" xfId="0" applyNumberFormat="1" applyFont="1" applyFill="1" applyBorder="1" applyAlignment="1">
      <alignment horizontal="right" vertical="center" wrapText="1"/>
    </xf>
    <xf numFmtId="0" fontId="5" fillId="19" borderId="2" xfId="0" applyFont="1" applyFill="1" applyBorder="1" applyAlignment="1">
      <alignment horizontal="right" vertical="center" wrapText="1"/>
    </xf>
    <xf numFmtId="11" fontId="5" fillId="19" borderId="3" xfId="0" applyNumberFormat="1" applyFont="1" applyFill="1" applyBorder="1" applyAlignment="1">
      <alignment horizontal="right" vertical="center" wrapText="1"/>
    </xf>
    <xf numFmtId="187" fontId="5" fillId="19" borderId="2" xfId="0" applyNumberFormat="1" applyFont="1" applyFill="1" applyBorder="1" applyAlignment="1">
      <alignment horizontal="right" vertical="center" wrapText="1"/>
    </xf>
    <xf numFmtId="0" fontId="5" fillId="19" borderId="3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38" fontId="42" fillId="0" borderId="0" xfId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88" fontId="42" fillId="0" borderId="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181" fontId="42" fillId="0" borderId="0" xfId="0" applyNumberFormat="1" applyFont="1" applyBorder="1" applyAlignment="1">
      <alignment vertical="center"/>
    </xf>
    <xf numFmtId="0" fontId="5" fillId="0" borderId="0" xfId="2674" applyFont="1" applyFill="1" applyBorder="1" applyAlignment="1">
      <alignment horizontal="right"/>
    </xf>
    <xf numFmtId="2" fontId="5" fillId="0" borderId="0" xfId="2674" applyNumberFormat="1" applyFont="1" applyFill="1" applyBorder="1" applyAlignment="1">
      <alignment horizontal="right"/>
    </xf>
    <xf numFmtId="0" fontId="5" fillId="0" borderId="0" xfId="2674" applyFont="1" applyFill="1" applyBorder="1" applyAlignment="1">
      <alignment horizontal="left"/>
    </xf>
    <xf numFmtId="3" fontId="5" fillId="0" borderId="0" xfId="2674" applyNumberFormat="1" applyFont="1" applyFill="1" applyBorder="1" applyAlignment="1">
      <alignment horizontal="right" vertical="center"/>
    </xf>
    <xf numFmtId="0" fontId="5" fillId="0" borderId="0" xfId="2674" applyFont="1" applyFill="1" applyBorder="1" applyAlignment="1">
      <alignment horizontal="left" vertical="center"/>
    </xf>
    <xf numFmtId="0" fontId="5" fillId="0" borderId="0" xfId="2674" applyFont="1" applyFill="1" applyBorder="1" applyAlignment="1">
      <alignment horizontal="left" vertical="center" wrapText="1"/>
    </xf>
    <xf numFmtId="0" fontId="28" fillId="0" borderId="0" xfId="2674" applyFont="1" applyFill="1" applyBorder="1" applyAlignment="1">
      <alignment horizontal="left" vertical="center"/>
    </xf>
    <xf numFmtId="0" fontId="28" fillId="0" borderId="0" xfId="2674" applyFont="1" applyFill="1" applyBorder="1" applyAlignment="1">
      <alignment horizontal="right"/>
    </xf>
    <xf numFmtId="0" fontId="5" fillId="19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91" fontId="5" fillId="0" borderId="0" xfId="0" applyNumberFormat="1" applyFont="1" applyBorder="1" applyAlignment="1">
      <alignment vertical="center" shrinkToFit="1"/>
    </xf>
    <xf numFmtId="180" fontId="5" fillId="0" borderId="0" xfId="1" applyNumberFormat="1" applyFont="1" applyBorder="1" applyAlignment="1">
      <alignment vertical="center"/>
    </xf>
    <xf numFmtId="40" fontId="5" fillId="0" borderId="0" xfId="1" applyNumberFormat="1" applyFont="1" applyBorder="1" applyAlignment="1">
      <alignment vertical="center"/>
    </xf>
    <xf numFmtId="0" fontId="28" fillId="9" borderId="0" xfId="513" applyFont="1" applyFill="1" applyBorder="1" applyAlignment="1">
      <alignment horizontal="center" vertical="center" wrapText="1"/>
    </xf>
    <xf numFmtId="0" fontId="28" fillId="14" borderId="0" xfId="513" applyFont="1" applyFill="1" applyBorder="1" applyAlignment="1">
      <alignment horizontal="center" vertical="center" wrapText="1"/>
    </xf>
    <xf numFmtId="0" fontId="28" fillId="15" borderId="0" xfId="513" applyFont="1" applyFill="1" applyBorder="1" applyAlignment="1">
      <alignment horizontal="center" vertical="center" wrapText="1"/>
    </xf>
    <xf numFmtId="0" fontId="28" fillId="9" borderId="12" xfId="1" applyNumberFormat="1" applyFont="1" applyFill="1" applyBorder="1" applyAlignment="1">
      <alignment horizontal="right" vertical="center" wrapText="1"/>
    </xf>
    <xf numFmtId="0" fontId="28" fillId="14" borderId="12" xfId="513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shrinkToFit="1"/>
    </xf>
    <xf numFmtId="179" fontId="5" fillId="0" borderId="0" xfId="0" applyNumberFormat="1" applyFont="1" applyFill="1" applyAlignment="1">
      <alignment vertical="center" shrinkToFit="1"/>
    </xf>
    <xf numFmtId="9" fontId="7" fillId="7" borderId="6" xfId="184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0" fontId="5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8" borderId="0" xfId="2968" applyFont="1" applyFill="1" applyBorder="1" applyAlignment="1">
      <alignment vertical="center"/>
    </xf>
    <xf numFmtId="0" fontId="5" fillId="0" borderId="0" xfId="2968" applyFont="1" applyBorder="1" applyAlignment="1">
      <alignment vertical="center"/>
    </xf>
    <xf numFmtId="0" fontId="22" fillId="0" borderId="0" xfId="2968" applyFont="1" applyFill="1" applyBorder="1" applyAlignment="1">
      <alignment vertical="center"/>
    </xf>
    <xf numFmtId="0" fontId="21" fillId="0" borderId="0" xfId="2968" applyFont="1" applyFill="1" applyBorder="1" applyAlignment="1">
      <alignment vertical="center" shrinkToFit="1"/>
    </xf>
    <xf numFmtId="0" fontId="21" fillId="0" borderId="0" xfId="2968" applyFont="1" applyFill="1" applyBorder="1" applyAlignment="1">
      <alignment vertical="center"/>
    </xf>
    <xf numFmtId="0" fontId="5" fillId="0" borderId="0" xfId="2968" applyFont="1" applyFill="1" applyBorder="1" applyAlignment="1">
      <alignment vertical="center"/>
    </xf>
    <xf numFmtId="0" fontId="28" fillId="0" borderId="0" xfId="2968" applyFont="1" applyAlignment="1">
      <alignment vertical="center"/>
    </xf>
    <xf numFmtId="0" fontId="28" fillId="0" borderId="12" xfId="2968" applyFont="1" applyBorder="1" applyAlignment="1">
      <alignment vertical="center"/>
    </xf>
    <xf numFmtId="0" fontId="28" fillId="0" borderId="12" xfId="2968" applyFont="1" applyBorder="1" applyAlignment="1">
      <alignment vertical="center" wrapText="1"/>
    </xf>
    <xf numFmtId="192" fontId="28" fillId="0" borderId="12" xfId="2968" applyNumberFormat="1" applyFont="1" applyBorder="1" applyAlignment="1">
      <alignment vertical="center"/>
    </xf>
    <xf numFmtId="192" fontId="28" fillId="0" borderId="0" xfId="2968" applyNumberFormat="1" applyFont="1" applyAlignment="1">
      <alignment vertical="center"/>
    </xf>
    <xf numFmtId="0" fontId="5" fillId="0" borderId="0" xfId="2968" applyFont="1" applyBorder="1" applyAlignment="1">
      <alignment vertical="center" shrinkToFit="1"/>
    </xf>
    <xf numFmtId="0" fontId="5" fillId="0" borderId="0" xfId="2968" applyFont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shrinkToFit="1"/>
    </xf>
    <xf numFmtId="0" fontId="5" fillId="7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shrinkToFit="1"/>
    </xf>
    <xf numFmtId="0" fontId="32" fillId="7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right" vertical="center" wrapText="1"/>
    </xf>
    <xf numFmtId="38" fontId="7" fillId="20" borderId="38" xfId="1" applyFont="1" applyFill="1" applyBorder="1" applyAlignment="1">
      <alignment vertical="center" shrinkToFit="1"/>
    </xf>
    <xf numFmtId="40" fontId="7" fillId="20" borderId="38" xfId="2951" applyFont="1" applyFill="1" applyBorder="1" applyAlignment="1">
      <alignment vertical="center" shrinkToFit="1"/>
    </xf>
    <xf numFmtId="0" fontId="7" fillId="20" borderId="38" xfId="1" applyNumberFormat="1" applyFont="1" applyFill="1" applyBorder="1" applyAlignment="1">
      <alignment vertical="center" shrinkToFit="1"/>
    </xf>
    <xf numFmtId="190" fontId="7" fillId="20" borderId="38" xfId="2951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shrinkToFit="1"/>
    </xf>
    <xf numFmtId="0" fontId="7" fillId="0" borderId="23" xfId="0" applyFont="1" applyBorder="1" applyAlignment="1">
      <alignment vertical="center" shrinkToFit="1"/>
    </xf>
    <xf numFmtId="191" fontId="7" fillId="0" borderId="23" xfId="0" applyNumberFormat="1" applyFont="1" applyBorder="1" applyAlignment="1">
      <alignment vertical="center" shrinkToFit="1"/>
    </xf>
    <xf numFmtId="179" fontId="5" fillId="0" borderId="0" xfId="0" applyNumberFormat="1" applyFont="1" applyFill="1" applyBorder="1" applyAlignment="1">
      <alignment shrinkToFit="1"/>
    </xf>
    <xf numFmtId="0" fontId="35" fillId="0" borderId="0" xfId="0" applyFont="1" applyFill="1" applyBorder="1" applyAlignment="1">
      <alignment shrinkToFit="1"/>
    </xf>
    <xf numFmtId="191" fontId="5" fillId="0" borderId="0" xfId="0" applyNumberFormat="1" applyFont="1" applyFill="1" applyBorder="1" applyAlignment="1">
      <alignment vertical="center" shrinkToFit="1"/>
    </xf>
    <xf numFmtId="191" fontId="5" fillId="21" borderId="0" xfId="0" applyNumberFormat="1" applyFont="1" applyFill="1" applyBorder="1" applyAlignment="1">
      <alignment vertical="center" shrinkToFit="1"/>
    </xf>
    <xf numFmtId="193" fontId="5" fillId="0" borderId="0" xfId="1" applyNumberFormat="1" applyFont="1" applyFill="1" applyBorder="1" applyAlignment="1">
      <alignment vertical="center" shrinkToFit="1"/>
    </xf>
    <xf numFmtId="180" fontId="28" fillId="13" borderId="30" xfId="1" applyNumberFormat="1" applyFont="1" applyFill="1" applyBorder="1" applyAlignment="1">
      <alignment vertical="center" shrinkToFit="1"/>
    </xf>
    <xf numFmtId="180" fontId="28" fillId="13" borderId="31" xfId="1" applyNumberFormat="1" applyFont="1" applyFill="1" applyBorder="1" applyAlignment="1">
      <alignment vertical="center" shrinkToFit="1"/>
    </xf>
    <xf numFmtId="180" fontId="28" fillId="13" borderId="32" xfId="1" applyNumberFormat="1" applyFont="1" applyFill="1" applyBorder="1" applyAlignment="1">
      <alignment vertical="center" shrinkToFit="1"/>
    </xf>
    <xf numFmtId="180" fontId="28" fillId="13" borderId="33" xfId="1" applyNumberFormat="1" applyFont="1" applyFill="1" applyBorder="1" applyAlignment="1">
      <alignment vertical="center" shrinkToFit="1"/>
    </xf>
    <xf numFmtId="180" fontId="28" fillId="18" borderId="22" xfId="1" applyNumberFormat="1" applyFont="1" applyFill="1" applyBorder="1" applyAlignment="1">
      <alignment vertical="center" shrinkToFit="1"/>
    </xf>
    <xf numFmtId="180" fontId="28" fillId="18" borderId="23" xfId="1" applyNumberFormat="1" applyFont="1" applyFill="1" applyBorder="1" applyAlignment="1">
      <alignment vertical="center" shrinkToFit="1"/>
    </xf>
    <xf numFmtId="180" fontId="28" fillId="18" borderId="24" xfId="1" applyNumberFormat="1" applyFont="1" applyFill="1" applyBorder="1" applyAlignment="1">
      <alignment vertical="center" shrinkToFit="1"/>
    </xf>
    <xf numFmtId="180" fontId="28" fillId="18" borderId="10" xfId="1" applyNumberFormat="1" applyFont="1" applyFill="1" applyBorder="1" applyAlignment="1">
      <alignment vertical="center" shrinkToFit="1"/>
    </xf>
    <xf numFmtId="180" fontId="28" fillId="15" borderId="22" xfId="1" applyNumberFormat="1" applyFont="1" applyFill="1" applyBorder="1" applyAlignment="1">
      <alignment vertical="center" shrinkToFit="1"/>
    </xf>
    <xf numFmtId="180" fontId="28" fillId="15" borderId="23" xfId="1" applyNumberFormat="1" applyFont="1" applyFill="1" applyBorder="1" applyAlignment="1">
      <alignment vertical="center" shrinkToFit="1"/>
    </xf>
    <xf numFmtId="180" fontId="28" fillId="15" borderId="24" xfId="1" applyNumberFormat="1" applyFont="1" applyFill="1" applyBorder="1" applyAlignment="1">
      <alignment vertical="center" shrinkToFit="1"/>
    </xf>
    <xf numFmtId="180" fontId="28" fillId="15" borderId="10" xfId="1" applyNumberFormat="1" applyFont="1" applyFill="1" applyBorder="1" applyAlignment="1">
      <alignment vertical="center" shrinkToFit="1"/>
    </xf>
    <xf numFmtId="180" fontId="28" fillId="6" borderId="25" xfId="1" applyNumberFormat="1" applyFont="1" applyFill="1" applyBorder="1" applyAlignment="1">
      <alignment vertical="center" shrinkToFit="1"/>
    </xf>
    <xf numFmtId="180" fontId="28" fillId="6" borderId="26" xfId="1" applyNumberFormat="1" applyFont="1" applyFill="1" applyBorder="1" applyAlignment="1">
      <alignment vertical="center" shrinkToFit="1"/>
    </xf>
    <xf numFmtId="180" fontId="28" fillId="6" borderId="27" xfId="1" applyNumberFormat="1" applyFont="1" applyFill="1" applyBorder="1" applyAlignment="1">
      <alignment vertical="center" shrinkToFit="1"/>
    </xf>
    <xf numFmtId="180" fontId="28" fillId="6" borderId="11" xfId="1" applyNumberFormat="1" applyFont="1" applyFill="1" applyBorder="1" applyAlignment="1">
      <alignment vertical="center" shrinkToFit="1"/>
    </xf>
    <xf numFmtId="0" fontId="28" fillId="0" borderId="18" xfId="0" applyFont="1" applyFill="1" applyBorder="1" applyAlignment="1">
      <alignment horizontal="center" vertical="center" shrinkToFit="1"/>
    </xf>
    <xf numFmtId="180" fontId="28" fillId="13" borderId="29" xfId="1" applyNumberFormat="1" applyFont="1" applyFill="1" applyBorder="1" applyAlignment="1">
      <alignment vertical="center" shrinkToFit="1"/>
    </xf>
    <xf numFmtId="180" fontId="28" fillId="13" borderId="34" xfId="1" applyNumberFormat="1" applyFont="1" applyFill="1" applyBorder="1" applyAlignment="1">
      <alignment vertical="center" shrinkToFit="1"/>
    </xf>
    <xf numFmtId="180" fontId="28" fillId="13" borderId="35" xfId="1" applyNumberFormat="1" applyFont="1" applyFill="1" applyBorder="1" applyAlignment="1">
      <alignment vertical="center" shrinkToFit="1"/>
    </xf>
    <xf numFmtId="180" fontId="28" fillId="18" borderId="15" xfId="1" applyNumberFormat="1" applyFont="1" applyFill="1" applyBorder="1" applyAlignment="1">
      <alignment vertical="center" shrinkToFit="1"/>
    </xf>
    <xf numFmtId="180" fontId="28" fillId="18" borderId="3" xfId="1" applyNumberFormat="1" applyFont="1" applyFill="1" applyBorder="1" applyAlignment="1">
      <alignment vertical="center" shrinkToFit="1"/>
    </xf>
    <xf numFmtId="180" fontId="28" fillId="18" borderId="16" xfId="1" applyNumberFormat="1" applyFont="1" applyFill="1" applyBorder="1" applyAlignment="1">
      <alignment vertical="center" shrinkToFit="1"/>
    </xf>
    <xf numFmtId="180" fontId="28" fillId="15" borderId="15" xfId="1" applyNumberFormat="1" applyFont="1" applyFill="1" applyBorder="1" applyAlignment="1">
      <alignment vertical="center" shrinkToFit="1"/>
    </xf>
    <xf numFmtId="180" fontId="28" fillId="15" borderId="3" xfId="1" applyNumberFormat="1" applyFont="1" applyFill="1" applyBorder="1" applyAlignment="1">
      <alignment vertical="center" shrinkToFit="1"/>
    </xf>
    <xf numFmtId="180" fontId="28" fillId="15" borderId="16" xfId="1" applyNumberFormat="1" applyFont="1" applyFill="1" applyBorder="1" applyAlignment="1">
      <alignment vertical="center" shrinkToFit="1"/>
    </xf>
    <xf numFmtId="180" fontId="28" fillId="6" borderId="17" xfId="1" applyNumberFormat="1" applyFont="1" applyFill="1" applyBorder="1" applyAlignment="1">
      <alignment vertical="center" shrinkToFit="1"/>
    </xf>
    <xf numFmtId="180" fontId="28" fillId="6" borderId="4" xfId="1" applyNumberFormat="1" applyFont="1" applyFill="1" applyBorder="1" applyAlignment="1">
      <alignment vertical="center" shrinkToFit="1"/>
    </xf>
    <xf numFmtId="180" fontId="28" fillId="6" borderId="18" xfId="1" applyNumberFormat="1" applyFont="1" applyFill="1" applyBorder="1" applyAlignment="1">
      <alignment vertical="center" shrinkToFit="1"/>
    </xf>
    <xf numFmtId="11" fontId="15" fillId="7" borderId="3" xfId="0" applyNumberFormat="1" applyFont="1" applyFill="1" applyBorder="1" applyAlignment="1">
      <alignment horizontal="right" vertical="center" wrapText="1"/>
    </xf>
    <xf numFmtId="0" fontId="41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2" fontId="5" fillId="7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180" fontId="5" fillId="0" borderId="0" xfId="1" applyNumberFormat="1" applyFont="1" applyFill="1" applyBorder="1" applyAlignment="1">
      <alignment vertical="center"/>
    </xf>
  </cellXfs>
  <cellStyles count="2969">
    <cellStyle name="40% - アクセント 4" xfId="514" builtinId="43"/>
    <cellStyle name="Comma [0] 2" xfId="1810"/>
    <cellStyle name="Comma 10" xfId="1831"/>
    <cellStyle name="Comma 11" xfId="1830"/>
    <cellStyle name="Comma 12" xfId="1833"/>
    <cellStyle name="Comma 13" xfId="1823"/>
    <cellStyle name="Comma 14" xfId="1829"/>
    <cellStyle name="Comma 15" xfId="1813"/>
    <cellStyle name="Comma 16" xfId="1832"/>
    <cellStyle name="Comma 17" xfId="1826"/>
    <cellStyle name="Comma 18" xfId="1827"/>
    <cellStyle name="Comma 19" xfId="1834"/>
    <cellStyle name="Comma 2" xfId="65"/>
    <cellStyle name="Comma 2 2" xfId="1808"/>
    <cellStyle name="Comma 2 2 2" xfId="1814"/>
    <cellStyle name="Comma 2 3" xfId="1806"/>
    <cellStyle name="Comma 20" xfId="1828"/>
    <cellStyle name="Comma 21" xfId="1835"/>
    <cellStyle name="Comma 22" xfId="1838"/>
    <cellStyle name="Comma 23" xfId="1837"/>
    <cellStyle name="Comma 24" xfId="1836"/>
    <cellStyle name="Comma 25" xfId="1839"/>
    <cellStyle name="Comma 3" xfId="66"/>
    <cellStyle name="Comma 3 2" xfId="1815"/>
    <cellStyle name="Comma 4" xfId="1819"/>
    <cellStyle name="Comma 5" xfId="1816"/>
    <cellStyle name="Comma 6" xfId="1811"/>
    <cellStyle name="Comma 7" xfId="1825"/>
    <cellStyle name="Comma 8" xfId="1804"/>
    <cellStyle name="Comma 9" xfId="1807"/>
    <cellStyle name="Currency 2" xfId="1812"/>
    <cellStyle name="Euro" xfId="1817"/>
    <cellStyle name="Euro 2" xfId="1818"/>
    <cellStyle name="Hyperlink 2" xfId="67"/>
    <cellStyle name="Normal 2" xfId="68"/>
    <cellStyle name="Normal 2 2" xfId="1805"/>
    <cellStyle name="Normal 2 2 2" xfId="1809"/>
    <cellStyle name="Normal 2 2 2 2" xfId="1821"/>
    <cellStyle name="Normal 3" xfId="69"/>
    <cellStyle name="Normal 4" xfId="70"/>
    <cellStyle name="Normal 4 2" xfId="1822"/>
    <cellStyle name="Normal 5" xfId="1820"/>
    <cellStyle name="Normal 6" xfId="1803"/>
    <cellStyle name="Percent 2" xfId="71"/>
    <cellStyle name="Percent 2 2" xfId="1824"/>
    <cellStyle name="Percent 3" xfId="72"/>
    <cellStyle name="Percent 4" xfId="73"/>
    <cellStyle name="Título_10-06-18 AnH BioGrace GHG calculations - version 2.0.a" xfId="74"/>
    <cellStyle name="アクセント 4" xfId="513" builtinId="41"/>
    <cellStyle name="パーセント" xfId="1840" builtinId="5"/>
    <cellStyle name="パーセント 2" xfId="2676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ハイパーリンク" xfId="1893" builtinId="8" hidden="1"/>
    <cellStyle name="ハイパーリンク" xfId="1895" builtinId="8" hidden="1"/>
    <cellStyle name="ハイパーリンク" xfId="1897" builtinId="8" hidden="1"/>
    <cellStyle name="ハイパーリンク" xfId="1899" builtinId="8" hidden="1"/>
    <cellStyle name="ハイパーリンク" xfId="1901" builtinId="8" hidden="1"/>
    <cellStyle name="ハイパーリンク" xfId="1903" builtinId="8" hidden="1"/>
    <cellStyle name="ハイパーリンク" xfId="1905" builtinId="8" hidden="1"/>
    <cellStyle name="ハイパーリンク" xfId="1907" builtinId="8" hidden="1"/>
    <cellStyle name="ハイパーリンク" xfId="1909" builtinId="8" hidden="1"/>
    <cellStyle name="ハイパーリンク" xfId="1911" builtinId="8" hidden="1"/>
    <cellStyle name="ハイパーリンク" xfId="1913" builtinId="8" hidden="1"/>
    <cellStyle name="ハイパーリンク" xfId="1915" builtinId="8" hidden="1"/>
    <cellStyle name="ハイパーリンク" xfId="1917" builtinId="8" hidden="1"/>
    <cellStyle name="ハイパーリンク" xfId="1919" builtinId="8" hidden="1"/>
    <cellStyle name="ハイパーリンク" xfId="1921" builtinId="8" hidden="1"/>
    <cellStyle name="ハイパーリンク" xfId="1923" builtinId="8" hidden="1"/>
    <cellStyle name="ハイパーリンク" xfId="1925" builtinId="8" hidden="1"/>
    <cellStyle name="ハイパーリンク" xfId="1927" builtinId="8" hidden="1"/>
    <cellStyle name="ハイパーリンク" xfId="1929" builtinId="8" hidden="1"/>
    <cellStyle name="ハイパーリンク" xfId="1931" builtinId="8" hidden="1"/>
    <cellStyle name="ハイパーリンク" xfId="1933" builtinId="8" hidden="1"/>
    <cellStyle name="ハイパーリンク" xfId="1935" builtinId="8" hidden="1"/>
    <cellStyle name="ハイパーリンク" xfId="1937" builtinId="8" hidden="1"/>
    <cellStyle name="ハイパーリンク" xfId="1939" builtinId="8" hidden="1"/>
    <cellStyle name="ハイパーリンク" xfId="1941" builtinId="8" hidden="1"/>
    <cellStyle name="ハイパーリンク" xfId="1943" builtinId="8" hidden="1"/>
    <cellStyle name="ハイパーリンク" xfId="1945" builtinId="8" hidden="1"/>
    <cellStyle name="ハイパーリンク" xfId="1947" builtinId="8" hidden="1"/>
    <cellStyle name="ハイパーリンク" xfId="1949" builtinId="8" hidden="1"/>
    <cellStyle name="ハイパーリンク" xfId="1951" builtinId="8" hidden="1"/>
    <cellStyle name="ハイパーリンク" xfId="1953" builtinId="8" hidden="1"/>
    <cellStyle name="ハイパーリンク" xfId="1955" builtinId="8" hidden="1"/>
    <cellStyle name="ハイパーリンク" xfId="1957" builtinId="8" hidden="1"/>
    <cellStyle name="ハイパーリンク" xfId="1959" builtinId="8" hidden="1"/>
    <cellStyle name="ハイパーリンク" xfId="1961" builtinId="8" hidden="1"/>
    <cellStyle name="ハイパーリンク" xfId="1963" builtinId="8" hidden="1"/>
    <cellStyle name="ハイパーリンク" xfId="1965" builtinId="8" hidden="1"/>
    <cellStyle name="ハイパーリンク" xfId="1967" builtinId="8" hidden="1"/>
    <cellStyle name="ハイパーリンク" xfId="1969" builtinId="8" hidden="1"/>
    <cellStyle name="ハイパーリンク" xfId="1971" builtinId="8" hidden="1"/>
    <cellStyle name="ハイパーリンク" xfId="1973" builtinId="8" hidden="1"/>
    <cellStyle name="ハイパーリンク" xfId="1975" builtinId="8" hidden="1"/>
    <cellStyle name="ハイパーリンク" xfId="1977" builtinId="8" hidden="1"/>
    <cellStyle name="ハイパーリンク" xfId="1979" builtinId="8" hidden="1"/>
    <cellStyle name="ハイパーリンク" xfId="1981" builtinId="8" hidden="1"/>
    <cellStyle name="ハイパーリンク" xfId="1983" builtinId="8" hidden="1"/>
    <cellStyle name="ハイパーリンク" xfId="1985" builtinId="8" hidden="1"/>
    <cellStyle name="ハイパーリンク" xfId="1987" builtinId="8" hidden="1"/>
    <cellStyle name="ハイパーリンク" xfId="1989" builtinId="8" hidden="1"/>
    <cellStyle name="ハイパーリンク" xfId="1991" builtinId="8" hidden="1"/>
    <cellStyle name="ハイパーリンク" xfId="1993" builtinId="8" hidden="1"/>
    <cellStyle name="ハイパーリンク" xfId="1995" builtinId="8" hidden="1"/>
    <cellStyle name="ハイパーリンク" xfId="1997" builtinId="8" hidden="1"/>
    <cellStyle name="ハイパーリンク" xfId="1999" builtinId="8" hidden="1"/>
    <cellStyle name="ハイパーリンク" xfId="2001" builtinId="8" hidden="1"/>
    <cellStyle name="ハイパーリンク" xfId="2003" builtinId="8" hidden="1"/>
    <cellStyle name="ハイパーリンク" xfId="2005" builtinId="8" hidden="1"/>
    <cellStyle name="ハイパーリンク" xfId="2007" builtinId="8" hidden="1"/>
    <cellStyle name="ハイパーリンク" xfId="2009" builtinId="8" hidden="1"/>
    <cellStyle name="ハイパーリンク" xfId="2011" builtinId="8" hidden="1"/>
    <cellStyle name="ハイパーリンク" xfId="2013" builtinId="8" hidden="1"/>
    <cellStyle name="ハイパーリンク" xfId="2015" builtinId="8" hidden="1"/>
    <cellStyle name="ハイパーリンク" xfId="2017" builtinId="8" hidden="1"/>
    <cellStyle name="ハイパーリンク" xfId="2019" builtinId="8" hidden="1"/>
    <cellStyle name="ハイパーリンク" xfId="2021" builtinId="8" hidden="1"/>
    <cellStyle name="ハイパーリンク" xfId="2023" builtinId="8" hidden="1"/>
    <cellStyle name="ハイパーリンク" xfId="2025" builtinId="8" hidden="1"/>
    <cellStyle name="ハイパーリンク" xfId="2027" builtinId="8" hidden="1"/>
    <cellStyle name="ハイパーリンク" xfId="2029" builtinId="8" hidden="1"/>
    <cellStyle name="ハイパーリンク" xfId="2031" builtinId="8" hidden="1"/>
    <cellStyle name="ハイパーリンク" xfId="2033" builtinId="8" hidden="1"/>
    <cellStyle name="ハイパーリンク" xfId="2035" builtinId="8" hidden="1"/>
    <cellStyle name="ハイパーリンク" xfId="2037" builtinId="8" hidden="1"/>
    <cellStyle name="ハイパーリンク" xfId="2039" builtinId="8" hidden="1"/>
    <cellStyle name="ハイパーリンク" xfId="2041" builtinId="8" hidden="1"/>
    <cellStyle name="ハイパーリンク" xfId="2043" builtinId="8" hidden="1"/>
    <cellStyle name="ハイパーリンク" xfId="2045" builtinId="8" hidden="1"/>
    <cellStyle name="ハイパーリンク" xfId="2047" builtinId="8" hidden="1"/>
    <cellStyle name="ハイパーリンク" xfId="2049" builtinId="8" hidden="1"/>
    <cellStyle name="ハイパーリンク" xfId="2051" builtinId="8" hidden="1"/>
    <cellStyle name="ハイパーリンク" xfId="2053" builtinId="8" hidden="1"/>
    <cellStyle name="ハイパーリンク" xfId="2055" builtinId="8" hidden="1"/>
    <cellStyle name="ハイパーリンク" xfId="2057" builtinId="8" hidden="1"/>
    <cellStyle name="ハイパーリンク" xfId="2059" builtinId="8" hidden="1"/>
    <cellStyle name="ハイパーリンク" xfId="2061" builtinId="8" hidden="1"/>
    <cellStyle name="ハイパーリンク" xfId="2063" builtinId="8" hidden="1"/>
    <cellStyle name="ハイパーリンク" xfId="2065" builtinId="8" hidden="1"/>
    <cellStyle name="ハイパーリンク" xfId="2067" builtinId="8" hidden="1"/>
    <cellStyle name="ハイパーリンク" xfId="2069" builtinId="8" hidden="1"/>
    <cellStyle name="ハイパーリンク" xfId="2071" builtinId="8" hidden="1"/>
    <cellStyle name="ハイパーリンク" xfId="2073" builtinId="8" hidden="1"/>
    <cellStyle name="ハイパーリンク" xfId="2075" builtinId="8" hidden="1"/>
    <cellStyle name="ハイパーリンク" xfId="2077" builtinId="8" hidden="1"/>
    <cellStyle name="ハイパーリンク" xfId="2079" builtinId="8" hidden="1"/>
    <cellStyle name="ハイパーリンク" xfId="2081" builtinId="8" hidden="1"/>
    <cellStyle name="ハイパーリンク" xfId="2083" builtinId="8" hidden="1"/>
    <cellStyle name="ハイパーリンク" xfId="2085" builtinId="8" hidden="1"/>
    <cellStyle name="ハイパーリンク" xfId="2087" builtinId="8" hidden="1"/>
    <cellStyle name="ハイパーリンク" xfId="2089" builtinId="8" hidden="1"/>
    <cellStyle name="ハイパーリンク" xfId="2091" builtinId="8" hidden="1"/>
    <cellStyle name="ハイパーリンク" xfId="2093" builtinId="8" hidden="1"/>
    <cellStyle name="ハイパーリンク" xfId="2095" builtinId="8" hidden="1"/>
    <cellStyle name="ハイパーリンク" xfId="2097" builtinId="8" hidden="1"/>
    <cellStyle name="ハイパーリンク" xfId="2099" builtinId="8" hidden="1"/>
    <cellStyle name="ハイパーリンク" xfId="2101" builtinId="8" hidden="1"/>
    <cellStyle name="ハイパーリンク" xfId="2103" builtinId="8" hidden="1"/>
    <cellStyle name="ハイパーリンク" xfId="2105" builtinId="8" hidden="1"/>
    <cellStyle name="ハイパーリンク" xfId="2107" builtinId="8" hidden="1"/>
    <cellStyle name="ハイパーリンク" xfId="2109" builtinId="8" hidden="1"/>
    <cellStyle name="ハイパーリンク" xfId="2111" builtinId="8" hidden="1"/>
    <cellStyle name="ハイパーリンク" xfId="2113" builtinId="8" hidden="1"/>
    <cellStyle name="ハイパーリンク" xfId="2115" builtinId="8" hidden="1"/>
    <cellStyle name="ハイパーリンク" xfId="2117" builtinId="8" hidden="1"/>
    <cellStyle name="ハイパーリンク" xfId="2119" builtinId="8" hidden="1"/>
    <cellStyle name="ハイパーリンク" xfId="2121" builtinId="8" hidden="1"/>
    <cellStyle name="ハイパーリンク" xfId="2123" builtinId="8" hidden="1"/>
    <cellStyle name="ハイパーリンク" xfId="2125" builtinId="8" hidden="1"/>
    <cellStyle name="ハイパーリンク" xfId="2127" builtinId="8" hidden="1"/>
    <cellStyle name="ハイパーリンク" xfId="2129" builtinId="8" hidden="1"/>
    <cellStyle name="ハイパーリンク" xfId="2131" builtinId="8" hidden="1"/>
    <cellStyle name="ハイパーリンク" xfId="2133" builtinId="8" hidden="1"/>
    <cellStyle name="ハイパーリンク" xfId="2135" builtinId="8" hidden="1"/>
    <cellStyle name="ハイパーリンク" xfId="2137" builtinId="8" hidden="1"/>
    <cellStyle name="ハイパーリンク" xfId="2139" builtinId="8" hidden="1"/>
    <cellStyle name="ハイパーリンク" xfId="2141" builtinId="8" hidden="1"/>
    <cellStyle name="ハイパーリンク" xfId="2143" builtinId="8" hidden="1"/>
    <cellStyle name="ハイパーリンク" xfId="2145" builtinId="8" hidden="1"/>
    <cellStyle name="ハイパーリンク" xfId="2147" builtinId="8" hidden="1"/>
    <cellStyle name="ハイパーリンク" xfId="2149" builtinId="8" hidden="1"/>
    <cellStyle name="ハイパーリンク" xfId="2151" builtinId="8" hidden="1"/>
    <cellStyle name="ハイパーリンク" xfId="2153" builtinId="8" hidden="1"/>
    <cellStyle name="ハイパーリンク" xfId="2155" builtinId="8" hidden="1"/>
    <cellStyle name="ハイパーリンク" xfId="2157" builtinId="8" hidden="1"/>
    <cellStyle name="ハイパーリンク" xfId="2159" builtinId="8" hidden="1"/>
    <cellStyle name="ハイパーリンク" xfId="2161" builtinId="8" hidden="1"/>
    <cellStyle name="ハイパーリンク" xfId="2163" builtinId="8" hidden="1"/>
    <cellStyle name="ハイパーリンク" xfId="2165" builtinId="8" hidden="1"/>
    <cellStyle name="ハイパーリンク" xfId="2167" builtinId="8" hidden="1"/>
    <cellStyle name="ハイパーリンク" xfId="2169" builtinId="8" hidden="1"/>
    <cellStyle name="ハイパーリンク" xfId="2171" builtinId="8" hidden="1"/>
    <cellStyle name="ハイパーリンク" xfId="2173" builtinId="8" hidden="1"/>
    <cellStyle name="ハイパーリンク" xfId="2175" builtinId="8" hidden="1"/>
    <cellStyle name="ハイパーリンク" xfId="2177" builtinId="8" hidden="1"/>
    <cellStyle name="ハイパーリンク" xfId="2179" builtinId="8" hidden="1"/>
    <cellStyle name="ハイパーリンク" xfId="2181" builtinId="8" hidden="1"/>
    <cellStyle name="ハイパーリンク" xfId="2183" builtinId="8" hidden="1"/>
    <cellStyle name="ハイパーリンク" xfId="2185" builtinId="8" hidden="1"/>
    <cellStyle name="ハイパーリンク" xfId="2187" builtinId="8" hidden="1"/>
    <cellStyle name="ハイパーリンク" xfId="2189" builtinId="8" hidden="1"/>
    <cellStyle name="ハイパーリンク" xfId="2191" builtinId="8" hidden="1"/>
    <cellStyle name="ハイパーリンク" xfId="2193" builtinId="8" hidden="1"/>
    <cellStyle name="ハイパーリンク" xfId="2195" builtinId="8" hidden="1"/>
    <cellStyle name="ハイパーリンク" xfId="2197" builtinId="8" hidden="1"/>
    <cellStyle name="ハイパーリンク" xfId="2199" builtinId="8" hidden="1"/>
    <cellStyle name="ハイパーリンク" xfId="2201" builtinId="8" hidden="1"/>
    <cellStyle name="ハイパーリンク" xfId="2203" builtinId="8" hidden="1"/>
    <cellStyle name="ハイパーリンク" xfId="2205" builtinId="8" hidden="1"/>
    <cellStyle name="ハイパーリンク" xfId="2207" builtinId="8" hidden="1"/>
    <cellStyle name="ハイパーリンク" xfId="2209" builtinId="8" hidden="1"/>
    <cellStyle name="ハイパーリンク" xfId="2211" builtinId="8" hidden="1"/>
    <cellStyle name="ハイパーリンク" xfId="2213" builtinId="8" hidden="1"/>
    <cellStyle name="ハイパーリンク" xfId="2215" builtinId="8" hidden="1"/>
    <cellStyle name="ハイパーリンク" xfId="2217" builtinId="8" hidden="1"/>
    <cellStyle name="ハイパーリンク" xfId="2219" builtinId="8" hidden="1"/>
    <cellStyle name="ハイパーリンク" xfId="2221" builtinId="8" hidden="1"/>
    <cellStyle name="ハイパーリンク" xfId="2223" builtinId="8" hidden="1"/>
    <cellStyle name="ハイパーリンク" xfId="2225" builtinId="8" hidden="1"/>
    <cellStyle name="ハイパーリンク" xfId="2227" builtinId="8" hidden="1"/>
    <cellStyle name="ハイパーリンク" xfId="2229" builtinId="8" hidden="1"/>
    <cellStyle name="ハイパーリンク" xfId="2231" builtinId="8" hidden="1"/>
    <cellStyle name="ハイパーリンク" xfId="2233" builtinId="8" hidden="1"/>
    <cellStyle name="ハイパーリンク" xfId="2235" builtinId="8" hidden="1"/>
    <cellStyle name="ハイパーリンク" xfId="2237" builtinId="8" hidden="1"/>
    <cellStyle name="ハイパーリンク" xfId="2239" builtinId="8" hidden="1"/>
    <cellStyle name="ハイパーリンク" xfId="2241" builtinId="8" hidden="1"/>
    <cellStyle name="ハイパーリンク" xfId="2243" builtinId="8" hidden="1"/>
    <cellStyle name="ハイパーリンク" xfId="2245" builtinId="8" hidden="1"/>
    <cellStyle name="ハイパーリンク" xfId="2247" builtinId="8" hidden="1"/>
    <cellStyle name="ハイパーリンク" xfId="2249" builtinId="8" hidden="1"/>
    <cellStyle name="ハイパーリンク" xfId="2251" builtinId="8" hidden="1"/>
    <cellStyle name="ハイパーリンク" xfId="2253" builtinId="8" hidden="1"/>
    <cellStyle name="ハイパーリンク" xfId="2255" builtinId="8" hidden="1"/>
    <cellStyle name="ハイパーリンク" xfId="2257" builtinId="8" hidden="1"/>
    <cellStyle name="ハイパーリンク" xfId="2259" builtinId="8" hidden="1"/>
    <cellStyle name="ハイパーリンク" xfId="2261" builtinId="8" hidden="1"/>
    <cellStyle name="ハイパーリンク" xfId="2263" builtinId="8" hidden="1"/>
    <cellStyle name="ハイパーリンク" xfId="2265" builtinId="8" hidden="1"/>
    <cellStyle name="ハイパーリンク" xfId="2267" builtinId="8" hidden="1"/>
    <cellStyle name="ハイパーリンク" xfId="2269" builtinId="8" hidden="1"/>
    <cellStyle name="ハイパーリンク" xfId="2271" builtinId="8" hidden="1"/>
    <cellStyle name="ハイパーリンク" xfId="2273" builtinId="8" hidden="1"/>
    <cellStyle name="ハイパーリンク" xfId="2275" builtinId="8" hidden="1"/>
    <cellStyle name="ハイパーリンク" xfId="2277" builtinId="8" hidden="1"/>
    <cellStyle name="ハイパーリンク" xfId="2279" builtinId="8" hidden="1"/>
    <cellStyle name="ハイパーリンク" xfId="2281" builtinId="8" hidden="1"/>
    <cellStyle name="ハイパーリンク" xfId="2283" builtinId="8" hidden="1"/>
    <cellStyle name="ハイパーリンク" xfId="2285" builtinId="8" hidden="1"/>
    <cellStyle name="ハイパーリンク" xfId="2287" builtinId="8" hidden="1"/>
    <cellStyle name="ハイパーリンク" xfId="2289" builtinId="8" hidden="1"/>
    <cellStyle name="ハイパーリンク" xfId="2291" builtinId="8" hidden="1"/>
    <cellStyle name="ハイパーリンク" xfId="2293" builtinId="8" hidden="1"/>
    <cellStyle name="ハイパーリンク" xfId="2295" builtinId="8" hidden="1"/>
    <cellStyle name="ハイパーリンク" xfId="2297" builtinId="8" hidden="1"/>
    <cellStyle name="ハイパーリンク" xfId="2299" builtinId="8" hidden="1"/>
    <cellStyle name="ハイパーリンク" xfId="2301" builtinId="8" hidden="1"/>
    <cellStyle name="ハイパーリンク" xfId="2303" builtinId="8" hidden="1"/>
    <cellStyle name="ハイパーリンク" xfId="2305" builtinId="8" hidden="1"/>
    <cellStyle name="ハイパーリンク" xfId="2307" builtinId="8" hidden="1"/>
    <cellStyle name="ハイパーリンク" xfId="2309" builtinId="8" hidden="1"/>
    <cellStyle name="ハイパーリンク" xfId="2311" builtinId="8" hidden="1"/>
    <cellStyle name="ハイパーリンク" xfId="2313" builtinId="8" hidden="1"/>
    <cellStyle name="ハイパーリンク" xfId="2315" builtinId="8" hidden="1"/>
    <cellStyle name="ハイパーリンク" xfId="2317" builtinId="8" hidden="1"/>
    <cellStyle name="ハイパーリンク" xfId="2319" builtinId="8" hidden="1"/>
    <cellStyle name="ハイパーリンク" xfId="2321" builtinId="8" hidden="1"/>
    <cellStyle name="ハイパーリンク" xfId="2323" builtinId="8" hidden="1"/>
    <cellStyle name="ハイパーリンク" xfId="2326" builtinId="8" hidden="1"/>
    <cellStyle name="ハイパーリンク" xfId="2328" builtinId="8" hidden="1"/>
    <cellStyle name="ハイパーリンク" xfId="2330" builtinId="8" hidden="1"/>
    <cellStyle name="ハイパーリンク" xfId="2332" builtinId="8" hidden="1"/>
    <cellStyle name="ハイパーリンク" xfId="2334" builtinId="8" hidden="1"/>
    <cellStyle name="ハイパーリンク" xfId="2336" builtinId="8" hidden="1"/>
    <cellStyle name="ハイパーリンク" xfId="2338" builtinId="8" hidden="1"/>
    <cellStyle name="ハイパーリンク" xfId="2340" builtinId="8" hidden="1"/>
    <cellStyle name="ハイパーリンク" xfId="2342" builtinId="8" hidden="1"/>
    <cellStyle name="ハイパーリンク" xfId="2344" builtinId="8" hidden="1"/>
    <cellStyle name="ハイパーリンク" xfId="2346" builtinId="8" hidden="1"/>
    <cellStyle name="ハイパーリンク" xfId="2348" builtinId="8" hidden="1"/>
    <cellStyle name="ハイパーリンク" xfId="2350" builtinId="8" hidden="1"/>
    <cellStyle name="ハイパーリンク" xfId="2352" builtinId="8" hidden="1"/>
    <cellStyle name="ハイパーリンク" xfId="2354" builtinId="8" hidden="1"/>
    <cellStyle name="ハイパーリンク" xfId="2356" builtinId="8" hidden="1"/>
    <cellStyle name="ハイパーリンク" xfId="2358" builtinId="8" hidden="1"/>
    <cellStyle name="ハイパーリンク" xfId="2360" builtinId="8" hidden="1"/>
    <cellStyle name="ハイパーリンク" xfId="2362" builtinId="8" hidden="1"/>
    <cellStyle name="ハイパーリンク" xfId="2364" builtinId="8" hidden="1"/>
    <cellStyle name="ハイパーリンク" xfId="2366" builtinId="8" hidden="1"/>
    <cellStyle name="ハイパーリンク" xfId="2368" builtinId="8" hidden="1"/>
    <cellStyle name="ハイパーリンク" xfId="2370" builtinId="8" hidden="1"/>
    <cellStyle name="ハイパーリンク" xfId="2372" builtinId="8" hidden="1"/>
    <cellStyle name="ハイパーリンク" xfId="2374" builtinId="8" hidden="1"/>
    <cellStyle name="ハイパーリンク" xfId="2376" builtinId="8" hidden="1"/>
    <cellStyle name="ハイパーリンク" xfId="2378" builtinId="8" hidden="1"/>
    <cellStyle name="ハイパーリンク" xfId="2380" builtinId="8" hidden="1"/>
    <cellStyle name="ハイパーリンク" xfId="2382" builtinId="8" hidden="1"/>
    <cellStyle name="ハイパーリンク" xfId="2384" builtinId="8" hidden="1"/>
    <cellStyle name="ハイパーリンク" xfId="2386" builtinId="8" hidden="1"/>
    <cellStyle name="ハイパーリンク" xfId="2388" builtinId="8" hidden="1"/>
    <cellStyle name="ハイパーリンク" xfId="2390" builtinId="8" hidden="1"/>
    <cellStyle name="ハイパーリンク" xfId="2392" builtinId="8" hidden="1"/>
    <cellStyle name="ハイパーリンク" xfId="2394" builtinId="8" hidden="1"/>
    <cellStyle name="ハイパーリンク" xfId="2396" builtinId="8" hidden="1"/>
    <cellStyle name="ハイパーリンク" xfId="2398" builtinId="8" hidden="1"/>
    <cellStyle name="ハイパーリンク" xfId="2400" builtinId="8" hidden="1"/>
    <cellStyle name="ハイパーリンク" xfId="2402" builtinId="8" hidden="1"/>
    <cellStyle name="ハイパーリンク" xfId="2404" builtinId="8" hidden="1"/>
    <cellStyle name="ハイパーリンク" xfId="2406" builtinId="8" hidden="1"/>
    <cellStyle name="ハイパーリンク" xfId="2408" builtinId="8" hidden="1"/>
    <cellStyle name="ハイパーリンク" xfId="2410" builtinId="8" hidden="1"/>
    <cellStyle name="ハイパーリンク" xfId="2412" builtinId="8" hidden="1"/>
    <cellStyle name="ハイパーリンク" xfId="2414" builtinId="8" hidden="1"/>
    <cellStyle name="ハイパーリンク" xfId="2416" builtinId="8" hidden="1"/>
    <cellStyle name="ハイパーリンク" xfId="2418" builtinId="8" hidden="1"/>
    <cellStyle name="ハイパーリンク" xfId="2420" builtinId="8" hidden="1"/>
    <cellStyle name="ハイパーリンク" xfId="2422" builtinId="8" hidden="1"/>
    <cellStyle name="ハイパーリンク" xfId="2424" builtinId="8" hidden="1"/>
    <cellStyle name="ハイパーリンク" xfId="2426" builtinId="8" hidden="1"/>
    <cellStyle name="ハイパーリンク" xfId="2428" builtinId="8" hidden="1"/>
    <cellStyle name="ハイパーリンク" xfId="2430" builtinId="8" hidden="1"/>
    <cellStyle name="ハイパーリンク" xfId="2432" builtinId="8" hidden="1"/>
    <cellStyle name="ハイパーリンク" xfId="2434" builtinId="8" hidden="1"/>
    <cellStyle name="ハイパーリンク" xfId="2436" builtinId="8" hidden="1"/>
    <cellStyle name="ハイパーリンク" xfId="2438" builtinId="8" hidden="1"/>
    <cellStyle name="ハイパーリンク" xfId="2440" builtinId="8" hidden="1"/>
    <cellStyle name="ハイパーリンク" xfId="2442" builtinId="8" hidden="1"/>
    <cellStyle name="ハイパーリンク" xfId="2444" builtinId="8" hidden="1"/>
    <cellStyle name="ハイパーリンク" xfId="2446" builtinId="8" hidden="1"/>
    <cellStyle name="ハイパーリンク" xfId="2448" builtinId="8" hidden="1"/>
    <cellStyle name="ハイパーリンク" xfId="2450" builtinId="8" hidden="1"/>
    <cellStyle name="ハイパーリンク" xfId="2452" builtinId="8" hidden="1"/>
    <cellStyle name="ハイパーリンク" xfId="2454" builtinId="8" hidden="1"/>
    <cellStyle name="ハイパーリンク" xfId="2456" builtinId="8" hidden="1"/>
    <cellStyle name="ハイパーリンク" xfId="2458" builtinId="8" hidden="1"/>
    <cellStyle name="ハイパーリンク" xfId="2460" builtinId="8" hidden="1"/>
    <cellStyle name="ハイパーリンク" xfId="2462" builtinId="8" hidden="1"/>
    <cellStyle name="ハイパーリンク" xfId="2464" builtinId="8" hidden="1"/>
    <cellStyle name="ハイパーリンク" xfId="2466" builtinId="8" hidden="1"/>
    <cellStyle name="ハイパーリンク" xfId="2468" builtinId="8" hidden="1"/>
    <cellStyle name="ハイパーリンク" xfId="2470" builtinId="8" hidden="1"/>
    <cellStyle name="ハイパーリンク" xfId="2472" builtinId="8" hidden="1"/>
    <cellStyle name="ハイパーリンク" xfId="2474" builtinId="8" hidden="1"/>
    <cellStyle name="ハイパーリンク" xfId="2476" builtinId="8" hidden="1"/>
    <cellStyle name="ハイパーリンク" xfId="2478" builtinId="8" hidden="1"/>
    <cellStyle name="ハイパーリンク" xfId="2480" builtinId="8" hidden="1"/>
    <cellStyle name="ハイパーリンク" xfId="2482" builtinId="8" hidden="1"/>
    <cellStyle name="ハイパーリンク" xfId="2484" builtinId="8" hidden="1"/>
    <cellStyle name="ハイパーリンク" xfId="2486" builtinId="8" hidden="1"/>
    <cellStyle name="ハイパーリンク" xfId="2488" builtinId="8" hidden="1"/>
    <cellStyle name="ハイパーリンク" xfId="2490" builtinId="8" hidden="1"/>
    <cellStyle name="ハイパーリンク" xfId="2492" builtinId="8" hidden="1"/>
    <cellStyle name="ハイパーリンク" xfId="2494" builtinId="8" hidden="1"/>
    <cellStyle name="ハイパーリンク" xfId="2496" builtinId="8" hidden="1"/>
    <cellStyle name="ハイパーリンク" xfId="2498" builtinId="8" hidden="1"/>
    <cellStyle name="ハイパーリンク" xfId="2500" builtinId="8" hidden="1"/>
    <cellStyle name="ハイパーリンク" xfId="2502" builtinId="8" hidden="1"/>
    <cellStyle name="ハイパーリンク" xfId="2504" builtinId="8" hidden="1"/>
    <cellStyle name="ハイパーリンク" xfId="2506" builtinId="8" hidden="1"/>
    <cellStyle name="ハイパーリンク" xfId="2508" builtinId="8" hidden="1"/>
    <cellStyle name="ハイパーリンク" xfId="2510" builtinId="8" hidden="1"/>
    <cellStyle name="ハイパーリンク" xfId="2512" builtinId="8" hidden="1"/>
    <cellStyle name="ハイパーリンク" xfId="2514" builtinId="8" hidden="1"/>
    <cellStyle name="ハイパーリンク" xfId="2516" builtinId="8" hidden="1"/>
    <cellStyle name="ハイパーリンク" xfId="2518" builtinId="8" hidden="1"/>
    <cellStyle name="ハイパーリンク" xfId="2520" builtinId="8" hidden="1"/>
    <cellStyle name="ハイパーリンク" xfId="2522" builtinId="8" hidden="1"/>
    <cellStyle name="ハイパーリンク" xfId="2524" builtinId="8" hidden="1"/>
    <cellStyle name="ハイパーリンク" xfId="2526" builtinId="8" hidden="1"/>
    <cellStyle name="ハイパーリンク" xfId="2528" builtinId="8" hidden="1"/>
    <cellStyle name="ハイパーリンク" xfId="2530" builtinId="8" hidden="1"/>
    <cellStyle name="ハイパーリンク" xfId="2532" builtinId="8" hidden="1"/>
    <cellStyle name="ハイパーリンク" xfId="2534" builtinId="8" hidden="1"/>
    <cellStyle name="ハイパーリンク" xfId="2536" builtinId="8" hidden="1"/>
    <cellStyle name="ハイパーリンク" xfId="2538" builtinId="8" hidden="1"/>
    <cellStyle name="ハイパーリンク" xfId="2540" builtinId="8" hidden="1"/>
    <cellStyle name="ハイパーリンク" xfId="2542" builtinId="8" hidden="1"/>
    <cellStyle name="ハイパーリンク" xfId="2544" builtinId="8" hidden="1"/>
    <cellStyle name="ハイパーリンク" xfId="2546" builtinId="8" hidden="1"/>
    <cellStyle name="ハイパーリンク" xfId="2548" builtinId="8" hidden="1"/>
    <cellStyle name="ハイパーリンク" xfId="2550" builtinId="8" hidden="1"/>
    <cellStyle name="ハイパーリンク" xfId="2552" builtinId="8" hidden="1"/>
    <cellStyle name="ハイパーリンク" xfId="2554" builtinId="8" hidden="1"/>
    <cellStyle name="ハイパーリンク" xfId="2556" builtinId="8" hidden="1"/>
    <cellStyle name="ハイパーリンク" xfId="2558" builtinId="8" hidden="1"/>
    <cellStyle name="ハイパーリンク" xfId="2560" builtinId="8" hidden="1"/>
    <cellStyle name="ハイパーリンク" xfId="2562" builtinId="8" hidden="1"/>
    <cellStyle name="ハイパーリンク" xfId="2564" builtinId="8" hidden="1"/>
    <cellStyle name="ハイパーリンク" xfId="2566" builtinId="8" hidden="1"/>
    <cellStyle name="ハイパーリンク" xfId="2568" builtinId="8" hidden="1"/>
    <cellStyle name="ハイパーリンク" xfId="2570" builtinId="8" hidden="1"/>
    <cellStyle name="ハイパーリンク" xfId="2572" builtinId="8" hidden="1"/>
    <cellStyle name="ハイパーリンク" xfId="2574" builtinId="8" hidden="1"/>
    <cellStyle name="ハイパーリンク" xfId="2576" builtinId="8" hidden="1"/>
    <cellStyle name="ハイパーリンク" xfId="2578" builtinId="8" hidden="1"/>
    <cellStyle name="ハイパーリンク" xfId="2580" builtinId="8" hidden="1"/>
    <cellStyle name="ハイパーリンク" xfId="2582" builtinId="8" hidden="1"/>
    <cellStyle name="ハイパーリンク" xfId="2584" builtinId="8" hidden="1"/>
    <cellStyle name="ハイパーリンク" xfId="2586" builtinId="8" hidden="1"/>
    <cellStyle name="ハイパーリンク" xfId="2588" builtinId="8" hidden="1"/>
    <cellStyle name="ハイパーリンク" xfId="2590" builtinId="8" hidden="1"/>
    <cellStyle name="ハイパーリンク" xfId="2592" builtinId="8" hidden="1"/>
    <cellStyle name="ハイパーリンク" xfId="2594" builtinId="8" hidden="1"/>
    <cellStyle name="ハイパーリンク" xfId="2596" builtinId="8" hidden="1"/>
    <cellStyle name="ハイパーリンク" xfId="2598" builtinId="8" hidden="1"/>
    <cellStyle name="ハイパーリンク" xfId="2600" builtinId="8" hidden="1"/>
    <cellStyle name="ハイパーリンク" xfId="2602" builtinId="8" hidden="1"/>
    <cellStyle name="ハイパーリンク" xfId="2604" builtinId="8" hidden="1"/>
    <cellStyle name="ハイパーリンク" xfId="2606" builtinId="8" hidden="1"/>
    <cellStyle name="ハイパーリンク" xfId="2608" builtinId="8" hidden="1"/>
    <cellStyle name="ハイパーリンク" xfId="2610" builtinId="8" hidden="1"/>
    <cellStyle name="ハイパーリンク" xfId="2612" builtinId="8" hidden="1"/>
    <cellStyle name="ハイパーリンク" xfId="2614" builtinId="8" hidden="1"/>
    <cellStyle name="ハイパーリンク" xfId="2616" builtinId="8" hidden="1"/>
    <cellStyle name="ハイパーリンク" xfId="2618" builtinId="8" hidden="1"/>
    <cellStyle name="ハイパーリンク" xfId="2620" builtinId="8" hidden="1"/>
    <cellStyle name="ハイパーリンク" xfId="2622" builtinId="8" hidden="1"/>
    <cellStyle name="ハイパーリンク" xfId="2624" builtinId="8" hidden="1"/>
    <cellStyle name="ハイパーリンク" xfId="2626" builtinId="8" hidden="1"/>
    <cellStyle name="ハイパーリンク" xfId="2628" builtinId="8" hidden="1"/>
    <cellStyle name="ハイパーリンク" xfId="2630" builtinId="8" hidden="1"/>
    <cellStyle name="ハイパーリンク" xfId="2632" builtinId="8" hidden="1"/>
    <cellStyle name="ハイパーリンク" xfId="2634" builtinId="8" hidden="1"/>
    <cellStyle name="ハイパーリンク" xfId="2636" builtinId="8" hidden="1"/>
    <cellStyle name="ハイパーリンク" xfId="2638" builtinId="8" hidden="1"/>
    <cellStyle name="ハイパーリンク" xfId="2640" builtinId="8" hidden="1"/>
    <cellStyle name="ハイパーリンク" xfId="2642" builtinId="8" hidden="1"/>
    <cellStyle name="ハイパーリンク" xfId="2644" builtinId="8" hidden="1"/>
    <cellStyle name="ハイパーリンク" xfId="2646" builtinId="8" hidden="1"/>
    <cellStyle name="ハイパーリンク" xfId="2648" builtinId="8" hidden="1"/>
    <cellStyle name="ハイパーリンク" xfId="2650" builtinId="8" hidden="1"/>
    <cellStyle name="ハイパーリンク" xfId="2652" builtinId="8" hidden="1"/>
    <cellStyle name="ハイパーリンク" xfId="2654" builtinId="8" hidden="1"/>
    <cellStyle name="ハイパーリンク" xfId="2656" builtinId="8" hidden="1"/>
    <cellStyle name="ハイパーリンク" xfId="2658" builtinId="8" hidden="1"/>
    <cellStyle name="ハイパーリンク" xfId="2660" builtinId="8" hidden="1"/>
    <cellStyle name="ハイパーリンク" xfId="2662" builtinId="8" hidden="1"/>
    <cellStyle name="ハイパーリンク" xfId="2664" builtinId="8" hidden="1"/>
    <cellStyle name="ハイパーリンク" xfId="2666" builtinId="8" hidden="1"/>
    <cellStyle name="ハイパーリンク" xfId="2668" builtinId="8" hidden="1"/>
    <cellStyle name="ハイパーリンク" xfId="2670" builtinId="8" hidden="1"/>
    <cellStyle name="ハイパーリンク" xfId="2672" builtinId="8" hidden="1"/>
    <cellStyle name="ハイパーリンク" xfId="2677" builtinId="8" hidden="1"/>
    <cellStyle name="ハイパーリンク" xfId="2679" builtinId="8" hidden="1"/>
    <cellStyle name="ハイパーリンク" xfId="2681" builtinId="8" hidden="1"/>
    <cellStyle name="ハイパーリンク" xfId="2683" builtinId="8" hidden="1"/>
    <cellStyle name="ハイパーリンク" xfId="2685" builtinId="8" hidden="1"/>
    <cellStyle name="ハイパーリンク" xfId="2687" builtinId="8" hidden="1"/>
    <cellStyle name="ハイパーリンク" xfId="2689" builtinId="8" hidden="1"/>
    <cellStyle name="ハイパーリンク" xfId="2691" builtinId="8" hidden="1"/>
    <cellStyle name="ハイパーリンク" xfId="2693" builtinId="8" hidden="1"/>
    <cellStyle name="ハイパーリンク" xfId="2695" builtinId="8" hidden="1"/>
    <cellStyle name="ハイパーリンク" xfId="2697" builtinId="8" hidden="1"/>
    <cellStyle name="ハイパーリンク" xfId="2699" builtinId="8" hidden="1"/>
    <cellStyle name="ハイパーリンク" xfId="2701" builtinId="8" hidden="1"/>
    <cellStyle name="ハイパーリンク" xfId="2703" builtinId="8" hidden="1"/>
    <cellStyle name="ハイパーリンク" xfId="2705" builtinId="8" hidden="1"/>
    <cellStyle name="ハイパーリンク" xfId="2707" builtinId="8" hidden="1"/>
    <cellStyle name="ハイパーリンク" xfId="2709" builtinId="8" hidden="1"/>
    <cellStyle name="ハイパーリンク" xfId="2711" builtinId="8" hidden="1"/>
    <cellStyle name="ハイパーリンク" xfId="2713" builtinId="8" hidden="1"/>
    <cellStyle name="ハイパーリンク" xfId="2715" builtinId="8" hidden="1"/>
    <cellStyle name="ハイパーリンク" xfId="2717" builtinId="8" hidden="1"/>
    <cellStyle name="ハイパーリンク" xfId="2719" builtinId="8" hidden="1"/>
    <cellStyle name="ハイパーリンク" xfId="2721" builtinId="8" hidden="1"/>
    <cellStyle name="ハイパーリンク" xfId="2723" builtinId="8" hidden="1"/>
    <cellStyle name="ハイパーリンク" xfId="2725" builtinId="8" hidden="1"/>
    <cellStyle name="ハイパーリンク" xfId="2727" builtinId="8" hidden="1"/>
    <cellStyle name="ハイパーリンク" xfId="2729" builtinId="8" hidden="1"/>
    <cellStyle name="ハイパーリンク" xfId="2731" builtinId="8" hidden="1"/>
    <cellStyle name="ハイパーリンク" xfId="2733" builtinId="8" hidden="1"/>
    <cellStyle name="ハイパーリンク" xfId="2735" builtinId="8" hidden="1"/>
    <cellStyle name="ハイパーリンク" xfId="2737" builtinId="8" hidden="1"/>
    <cellStyle name="ハイパーリンク" xfId="2739" builtinId="8" hidden="1"/>
    <cellStyle name="ハイパーリンク" xfId="2741" builtinId="8" hidden="1"/>
    <cellStyle name="ハイパーリンク" xfId="2743" builtinId="8" hidden="1"/>
    <cellStyle name="ハイパーリンク" xfId="2745" builtinId="8" hidden="1"/>
    <cellStyle name="ハイパーリンク" xfId="2747" builtinId="8" hidden="1"/>
    <cellStyle name="ハイパーリンク" xfId="2749" builtinId="8" hidden="1"/>
    <cellStyle name="ハイパーリンク" xfId="2751" builtinId="8" hidden="1"/>
    <cellStyle name="ハイパーリンク" xfId="2753" builtinId="8" hidden="1"/>
    <cellStyle name="ハイパーリンク" xfId="2755" builtinId="8" hidden="1"/>
    <cellStyle name="ハイパーリンク" xfId="2757" builtinId="8" hidden="1"/>
    <cellStyle name="ハイパーリンク" xfId="2759" builtinId="8" hidden="1"/>
    <cellStyle name="ハイパーリンク" xfId="2761" builtinId="8" hidden="1"/>
    <cellStyle name="ハイパーリンク" xfId="2763" builtinId="8" hidden="1"/>
    <cellStyle name="ハイパーリンク" xfId="2765" builtinId="8" hidden="1"/>
    <cellStyle name="ハイパーリンク" xfId="2767" builtinId="8" hidden="1"/>
    <cellStyle name="ハイパーリンク" xfId="2769" builtinId="8" hidden="1"/>
    <cellStyle name="ハイパーリンク" xfId="2771" builtinId="8" hidden="1"/>
    <cellStyle name="ハイパーリンク" xfId="2773" builtinId="8" hidden="1"/>
    <cellStyle name="ハイパーリンク" xfId="2775" builtinId="8" hidden="1"/>
    <cellStyle name="ハイパーリンク" xfId="2777" builtinId="8" hidden="1"/>
    <cellStyle name="ハイパーリンク" xfId="2779" builtinId="8" hidden="1"/>
    <cellStyle name="ハイパーリンク" xfId="2781" builtinId="8" hidden="1"/>
    <cellStyle name="ハイパーリンク" xfId="2783" builtinId="8" hidden="1"/>
    <cellStyle name="ハイパーリンク" xfId="2785" builtinId="8" hidden="1"/>
    <cellStyle name="ハイパーリンク" xfId="2787" builtinId="8" hidden="1"/>
    <cellStyle name="ハイパーリンク" xfId="2789" builtinId="8" hidden="1"/>
    <cellStyle name="ハイパーリンク" xfId="2791" builtinId="8" hidden="1"/>
    <cellStyle name="ハイパーリンク" xfId="2793" builtinId="8" hidden="1"/>
    <cellStyle name="ハイパーリンク" xfId="2795" builtinId="8" hidden="1"/>
    <cellStyle name="ハイパーリンク" xfId="2797" builtinId="8" hidden="1"/>
    <cellStyle name="ハイパーリンク" xfId="2799" builtinId="8" hidden="1"/>
    <cellStyle name="ハイパーリンク" xfId="2801" builtinId="8" hidden="1"/>
    <cellStyle name="ハイパーリンク" xfId="2803" builtinId="8" hidden="1"/>
    <cellStyle name="ハイパーリンク" xfId="2805" builtinId="8" hidden="1"/>
    <cellStyle name="ハイパーリンク" xfId="2807" builtinId="8" hidden="1"/>
    <cellStyle name="ハイパーリンク" xfId="2809" builtinId="8" hidden="1"/>
    <cellStyle name="ハイパーリンク" xfId="2811" builtinId="8" hidden="1"/>
    <cellStyle name="ハイパーリンク" xfId="2813" builtinId="8" hidden="1"/>
    <cellStyle name="ハイパーリンク" xfId="2815" builtinId="8" hidden="1"/>
    <cellStyle name="ハイパーリンク" xfId="2817" builtinId="8" hidden="1"/>
    <cellStyle name="ハイパーリンク" xfId="2819" builtinId="8" hidden="1"/>
    <cellStyle name="ハイパーリンク" xfId="2821" builtinId="8" hidden="1"/>
    <cellStyle name="ハイパーリンク" xfId="2823" builtinId="8" hidden="1"/>
    <cellStyle name="ハイパーリンク" xfId="2825" builtinId="8" hidden="1"/>
    <cellStyle name="ハイパーリンク" xfId="2827" builtinId="8" hidden="1"/>
    <cellStyle name="ハイパーリンク" xfId="2829" builtinId="8" hidden="1"/>
    <cellStyle name="ハイパーリンク" xfId="2831" builtinId="8" hidden="1"/>
    <cellStyle name="ハイパーリンク" xfId="2833" builtinId="8" hidden="1"/>
    <cellStyle name="ハイパーリンク" xfId="2835" builtinId="8" hidden="1"/>
    <cellStyle name="ハイパーリンク" xfId="2837" builtinId="8" hidden="1"/>
    <cellStyle name="ハイパーリンク" xfId="2839" builtinId="8" hidden="1"/>
    <cellStyle name="ハイパーリンク" xfId="2841" builtinId="8" hidden="1"/>
    <cellStyle name="ハイパーリンク" xfId="2843" builtinId="8" hidden="1"/>
    <cellStyle name="ハイパーリンク" xfId="2845" builtinId="8" hidden="1"/>
    <cellStyle name="ハイパーリンク" xfId="2847" builtinId="8" hidden="1"/>
    <cellStyle name="ハイパーリンク" xfId="2849" builtinId="8" hidden="1"/>
    <cellStyle name="ハイパーリンク" xfId="2851" builtinId="8" hidden="1"/>
    <cellStyle name="ハイパーリンク" xfId="2853" builtinId="8" hidden="1"/>
    <cellStyle name="ハイパーリンク" xfId="2855" builtinId="8" hidden="1"/>
    <cellStyle name="ハイパーリンク" xfId="2857" builtinId="8" hidden="1"/>
    <cellStyle name="ハイパーリンク" xfId="2859" builtinId="8" hidden="1"/>
    <cellStyle name="ハイパーリンク" xfId="2861" builtinId="8" hidden="1"/>
    <cellStyle name="ハイパーリンク" xfId="2863" builtinId="8" hidden="1"/>
    <cellStyle name="ハイパーリンク" xfId="2865" builtinId="8" hidden="1"/>
    <cellStyle name="ハイパーリンク" xfId="2867" builtinId="8" hidden="1"/>
    <cellStyle name="ハイパーリンク" xfId="2869" builtinId="8" hidden="1"/>
    <cellStyle name="ハイパーリンク" xfId="2871" builtinId="8" hidden="1"/>
    <cellStyle name="ハイパーリンク" xfId="2873" builtinId="8" hidden="1"/>
    <cellStyle name="ハイパーリンク" xfId="2875" builtinId="8" hidden="1"/>
    <cellStyle name="ハイパーリンク" xfId="2877" builtinId="8" hidden="1"/>
    <cellStyle name="ハイパーリンク" xfId="2879" builtinId="8" hidden="1"/>
    <cellStyle name="ハイパーリンク" xfId="2881" builtinId="8" hidden="1"/>
    <cellStyle name="ハイパーリンク" xfId="2883" builtinId="8" hidden="1"/>
    <cellStyle name="ハイパーリンク" xfId="2885" builtinId="8" hidden="1"/>
    <cellStyle name="ハイパーリンク" xfId="2887" builtinId="8" hidden="1"/>
    <cellStyle name="ハイパーリンク" xfId="2889" builtinId="8" hidden="1"/>
    <cellStyle name="ハイパーリンク" xfId="2891" builtinId="8" hidden="1"/>
    <cellStyle name="ハイパーリンク" xfId="2893" builtinId="8" hidden="1"/>
    <cellStyle name="ハイパーリンク" xfId="2895" builtinId="8" hidden="1"/>
    <cellStyle name="ハイパーリンク" xfId="2897" builtinId="8" hidden="1"/>
    <cellStyle name="ハイパーリンク" xfId="2899" builtinId="8" hidden="1"/>
    <cellStyle name="ハイパーリンク" xfId="2901" builtinId="8" hidden="1"/>
    <cellStyle name="ハイパーリンク" xfId="2903" builtinId="8" hidden="1"/>
    <cellStyle name="ハイパーリンク" xfId="2905" builtinId="8" hidden="1"/>
    <cellStyle name="ハイパーリンク" xfId="2907" builtinId="8" hidden="1"/>
    <cellStyle name="ハイパーリンク" xfId="2909" builtinId="8" hidden="1"/>
    <cellStyle name="ハイパーリンク" xfId="2911" builtinId="8" hidden="1"/>
    <cellStyle name="ハイパーリンク" xfId="2913" builtinId="8" hidden="1"/>
    <cellStyle name="ハイパーリンク" xfId="2915" builtinId="8" hidden="1"/>
    <cellStyle name="ハイパーリンク" xfId="2917" builtinId="8" hidden="1"/>
    <cellStyle name="ハイパーリンク" xfId="2919" builtinId="8" hidden="1"/>
    <cellStyle name="ハイパーリンク" xfId="2921" builtinId="8" hidden="1"/>
    <cellStyle name="ハイパーリンク" xfId="2923" builtinId="8" hidden="1"/>
    <cellStyle name="ハイパーリンク" xfId="2925" builtinId="8" hidden="1"/>
    <cellStyle name="ハイパーリンク" xfId="2927" builtinId="8" hidden="1"/>
    <cellStyle name="ハイパーリンク" xfId="2929" builtinId="8" hidden="1"/>
    <cellStyle name="ハイパーリンク" xfId="2931" builtinId="8" hidden="1"/>
    <cellStyle name="ハイパーリンク" xfId="2933" builtinId="8" hidden="1"/>
    <cellStyle name="ハイパーリンク" xfId="2935" builtinId="8" hidden="1"/>
    <cellStyle name="ハイパーリンク" xfId="2937" builtinId="8" hidden="1"/>
    <cellStyle name="ハイパーリンク" xfId="2939" builtinId="8" hidden="1"/>
    <cellStyle name="ハイパーリンク" xfId="2941" builtinId="8" hidden="1"/>
    <cellStyle name="ハイパーリンク" xfId="2943" builtinId="8" hidden="1"/>
    <cellStyle name="ハイパーリンク" xfId="2945" builtinId="8" hidden="1"/>
    <cellStyle name="ハイパーリンク" xfId="2947" builtinId="8" hidden="1"/>
    <cellStyle name="ハイパーリンク" xfId="2949" builtinId="8" hidden="1"/>
    <cellStyle name="ハイパーリンク" xfId="2952" builtinId="8" hidden="1"/>
    <cellStyle name="ハイパーリンク" xfId="2954" builtinId="8" hidden="1"/>
    <cellStyle name="ハイパーリンク" xfId="2956" builtinId="8" hidden="1"/>
    <cellStyle name="ハイパーリンク" xfId="2958" builtinId="8" hidden="1"/>
    <cellStyle name="ハイパーリンク" xfId="2960" builtinId="8" hidden="1"/>
    <cellStyle name="ハイパーリンク" xfId="2962" builtinId="8" hidden="1"/>
    <cellStyle name="ハイパーリンク" xfId="2964" builtinId="8" hidden="1"/>
    <cellStyle name="ハイパーリンク" xfId="2966" builtinId="8" hidden="1"/>
    <cellStyle name="桁区切り" xfId="1" builtinId="6"/>
    <cellStyle name="桁区切り [0.00]" xfId="2951" builtinId="3"/>
    <cellStyle name="桁区切り 2" xfId="2675"/>
    <cellStyle name="標準" xfId="0" builtinId="0"/>
    <cellStyle name="標準 2" xfId="64"/>
    <cellStyle name="標準 3" xfId="2674"/>
    <cellStyle name="標準 4" xfId="2968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  <cellStyle name="表示済みのハイパーリンク" xfId="1894" builtinId="9" hidden="1"/>
    <cellStyle name="表示済みのハイパーリンク" xfId="1896" builtinId="9" hidden="1"/>
    <cellStyle name="表示済みのハイパーリンク" xfId="1898" builtinId="9" hidden="1"/>
    <cellStyle name="表示済みのハイパーリンク" xfId="1900" builtinId="9" hidden="1"/>
    <cellStyle name="表示済みのハイパーリンク" xfId="1902" builtinId="9" hidden="1"/>
    <cellStyle name="表示済みのハイパーリンク" xfId="1904" builtinId="9" hidden="1"/>
    <cellStyle name="表示済みのハイパーリンク" xfId="1906" builtinId="9" hidden="1"/>
    <cellStyle name="表示済みのハイパーリンク" xfId="1908" builtinId="9" hidden="1"/>
    <cellStyle name="表示済みのハイパーリンク" xfId="1910" builtinId="9" hidden="1"/>
    <cellStyle name="表示済みのハイパーリンク" xfId="1912" builtinId="9" hidden="1"/>
    <cellStyle name="表示済みのハイパーリンク" xfId="1914" builtinId="9" hidden="1"/>
    <cellStyle name="表示済みのハイパーリンク" xfId="1916" builtinId="9" hidden="1"/>
    <cellStyle name="表示済みのハイパーリンク" xfId="1918" builtinId="9" hidden="1"/>
    <cellStyle name="表示済みのハイパーリンク" xfId="1920" builtinId="9" hidden="1"/>
    <cellStyle name="表示済みのハイパーリンク" xfId="1922" builtinId="9" hidden="1"/>
    <cellStyle name="表示済みのハイパーリンク" xfId="1924" builtinId="9" hidden="1"/>
    <cellStyle name="表示済みのハイパーリンク" xfId="1926" builtinId="9" hidden="1"/>
    <cellStyle name="表示済みのハイパーリンク" xfId="1928" builtinId="9" hidden="1"/>
    <cellStyle name="表示済みのハイパーリンク" xfId="1930" builtinId="9" hidden="1"/>
    <cellStyle name="表示済みのハイパーリンク" xfId="1932" builtinId="9" hidden="1"/>
    <cellStyle name="表示済みのハイパーリンク" xfId="1934" builtinId="9" hidden="1"/>
    <cellStyle name="表示済みのハイパーリンク" xfId="1936" builtinId="9" hidden="1"/>
    <cellStyle name="表示済みのハイパーリンク" xfId="1938" builtinId="9" hidden="1"/>
    <cellStyle name="表示済みのハイパーリンク" xfId="1940" builtinId="9" hidden="1"/>
    <cellStyle name="表示済みのハイパーリンク" xfId="1942" builtinId="9" hidden="1"/>
    <cellStyle name="表示済みのハイパーリンク" xfId="1944" builtinId="9" hidden="1"/>
    <cellStyle name="表示済みのハイパーリンク" xfId="1946" builtinId="9" hidden="1"/>
    <cellStyle name="表示済みのハイパーリンク" xfId="1948" builtinId="9" hidden="1"/>
    <cellStyle name="表示済みのハイパーリンク" xfId="1950" builtinId="9" hidden="1"/>
    <cellStyle name="表示済みのハイパーリンク" xfId="1952" builtinId="9" hidden="1"/>
    <cellStyle name="表示済みのハイパーリンク" xfId="1954" builtinId="9" hidden="1"/>
    <cellStyle name="表示済みのハイパーリンク" xfId="1956" builtinId="9" hidden="1"/>
    <cellStyle name="表示済みのハイパーリンク" xfId="1958" builtinId="9" hidden="1"/>
    <cellStyle name="表示済みのハイパーリンク" xfId="1960" builtinId="9" hidden="1"/>
    <cellStyle name="表示済みのハイパーリンク" xfId="1962" builtinId="9" hidden="1"/>
    <cellStyle name="表示済みのハイパーリンク" xfId="1964" builtinId="9" hidden="1"/>
    <cellStyle name="表示済みのハイパーリンク" xfId="1966" builtinId="9" hidden="1"/>
    <cellStyle name="表示済みのハイパーリンク" xfId="1968" builtinId="9" hidden="1"/>
    <cellStyle name="表示済みのハイパーリンク" xfId="1970" builtinId="9" hidden="1"/>
    <cellStyle name="表示済みのハイパーリンク" xfId="1972" builtinId="9" hidden="1"/>
    <cellStyle name="表示済みのハイパーリンク" xfId="1974" builtinId="9" hidden="1"/>
    <cellStyle name="表示済みのハイパーリンク" xfId="1976" builtinId="9" hidden="1"/>
    <cellStyle name="表示済みのハイパーリンク" xfId="1978" builtinId="9" hidden="1"/>
    <cellStyle name="表示済みのハイパーリンク" xfId="1980" builtinId="9" hidden="1"/>
    <cellStyle name="表示済みのハイパーリンク" xfId="1982" builtinId="9" hidden="1"/>
    <cellStyle name="表示済みのハイパーリンク" xfId="1984" builtinId="9" hidden="1"/>
    <cellStyle name="表示済みのハイパーリンク" xfId="1986" builtinId="9" hidden="1"/>
    <cellStyle name="表示済みのハイパーリンク" xfId="1988" builtinId="9" hidden="1"/>
    <cellStyle name="表示済みのハイパーリンク" xfId="1990" builtinId="9" hidden="1"/>
    <cellStyle name="表示済みのハイパーリンク" xfId="1992" builtinId="9" hidden="1"/>
    <cellStyle name="表示済みのハイパーリンク" xfId="1994" builtinId="9" hidden="1"/>
    <cellStyle name="表示済みのハイパーリンク" xfId="1996" builtinId="9" hidden="1"/>
    <cellStyle name="表示済みのハイパーリンク" xfId="1998" builtinId="9" hidden="1"/>
    <cellStyle name="表示済みのハイパーリンク" xfId="2000" builtinId="9" hidden="1"/>
    <cellStyle name="表示済みのハイパーリンク" xfId="2002" builtinId="9" hidden="1"/>
    <cellStyle name="表示済みのハイパーリンク" xfId="2004" builtinId="9" hidden="1"/>
    <cellStyle name="表示済みのハイパーリンク" xfId="2006" builtinId="9" hidden="1"/>
    <cellStyle name="表示済みのハイパーリンク" xfId="2008" builtinId="9" hidden="1"/>
    <cellStyle name="表示済みのハイパーリンク" xfId="2010" builtinId="9" hidden="1"/>
    <cellStyle name="表示済みのハイパーリンク" xfId="2012" builtinId="9" hidden="1"/>
    <cellStyle name="表示済みのハイパーリンク" xfId="2014" builtinId="9" hidden="1"/>
    <cellStyle name="表示済みのハイパーリンク" xfId="2016" builtinId="9" hidden="1"/>
    <cellStyle name="表示済みのハイパーリンク" xfId="2018" builtinId="9" hidden="1"/>
    <cellStyle name="表示済みのハイパーリンク" xfId="2020" builtinId="9" hidden="1"/>
    <cellStyle name="表示済みのハイパーリンク" xfId="2022" builtinId="9" hidden="1"/>
    <cellStyle name="表示済みのハイパーリンク" xfId="2024" builtinId="9" hidden="1"/>
    <cellStyle name="表示済みのハイパーリンク" xfId="2026" builtinId="9" hidden="1"/>
    <cellStyle name="表示済みのハイパーリンク" xfId="2028" builtinId="9" hidden="1"/>
    <cellStyle name="表示済みのハイパーリンク" xfId="2030" builtinId="9" hidden="1"/>
    <cellStyle name="表示済みのハイパーリンク" xfId="2032" builtinId="9" hidden="1"/>
    <cellStyle name="表示済みのハイパーリンク" xfId="2034" builtinId="9" hidden="1"/>
    <cellStyle name="表示済みのハイパーリンク" xfId="2036" builtinId="9" hidden="1"/>
    <cellStyle name="表示済みのハイパーリンク" xfId="2038" builtinId="9" hidden="1"/>
    <cellStyle name="表示済みのハイパーリンク" xfId="2040" builtinId="9" hidden="1"/>
    <cellStyle name="表示済みのハイパーリンク" xfId="2042" builtinId="9" hidden="1"/>
    <cellStyle name="表示済みのハイパーリンク" xfId="2044" builtinId="9" hidden="1"/>
    <cellStyle name="表示済みのハイパーリンク" xfId="2046" builtinId="9" hidden="1"/>
    <cellStyle name="表示済みのハイパーリンク" xfId="2048" builtinId="9" hidden="1"/>
    <cellStyle name="表示済みのハイパーリンク" xfId="2050" builtinId="9" hidden="1"/>
    <cellStyle name="表示済みのハイパーリンク" xfId="2052" builtinId="9" hidden="1"/>
    <cellStyle name="表示済みのハイパーリンク" xfId="2054" builtinId="9" hidden="1"/>
    <cellStyle name="表示済みのハイパーリンク" xfId="2056" builtinId="9" hidden="1"/>
    <cellStyle name="表示済みのハイパーリンク" xfId="2058" builtinId="9" hidden="1"/>
    <cellStyle name="表示済みのハイパーリンク" xfId="2060" builtinId="9" hidden="1"/>
    <cellStyle name="表示済みのハイパーリンク" xfId="2062" builtinId="9" hidden="1"/>
    <cellStyle name="表示済みのハイパーリンク" xfId="2064" builtinId="9" hidden="1"/>
    <cellStyle name="表示済みのハイパーリンク" xfId="2066" builtinId="9" hidden="1"/>
    <cellStyle name="表示済みのハイパーリンク" xfId="2068" builtinId="9" hidden="1"/>
    <cellStyle name="表示済みのハイパーリンク" xfId="2070" builtinId="9" hidden="1"/>
    <cellStyle name="表示済みのハイパーリンク" xfId="2072" builtinId="9" hidden="1"/>
    <cellStyle name="表示済みのハイパーリンク" xfId="2074" builtinId="9" hidden="1"/>
    <cellStyle name="表示済みのハイパーリンク" xfId="2076" builtinId="9" hidden="1"/>
    <cellStyle name="表示済みのハイパーリンク" xfId="2078" builtinId="9" hidden="1"/>
    <cellStyle name="表示済みのハイパーリンク" xfId="2080" builtinId="9" hidden="1"/>
    <cellStyle name="表示済みのハイパーリンク" xfId="2082" builtinId="9" hidden="1"/>
    <cellStyle name="表示済みのハイパーリンク" xfId="2084" builtinId="9" hidden="1"/>
    <cellStyle name="表示済みのハイパーリンク" xfId="2086" builtinId="9" hidden="1"/>
    <cellStyle name="表示済みのハイパーリンク" xfId="2088" builtinId="9" hidden="1"/>
    <cellStyle name="表示済みのハイパーリンク" xfId="2090" builtinId="9" hidden="1"/>
    <cellStyle name="表示済みのハイパーリンク" xfId="2092" builtinId="9" hidden="1"/>
    <cellStyle name="表示済みのハイパーリンク" xfId="2094" builtinId="9" hidden="1"/>
    <cellStyle name="表示済みのハイパーリンク" xfId="2096" builtinId="9" hidden="1"/>
    <cellStyle name="表示済みのハイパーリンク" xfId="2098" builtinId="9" hidden="1"/>
    <cellStyle name="表示済みのハイパーリンク" xfId="2100" builtinId="9" hidden="1"/>
    <cellStyle name="表示済みのハイパーリンク" xfId="2102" builtinId="9" hidden="1"/>
    <cellStyle name="表示済みのハイパーリンク" xfId="2104" builtinId="9" hidden="1"/>
    <cellStyle name="表示済みのハイパーリンク" xfId="2106" builtinId="9" hidden="1"/>
    <cellStyle name="表示済みのハイパーリンク" xfId="2108" builtinId="9" hidden="1"/>
    <cellStyle name="表示済みのハイパーリンク" xfId="2110" builtinId="9" hidden="1"/>
    <cellStyle name="表示済みのハイパーリンク" xfId="2112" builtinId="9" hidden="1"/>
    <cellStyle name="表示済みのハイパーリンク" xfId="2114" builtinId="9" hidden="1"/>
    <cellStyle name="表示済みのハイパーリンク" xfId="2116" builtinId="9" hidden="1"/>
    <cellStyle name="表示済みのハイパーリンク" xfId="2118" builtinId="9" hidden="1"/>
    <cellStyle name="表示済みのハイパーリンク" xfId="2120" builtinId="9" hidden="1"/>
    <cellStyle name="表示済みのハイパーリンク" xfId="2122" builtinId="9" hidden="1"/>
    <cellStyle name="表示済みのハイパーリンク" xfId="2124" builtinId="9" hidden="1"/>
    <cellStyle name="表示済みのハイパーリンク" xfId="2126" builtinId="9" hidden="1"/>
    <cellStyle name="表示済みのハイパーリンク" xfId="2128" builtinId="9" hidden="1"/>
    <cellStyle name="表示済みのハイパーリンク" xfId="2130" builtinId="9" hidden="1"/>
    <cellStyle name="表示済みのハイパーリンク" xfId="2132" builtinId="9" hidden="1"/>
    <cellStyle name="表示済みのハイパーリンク" xfId="2134" builtinId="9" hidden="1"/>
    <cellStyle name="表示済みのハイパーリンク" xfId="2136" builtinId="9" hidden="1"/>
    <cellStyle name="表示済みのハイパーリンク" xfId="2138" builtinId="9" hidden="1"/>
    <cellStyle name="表示済みのハイパーリンク" xfId="2140" builtinId="9" hidden="1"/>
    <cellStyle name="表示済みのハイパーリンク" xfId="2142" builtinId="9" hidden="1"/>
    <cellStyle name="表示済みのハイパーリンク" xfId="2144" builtinId="9" hidden="1"/>
    <cellStyle name="表示済みのハイパーリンク" xfId="2146" builtinId="9" hidden="1"/>
    <cellStyle name="表示済みのハイパーリンク" xfId="2148" builtinId="9" hidden="1"/>
    <cellStyle name="表示済みのハイパーリンク" xfId="2150" builtinId="9" hidden="1"/>
    <cellStyle name="表示済みのハイパーリンク" xfId="2152" builtinId="9" hidden="1"/>
    <cellStyle name="表示済みのハイパーリンク" xfId="2154" builtinId="9" hidden="1"/>
    <cellStyle name="表示済みのハイパーリンク" xfId="2156" builtinId="9" hidden="1"/>
    <cellStyle name="表示済みのハイパーリンク" xfId="2158" builtinId="9" hidden="1"/>
    <cellStyle name="表示済みのハイパーリンク" xfId="2160" builtinId="9" hidden="1"/>
    <cellStyle name="表示済みのハイパーリンク" xfId="2162" builtinId="9" hidden="1"/>
    <cellStyle name="表示済みのハイパーリンク" xfId="2164" builtinId="9" hidden="1"/>
    <cellStyle name="表示済みのハイパーリンク" xfId="2166" builtinId="9" hidden="1"/>
    <cellStyle name="表示済みのハイパーリンク" xfId="2168" builtinId="9" hidden="1"/>
    <cellStyle name="表示済みのハイパーリンク" xfId="2170" builtinId="9" hidden="1"/>
    <cellStyle name="表示済みのハイパーリンク" xfId="2172" builtinId="9" hidden="1"/>
    <cellStyle name="表示済みのハイパーリンク" xfId="2174" builtinId="9" hidden="1"/>
    <cellStyle name="表示済みのハイパーリンク" xfId="2176" builtinId="9" hidden="1"/>
    <cellStyle name="表示済みのハイパーリンク" xfId="2178" builtinId="9" hidden="1"/>
    <cellStyle name="表示済みのハイパーリンク" xfId="2180" builtinId="9" hidden="1"/>
    <cellStyle name="表示済みのハイパーリンク" xfId="2182" builtinId="9" hidden="1"/>
    <cellStyle name="表示済みのハイパーリンク" xfId="2184" builtinId="9" hidden="1"/>
    <cellStyle name="表示済みのハイパーリンク" xfId="2186" builtinId="9" hidden="1"/>
    <cellStyle name="表示済みのハイパーリンク" xfId="2188" builtinId="9" hidden="1"/>
    <cellStyle name="表示済みのハイパーリンク" xfId="2190" builtinId="9" hidden="1"/>
    <cellStyle name="表示済みのハイパーリンク" xfId="2192" builtinId="9" hidden="1"/>
    <cellStyle name="表示済みのハイパーリンク" xfId="2194" builtinId="9" hidden="1"/>
    <cellStyle name="表示済みのハイパーリンク" xfId="2196" builtinId="9" hidden="1"/>
    <cellStyle name="表示済みのハイパーリンク" xfId="2198" builtinId="9" hidden="1"/>
    <cellStyle name="表示済みのハイパーリンク" xfId="2200" builtinId="9" hidden="1"/>
    <cellStyle name="表示済みのハイパーリンク" xfId="2202" builtinId="9" hidden="1"/>
    <cellStyle name="表示済みのハイパーリンク" xfId="2204" builtinId="9" hidden="1"/>
    <cellStyle name="表示済みのハイパーリンク" xfId="2206" builtinId="9" hidden="1"/>
    <cellStyle name="表示済みのハイパーリンク" xfId="2208" builtinId="9" hidden="1"/>
    <cellStyle name="表示済みのハイパーリンク" xfId="2210" builtinId="9" hidden="1"/>
    <cellStyle name="表示済みのハイパーリンク" xfId="2212" builtinId="9" hidden="1"/>
    <cellStyle name="表示済みのハイパーリンク" xfId="2214" builtinId="9" hidden="1"/>
    <cellStyle name="表示済みのハイパーリンク" xfId="2216" builtinId="9" hidden="1"/>
    <cellStyle name="表示済みのハイパーリンク" xfId="2218" builtinId="9" hidden="1"/>
    <cellStyle name="表示済みのハイパーリンク" xfId="2220" builtinId="9" hidden="1"/>
    <cellStyle name="表示済みのハイパーリンク" xfId="2222" builtinId="9" hidden="1"/>
    <cellStyle name="表示済みのハイパーリンク" xfId="2224" builtinId="9" hidden="1"/>
    <cellStyle name="表示済みのハイパーリンク" xfId="2226" builtinId="9" hidden="1"/>
    <cellStyle name="表示済みのハイパーリンク" xfId="2228" builtinId="9" hidden="1"/>
    <cellStyle name="表示済みのハイパーリンク" xfId="2230" builtinId="9" hidden="1"/>
    <cellStyle name="表示済みのハイパーリンク" xfId="2232" builtinId="9" hidden="1"/>
    <cellStyle name="表示済みのハイパーリンク" xfId="2234" builtinId="9" hidden="1"/>
    <cellStyle name="表示済みのハイパーリンク" xfId="2236" builtinId="9" hidden="1"/>
    <cellStyle name="表示済みのハイパーリンク" xfId="2238" builtinId="9" hidden="1"/>
    <cellStyle name="表示済みのハイパーリンク" xfId="2240" builtinId="9" hidden="1"/>
    <cellStyle name="表示済みのハイパーリンク" xfId="2242" builtinId="9" hidden="1"/>
    <cellStyle name="表示済みのハイパーリンク" xfId="2244" builtinId="9" hidden="1"/>
    <cellStyle name="表示済みのハイパーリンク" xfId="2246" builtinId="9" hidden="1"/>
    <cellStyle name="表示済みのハイパーリンク" xfId="2248" builtinId="9" hidden="1"/>
    <cellStyle name="表示済みのハイパーリンク" xfId="2250" builtinId="9" hidden="1"/>
    <cellStyle name="表示済みのハイパーリンク" xfId="2252" builtinId="9" hidden="1"/>
    <cellStyle name="表示済みのハイパーリンク" xfId="2254" builtinId="9" hidden="1"/>
    <cellStyle name="表示済みのハイパーリンク" xfId="2256" builtinId="9" hidden="1"/>
    <cellStyle name="表示済みのハイパーリンク" xfId="2258" builtinId="9" hidden="1"/>
    <cellStyle name="表示済みのハイパーリンク" xfId="2260" builtinId="9" hidden="1"/>
    <cellStyle name="表示済みのハイパーリンク" xfId="2262" builtinId="9" hidden="1"/>
    <cellStyle name="表示済みのハイパーリンク" xfId="2264" builtinId="9" hidden="1"/>
    <cellStyle name="表示済みのハイパーリンク" xfId="2266" builtinId="9" hidden="1"/>
    <cellStyle name="表示済みのハイパーリンク" xfId="2268" builtinId="9" hidden="1"/>
    <cellStyle name="表示済みのハイパーリンク" xfId="2270" builtinId="9" hidden="1"/>
    <cellStyle name="表示済みのハイパーリンク" xfId="2272" builtinId="9" hidden="1"/>
    <cellStyle name="表示済みのハイパーリンク" xfId="2274" builtinId="9" hidden="1"/>
    <cellStyle name="表示済みのハイパーリンク" xfId="2276" builtinId="9" hidden="1"/>
    <cellStyle name="表示済みのハイパーリンク" xfId="2278" builtinId="9" hidden="1"/>
    <cellStyle name="表示済みのハイパーリンク" xfId="2280" builtinId="9" hidden="1"/>
    <cellStyle name="表示済みのハイパーリンク" xfId="2282" builtinId="9" hidden="1"/>
    <cellStyle name="表示済みのハイパーリンク" xfId="2284" builtinId="9" hidden="1"/>
    <cellStyle name="表示済みのハイパーリンク" xfId="2286" builtinId="9" hidden="1"/>
    <cellStyle name="表示済みのハイパーリンク" xfId="2288" builtinId="9" hidden="1"/>
    <cellStyle name="表示済みのハイパーリンク" xfId="2290" builtinId="9" hidden="1"/>
    <cellStyle name="表示済みのハイパーリンク" xfId="2292" builtinId="9" hidden="1"/>
    <cellStyle name="表示済みのハイパーリンク" xfId="2294" builtinId="9" hidden="1"/>
    <cellStyle name="表示済みのハイパーリンク" xfId="2296" builtinId="9" hidden="1"/>
    <cellStyle name="表示済みのハイパーリンク" xfId="2298" builtinId="9" hidden="1"/>
    <cellStyle name="表示済みのハイパーリンク" xfId="2300" builtinId="9" hidden="1"/>
    <cellStyle name="表示済みのハイパーリンク" xfId="2302" builtinId="9" hidden="1"/>
    <cellStyle name="表示済みのハイパーリンク" xfId="2304" builtinId="9" hidden="1"/>
    <cellStyle name="表示済みのハイパーリンク" xfId="2306" builtinId="9" hidden="1"/>
    <cellStyle name="表示済みのハイパーリンク" xfId="2308" builtinId="9" hidden="1"/>
    <cellStyle name="表示済みのハイパーリンク" xfId="2310" builtinId="9" hidden="1"/>
    <cellStyle name="表示済みのハイパーリンク" xfId="2312" builtinId="9" hidden="1"/>
    <cellStyle name="表示済みのハイパーリンク" xfId="2314" builtinId="9" hidden="1"/>
    <cellStyle name="表示済みのハイパーリンク" xfId="2316" builtinId="9" hidden="1"/>
    <cellStyle name="表示済みのハイパーリンク" xfId="2318" builtinId="9" hidden="1"/>
    <cellStyle name="表示済みのハイパーリンク" xfId="2320" builtinId="9" hidden="1"/>
    <cellStyle name="表示済みのハイパーリンク" xfId="2322" builtinId="9" hidden="1"/>
    <cellStyle name="表示済みのハイパーリンク" xfId="2324" builtinId="9" hidden="1"/>
    <cellStyle name="表示済みのハイパーリンク" xfId="2327" builtinId="9" hidden="1"/>
    <cellStyle name="表示済みのハイパーリンク" xfId="2329" builtinId="9" hidden="1"/>
    <cellStyle name="表示済みのハイパーリンク" xfId="2331" builtinId="9" hidden="1"/>
    <cellStyle name="表示済みのハイパーリンク" xfId="2333" builtinId="9" hidden="1"/>
    <cellStyle name="表示済みのハイパーリンク" xfId="2335" builtinId="9" hidden="1"/>
    <cellStyle name="表示済みのハイパーリンク" xfId="2337" builtinId="9" hidden="1"/>
    <cellStyle name="表示済みのハイパーリンク" xfId="2339" builtinId="9" hidden="1"/>
    <cellStyle name="表示済みのハイパーリンク" xfId="2341" builtinId="9" hidden="1"/>
    <cellStyle name="表示済みのハイパーリンク" xfId="2343" builtinId="9" hidden="1"/>
    <cellStyle name="表示済みのハイパーリンク" xfId="2345" builtinId="9" hidden="1"/>
    <cellStyle name="表示済みのハイパーリンク" xfId="2347" builtinId="9" hidden="1"/>
    <cellStyle name="表示済みのハイパーリンク" xfId="2349" builtinId="9" hidden="1"/>
    <cellStyle name="表示済みのハイパーリンク" xfId="2351" builtinId="9" hidden="1"/>
    <cellStyle name="表示済みのハイパーリンク" xfId="2353" builtinId="9" hidden="1"/>
    <cellStyle name="表示済みのハイパーリンク" xfId="2355" builtinId="9" hidden="1"/>
    <cellStyle name="表示済みのハイパーリンク" xfId="2357" builtinId="9" hidden="1"/>
    <cellStyle name="表示済みのハイパーリンク" xfId="2359" builtinId="9" hidden="1"/>
    <cellStyle name="表示済みのハイパーリンク" xfId="2361" builtinId="9" hidden="1"/>
    <cellStyle name="表示済みのハイパーリンク" xfId="2363" builtinId="9" hidden="1"/>
    <cellStyle name="表示済みのハイパーリンク" xfId="2365" builtinId="9" hidden="1"/>
    <cellStyle name="表示済みのハイパーリンク" xfId="2367" builtinId="9" hidden="1"/>
    <cellStyle name="表示済みのハイパーリンク" xfId="2369" builtinId="9" hidden="1"/>
    <cellStyle name="表示済みのハイパーリンク" xfId="2371" builtinId="9" hidden="1"/>
    <cellStyle name="表示済みのハイパーリンク" xfId="2373" builtinId="9" hidden="1"/>
    <cellStyle name="表示済みのハイパーリンク" xfId="2375" builtinId="9" hidden="1"/>
    <cellStyle name="表示済みのハイパーリンク" xfId="2377" builtinId="9" hidden="1"/>
    <cellStyle name="表示済みのハイパーリンク" xfId="2379" builtinId="9" hidden="1"/>
    <cellStyle name="表示済みのハイパーリンク" xfId="2381" builtinId="9" hidden="1"/>
    <cellStyle name="表示済みのハイパーリンク" xfId="2383" builtinId="9" hidden="1"/>
    <cellStyle name="表示済みのハイパーリンク" xfId="2385" builtinId="9" hidden="1"/>
    <cellStyle name="表示済みのハイパーリンク" xfId="2387" builtinId="9" hidden="1"/>
    <cellStyle name="表示済みのハイパーリンク" xfId="2389" builtinId="9" hidden="1"/>
    <cellStyle name="表示済みのハイパーリンク" xfId="2391" builtinId="9" hidden="1"/>
    <cellStyle name="表示済みのハイパーリンク" xfId="2393" builtinId="9" hidden="1"/>
    <cellStyle name="表示済みのハイパーリンク" xfId="2395" builtinId="9" hidden="1"/>
    <cellStyle name="表示済みのハイパーリンク" xfId="2397" builtinId="9" hidden="1"/>
    <cellStyle name="表示済みのハイパーリンク" xfId="2399" builtinId="9" hidden="1"/>
    <cellStyle name="表示済みのハイパーリンク" xfId="2401" builtinId="9" hidden="1"/>
    <cellStyle name="表示済みのハイパーリンク" xfId="2403" builtinId="9" hidden="1"/>
    <cellStyle name="表示済みのハイパーリンク" xfId="2405" builtinId="9" hidden="1"/>
    <cellStyle name="表示済みのハイパーリンク" xfId="2407" builtinId="9" hidden="1"/>
    <cellStyle name="表示済みのハイパーリンク" xfId="2409" builtinId="9" hidden="1"/>
    <cellStyle name="表示済みのハイパーリンク" xfId="2411" builtinId="9" hidden="1"/>
    <cellStyle name="表示済みのハイパーリンク" xfId="2413" builtinId="9" hidden="1"/>
    <cellStyle name="表示済みのハイパーリンク" xfId="2415" builtinId="9" hidden="1"/>
    <cellStyle name="表示済みのハイパーリンク" xfId="2417" builtinId="9" hidden="1"/>
    <cellStyle name="表示済みのハイパーリンク" xfId="2419" builtinId="9" hidden="1"/>
    <cellStyle name="表示済みのハイパーリンク" xfId="2421" builtinId="9" hidden="1"/>
    <cellStyle name="表示済みのハイパーリンク" xfId="2423" builtinId="9" hidden="1"/>
    <cellStyle name="表示済みのハイパーリンク" xfId="2425" builtinId="9" hidden="1"/>
    <cellStyle name="表示済みのハイパーリンク" xfId="2427" builtinId="9" hidden="1"/>
    <cellStyle name="表示済みのハイパーリンク" xfId="2429" builtinId="9" hidden="1"/>
    <cellStyle name="表示済みのハイパーリンク" xfId="2431" builtinId="9" hidden="1"/>
    <cellStyle name="表示済みのハイパーリンク" xfId="2433" builtinId="9" hidden="1"/>
    <cellStyle name="表示済みのハイパーリンク" xfId="2435" builtinId="9" hidden="1"/>
    <cellStyle name="表示済みのハイパーリンク" xfId="2437" builtinId="9" hidden="1"/>
    <cellStyle name="表示済みのハイパーリンク" xfId="2439" builtinId="9" hidden="1"/>
    <cellStyle name="表示済みのハイパーリンク" xfId="2441" builtinId="9" hidden="1"/>
    <cellStyle name="表示済みのハイパーリンク" xfId="2443" builtinId="9" hidden="1"/>
    <cellStyle name="表示済みのハイパーリンク" xfId="2445" builtinId="9" hidden="1"/>
    <cellStyle name="表示済みのハイパーリンク" xfId="2447" builtinId="9" hidden="1"/>
    <cellStyle name="表示済みのハイパーリンク" xfId="2449" builtinId="9" hidden="1"/>
    <cellStyle name="表示済みのハイパーリンク" xfId="2451" builtinId="9" hidden="1"/>
    <cellStyle name="表示済みのハイパーリンク" xfId="2453" builtinId="9" hidden="1"/>
    <cellStyle name="表示済みのハイパーリンク" xfId="2455" builtinId="9" hidden="1"/>
    <cellStyle name="表示済みのハイパーリンク" xfId="2457" builtinId="9" hidden="1"/>
    <cellStyle name="表示済みのハイパーリンク" xfId="2459" builtinId="9" hidden="1"/>
    <cellStyle name="表示済みのハイパーリンク" xfId="2461" builtinId="9" hidden="1"/>
    <cellStyle name="表示済みのハイパーリンク" xfId="2463" builtinId="9" hidden="1"/>
    <cellStyle name="表示済みのハイパーリンク" xfId="2465" builtinId="9" hidden="1"/>
    <cellStyle name="表示済みのハイパーリンク" xfId="2467" builtinId="9" hidden="1"/>
    <cellStyle name="表示済みのハイパーリンク" xfId="2469" builtinId="9" hidden="1"/>
    <cellStyle name="表示済みのハイパーリンク" xfId="2471" builtinId="9" hidden="1"/>
    <cellStyle name="表示済みのハイパーリンク" xfId="2473" builtinId="9" hidden="1"/>
    <cellStyle name="表示済みのハイパーリンク" xfId="2475" builtinId="9" hidden="1"/>
    <cellStyle name="表示済みのハイパーリンク" xfId="2477" builtinId="9" hidden="1"/>
    <cellStyle name="表示済みのハイパーリンク" xfId="2479" builtinId="9" hidden="1"/>
    <cellStyle name="表示済みのハイパーリンク" xfId="2481" builtinId="9" hidden="1"/>
    <cellStyle name="表示済みのハイパーリンク" xfId="2483" builtinId="9" hidden="1"/>
    <cellStyle name="表示済みのハイパーリンク" xfId="2485" builtinId="9" hidden="1"/>
    <cellStyle name="表示済みのハイパーリンク" xfId="2487" builtinId="9" hidden="1"/>
    <cellStyle name="表示済みのハイパーリンク" xfId="2489" builtinId="9" hidden="1"/>
    <cellStyle name="表示済みのハイパーリンク" xfId="2491" builtinId="9" hidden="1"/>
    <cellStyle name="表示済みのハイパーリンク" xfId="2493" builtinId="9" hidden="1"/>
    <cellStyle name="表示済みのハイパーリンク" xfId="2495" builtinId="9" hidden="1"/>
    <cellStyle name="表示済みのハイパーリンク" xfId="2497" builtinId="9" hidden="1"/>
    <cellStyle name="表示済みのハイパーリンク" xfId="2499" builtinId="9" hidden="1"/>
    <cellStyle name="表示済みのハイパーリンク" xfId="2501" builtinId="9" hidden="1"/>
    <cellStyle name="表示済みのハイパーリンク" xfId="2503" builtinId="9" hidden="1"/>
    <cellStyle name="表示済みのハイパーリンク" xfId="2505" builtinId="9" hidden="1"/>
    <cellStyle name="表示済みのハイパーリンク" xfId="2507" builtinId="9" hidden="1"/>
    <cellStyle name="表示済みのハイパーリンク" xfId="2509" builtinId="9" hidden="1"/>
    <cellStyle name="表示済みのハイパーリンク" xfId="2511" builtinId="9" hidden="1"/>
    <cellStyle name="表示済みのハイパーリンク" xfId="2513" builtinId="9" hidden="1"/>
    <cellStyle name="表示済みのハイパーリンク" xfId="2515" builtinId="9" hidden="1"/>
    <cellStyle name="表示済みのハイパーリンク" xfId="2517" builtinId="9" hidden="1"/>
    <cellStyle name="表示済みのハイパーリンク" xfId="2519" builtinId="9" hidden="1"/>
    <cellStyle name="表示済みのハイパーリンク" xfId="2521" builtinId="9" hidden="1"/>
    <cellStyle name="表示済みのハイパーリンク" xfId="2523" builtinId="9" hidden="1"/>
    <cellStyle name="表示済みのハイパーリンク" xfId="2525" builtinId="9" hidden="1"/>
    <cellStyle name="表示済みのハイパーリンク" xfId="2527" builtinId="9" hidden="1"/>
    <cellStyle name="表示済みのハイパーリンク" xfId="2529" builtinId="9" hidden="1"/>
    <cellStyle name="表示済みのハイパーリンク" xfId="2531" builtinId="9" hidden="1"/>
    <cellStyle name="表示済みのハイパーリンク" xfId="2533" builtinId="9" hidden="1"/>
    <cellStyle name="表示済みのハイパーリンク" xfId="2535" builtinId="9" hidden="1"/>
    <cellStyle name="表示済みのハイパーリンク" xfId="2537" builtinId="9" hidden="1"/>
    <cellStyle name="表示済みのハイパーリンク" xfId="2539" builtinId="9" hidden="1"/>
    <cellStyle name="表示済みのハイパーリンク" xfId="2541" builtinId="9" hidden="1"/>
    <cellStyle name="表示済みのハイパーリンク" xfId="2543" builtinId="9" hidden="1"/>
    <cellStyle name="表示済みのハイパーリンク" xfId="2545" builtinId="9" hidden="1"/>
    <cellStyle name="表示済みのハイパーリンク" xfId="2547" builtinId="9" hidden="1"/>
    <cellStyle name="表示済みのハイパーリンク" xfId="2549" builtinId="9" hidden="1"/>
    <cellStyle name="表示済みのハイパーリンク" xfId="2551" builtinId="9" hidden="1"/>
    <cellStyle name="表示済みのハイパーリンク" xfId="2553" builtinId="9" hidden="1"/>
    <cellStyle name="表示済みのハイパーリンク" xfId="2555" builtinId="9" hidden="1"/>
    <cellStyle name="表示済みのハイパーリンク" xfId="2557" builtinId="9" hidden="1"/>
    <cellStyle name="表示済みのハイパーリンク" xfId="2559" builtinId="9" hidden="1"/>
    <cellStyle name="表示済みのハイパーリンク" xfId="2561" builtinId="9" hidden="1"/>
    <cellStyle name="表示済みのハイパーリンク" xfId="2563" builtinId="9" hidden="1"/>
    <cellStyle name="表示済みのハイパーリンク" xfId="2565" builtinId="9" hidden="1"/>
    <cellStyle name="表示済みのハイパーリンク" xfId="2567" builtinId="9" hidden="1"/>
    <cellStyle name="表示済みのハイパーリンク" xfId="2569" builtinId="9" hidden="1"/>
    <cellStyle name="表示済みのハイパーリンク" xfId="2571" builtinId="9" hidden="1"/>
    <cellStyle name="表示済みのハイパーリンク" xfId="2573" builtinId="9" hidden="1"/>
    <cellStyle name="表示済みのハイパーリンク" xfId="2575" builtinId="9" hidden="1"/>
    <cellStyle name="表示済みのハイパーリンク" xfId="2577" builtinId="9" hidden="1"/>
    <cellStyle name="表示済みのハイパーリンク" xfId="2579" builtinId="9" hidden="1"/>
    <cellStyle name="表示済みのハイパーリンク" xfId="2581" builtinId="9" hidden="1"/>
    <cellStyle name="表示済みのハイパーリンク" xfId="2583" builtinId="9" hidden="1"/>
    <cellStyle name="表示済みのハイパーリンク" xfId="2585" builtinId="9" hidden="1"/>
    <cellStyle name="表示済みのハイパーリンク" xfId="2587" builtinId="9" hidden="1"/>
    <cellStyle name="表示済みのハイパーリンク" xfId="2589" builtinId="9" hidden="1"/>
    <cellStyle name="表示済みのハイパーリンク" xfId="2591" builtinId="9" hidden="1"/>
    <cellStyle name="表示済みのハイパーリンク" xfId="2593" builtinId="9" hidden="1"/>
    <cellStyle name="表示済みのハイパーリンク" xfId="2595" builtinId="9" hidden="1"/>
    <cellStyle name="表示済みのハイパーリンク" xfId="2597" builtinId="9" hidden="1"/>
    <cellStyle name="表示済みのハイパーリンク" xfId="2599" builtinId="9" hidden="1"/>
    <cellStyle name="表示済みのハイパーリンク" xfId="2601" builtinId="9" hidden="1"/>
    <cellStyle name="表示済みのハイパーリンク" xfId="2603" builtinId="9" hidden="1"/>
    <cellStyle name="表示済みのハイパーリンク" xfId="2605" builtinId="9" hidden="1"/>
    <cellStyle name="表示済みのハイパーリンク" xfId="2607" builtinId="9" hidden="1"/>
    <cellStyle name="表示済みのハイパーリンク" xfId="2609" builtinId="9" hidden="1"/>
    <cellStyle name="表示済みのハイパーリンク" xfId="2611" builtinId="9" hidden="1"/>
    <cellStyle name="表示済みのハイパーリンク" xfId="2613" builtinId="9" hidden="1"/>
    <cellStyle name="表示済みのハイパーリンク" xfId="2615" builtinId="9" hidden="1"/>
    <cellStyle name="表示済みのハイパーリンク" xfId="2617" builtinId="9" hidden="1"/>
    <cellStyle name="表示済みのハイパーリンク" xfId="2619" builtinId="9" hidden="1"/>
    <cellStyle name="表示済みのハイパーリンク" xfId="2621" builtinId="9" hidden="1"/>
    <cellStyle name="表示済みのハイパーリンク" xfId="2623" builtinId="9" hidden="1"/>
    <cellStyle name="表示済みのハイパーリンク" xfId="2625" builtinId="9" hidden="1"/>
    <cellStyle name="表示済みのハイパーリンク" xfId="2627" builtinId="9" hidden="1"/>
    <cellStyle name="表示済みのハイパーリンク" xfId="2629" builtinId="9" hidden="1"/>
    <cellStyle name="表示済みのハイパーリンク" xfId="2631" builtinId="9" hidden="1"/>
    <cellStyle name="表示済みのハイパーリンク" xfId="2633" builtinId="9" hidden="1"/>
    <cellStyle name="表示済みのハイパーリンク" xfId="2635" builtinId="9" hidden="1"/>
    <cellStyle name="表示済みのハイパーリンク" xfId="2637" builtinId="9" hidden="1"/>
    <cellStyle name="表示済みのハイパーリンク" xfId="2639" builtinId="9" hidden="1"/>
    <cellStyle name="表示済みのハイパーリンク" xfId="2641" builtinId="9" hidden="1"/>
    <cellStyle name="表示済みのハイパーリンク" xfId="2643" builtinId="9" hidden="1"/>
    <cellStyle name="表示済みのハイパーリンク" xfId="2645" builtinId="9" hidden="1"/>
    <cellStyle name="表示済みのハイパーリンク" xfId="2647" builtinId="9" hidden="1"/>
    <cellStyle name="表示済みのハイパーリンク" xfId="2649" builtinId="9" hidden="1"/>
    <cellStyle name="表示済みのハイパーリンク" xfId="2651" builtinId="9" hidden="1"/>
    <cellStyle name="表示済みのハイパーリンク" xfId="2653" builtinId="9" hidden="1"/>
    <cellStyle name="表示済みのハイパーリンク" xfId="2655" builtinId="9" hidden="1"/>
    <cellStyle name="表示済みのハイパーリンク" xfId="2657" builtinId="9" hidden="1"/>
    <cellStyle name="表示済みのハイパーリンク" xfId="2659" builtinId="9" hidden="1"/>
    <cellStyle name="表示済みのハイパーリンク" xfId="2661" builtinId="9" hidden="1"/>
    <cellStyle name="表示済みのハイパーリンク" xfId="2663" builtinId="9" hidden="1"/>
    <cellStyle name="表示済みのハイパーリンク" xfId="2665" builtinId="9" hidden="1"/>
    <cellStyle name="表示済みのハイパーリンク" xfId="2667" builtinId="9" hidden="1"/>
    <cellStyle name="表示済みのハイパーリンク" xfId="2669" builtinId="9" hidden="1"/>
    <cellStyle name="表示済みのハイパーリンク" xfId="2671" builtinId="9" hidden="1"/>
    <cellStyle name="表示済みのハイパーリンク" xfId="2673" builtinId="9" hidden="1"/>
    <cellStyle name="表示済みのハイパーリンク" xfId="2678" builtinId="9" hidden="1"/>
    <cellStyle name="表示済みのハイパーリンク" xfId="2680" builtinId="9" hidden="1"/>
    <cellStyle name="表示済みのハイパーリンク" xfId="2682" builtinId="9" hidden="1"/>
    <cellStyle name="表示済みのハイパーリンク" xfId="2684" builtinId="9" hidden="1"/>
    <cellStyle name="表示済みのハイパーリンク" xfId="2686" builtinId="9" hidden="1"/>
    <cellStyle name="表示済みのハイパーリンク" xfId="2688" builtinId="9" hidden="1"/>
    <cellStyle name="表示済みのハイパーリンク" xfId="2690" builtinId="9" hidden="1"/>
    <cellStyle name="表示済みのハイパーリンク" xfId="2692" builtinId="9" hidden="1"/>
    <cellStyle name="表示済みのハイパーリンク" xfId="2694" builtinId="9" hidden="1"/>
    <cellStyle name="表示済みのハイパーリンク" xfId="2696" builtinId="9" hidden="1"/>
    <cellStyle name="表示済みのハイパーリンク" xfId="2698" builtinId="9" hidden="1"/>
    <cellStyle name="表示済みのハイパーリンク" xfId="2700" builtinId="9" hidden="1"/>
    <cellStyle name="表示済みのハイパーリンク" xfId="2702" builtinId="9" hidden="1"/>
    <cellStyle name="表示済みのハイパーリンク" xfId="2704" builtinId="9" hidden="1"/>
    <cellStyle name="表示済みのハイパーリンク" xfId="2706" builtinId="9" hidden="1"/>
    <cellStyle name="表示済みのハイパーリンク" xfId="2708" builtinId="9" hidden="1"/>
    <cellStyle name="表示済みのハイパーリンク" xfId="2710" builtinId="9" hidden="1"/>
    <cellStyle name="表示済みのハイパーリンク" xfId="2712" builtinId="9" hidden="1"/>
    <cellStyle name="表示済みのハイパーリンク" xfId="2714" builtinId="9" hidden="1"/>
    <cellStyle name="表示済みのハイパーリンク" xfId="2716" builtinId="9" hidden="1"/>
    <cellStyle name="表示済みのハイパーリンク" xfId="2718" builtinId="9" hidden="1"/>
    <cellStyle name="表示済みのハイパーリンク" xfId="2720" builtinId="9" hidden="1"/>
    <cellStyle name="表示済みのハイパーリンク" xfId="2722" builtinId="9" hidden="1"/>
    <cellStyle name="表示済みのハイパーリンク" xfId="2724" builtinId="9" hidden="1"/>
    <cellStyle name="表示済みのハイパーリンク" xfId="2726" builtinId="9" hidden="1"/>
    <cellStyle name="表示済みのハイパーリンク" xfId="2728" builtinId="9" hidden="1"/>
    <cellStyle name="表示済みのハイパーリンク" xfId="2730" builtinId="9" hidden="1"/>
    <cellStyle name="表示済みのハイパーリンク" xfId="2732" builtinId="9" hidden="1"/>
    <cellStyle name="表示済みのハイパーリンク" xfId="2734" builtinId="9" hidden="1"/>
    <cellStyle name="表示済みのハイパーリンク" xfId="2736" builtinId="9" hidden="1"/>
    <cellStyle name="表示済みのハイパーリンク" xfId="2738" builtinId="9" hidden="1"/>
    <cellStyle name="表示済みのハイパーリンク" xfId="2740" builtinId="9" hidden="1"/>
    <cellStyle name="表示済みのハイパーリンク" xfId="2742" builtinId="9" hidden="1"/>
    <cellStyle name="表示済みのハイパーリンク" xfId="2744" builtinId="9" hidden="1"/>
    <cellStyle name="表示済みのハイパーリンク" xfId="2746" builtinId="9" hidden="1"/>
    <cellStyle name="表示済みのハイパーリンク" xfId="2748" builtinId="9" hidden="1"/>
    <cellStyle name="表示済みのハイパーリンク" xfId="2750" builtinId="9" hidden="1"/>
    <cellStyle name="表示済みのハイパーリンク" xfId="2752" builtinId="9" hidden="1"/>
    <cellStyle name="表示済みのハイパーリンク" xfId="2754" builtinId="9" hidden="1"/>
    <cellStyle name="表示済みのハイパーリンク" xfId="2756" builtinId="9" hidden="1"/>
    <cellStyle name="表示済みのハイパーリンク" xfId="2758" builtinId="9" hidden="1"/>
    <cellStyle name="表示済みのハイパーリンク" xfId="2760" builtinId="9" hidden="1"/>
    <cellStyle name="表示済みのハイパーリンク" xfId="2762" builtinId="9" hidden="1"/>
    <cellStyle name="表示済みのハイパーリンク" xfId="2764" builtinId="9" hidden="1"/>
    <cellStyle name="表示済みのハイパーリンク" xfId="2766" builtinId="9" hidden="1"/>
    <cellStyle name="表示済みのハイパーリンク" xfId="2768" builtinId="9" hidden="1"/>
    <cellStyle name="表示済みのハイパーリンク" xfId="2770" builtinId="9" hidden="1"/>
    <cellStyle name="表示済みのハイパーリンク" xfId="2772" builtinId="9" hidden="1"/>
    <cellStyle name="表示済みのハイパーリンク" xfId="2774" builtinId="9" hidden="1"/>
    <cellStyle name="表示済みのハイパーリンク" xfId="2776" builtinId="9" hidden="1"/>
    <cellStyle name="表示済みのハイパーリンク" xfId="2778" builtinId="9" hidden="1"/>
    <cellStyle name="表示済みのハイパーリンク" xfId="2780" builtinId="9" hidden="1"/>
    <cellStyle name="表示済みのハイパーリンク" xfId="2782" builtinId="9" hidden="1"/>
    <cellStyle name="表示済みのハイパーリンク" xfId="2784" builtinId="9" hidden="1"/>
    <cellStyle name="表示済みのハイパーリンク" xfId="2786" builtinId="9" hidden="1"/>
    <cellStyle name="表示済みのハイパーリンク" xfId="2788" builtinId="9" hidden="1"/>
    <cellStyle name="表示済みのハイパーリンク" xfId="2790" builtinId="9" hidden="1"/>
    <cellStyle name="表示済みのハイパーリンク" xfId="2792" builtinId="9" hidden="1"/>
    <cellStyle name="表示済みのハイパーリンク" xfId="2794" builtinId="9" hidden="1"/>
    <cellStyle name="表示済みのハイパーリンク" xfId="2796" builtinId="9" hidden="1"/>
    <cellStyle name="表示済みのハイパーリンク" xfId="2798" builtinId="9" hidden="1"/>
    <cellStyle name="表示済みのハイパーリンク" xfId="2800" builtinId="9" hidden="1"/>
    <cellStyle name="表示済みのハイパーリンク" xfId="2802" builtinId="9" hidden="1"/>
    <cellStyle name="表示済みのハイパーリンク" xfId="2804" builtinId="9" hidden="1"/>
    <cellStyle name="表示済みのハイパーリンク" xfId="2806" builtinId="9" hidden="1"/>
    <cellStyle name="表示済みのハイパーリンク" xfId="2808" builtinId="9" hidden="1"/>
    <cellStyle name="表示済みのハイパーリンク" xfId="2810" builtinId="9" hidden="1"/>
    <cellStyle name="表示済みのハイパーリンク" xfId="2812" builtinId="9" hidden="1"/>
    <cellStyle name="表示済みのハイパーリンク" xfId="2814" builtinId="9" hidden="1"/>
    <cellStyle name="表示済みのハイパーリンク" xfId="2816" builtinId="9" hidden="1"/>
    <cellStyle name="表示済みのハイパーリンク" xfId="2818" builtinId="9" hidden="1"/>
    <cellStyle name="表示済みのハイパーリンク" xfId="2820" builtinId="9" hidden="1"/>
    <cellStyle name="表示済みのハイパーリンク" xfId="2822" builtinId="9" hidden="1"/>
    <cellStyle name="表示済みのハイパーリンク" xfId="2824" builtinId="9" hidden="1"/>
    <cellStyle name="表示済みのハイパーリンク" xfId="2826" builtinId="9" hidden="1"/>
    <cellStyle name="表示済みのハイパーリンク" xfId="2828" builtinId="9" hidden="1"/>
    <cellStyle name="表示済みのハイパーリンク" xfId="2830" builtinId="9" hidden="1"/>
    <cellStyle name="表示済みのハイパーリンク" xfId="2832" builtinId="9" hidden="1"/>
    <cellStyle name="表示済みのハイパーリンク" xfId="2834" builtinId="9" hidden="1"/>
    <cellStyle name="表示済みのハイパーリンク" xfId="2836" builtinId="9" hidden="1"/>
    <cellStyle name="表示済みのハイパーリンク" xfId="2838" builtinId="9" hidden="1"/>
    <cellStyle name="表示済みのハイパーリンク" xfId="2840" builtinId="9" hidden="1"/>
    <cellStyle name="表示済みのハイパーリンク" xfId="2842" builtinId="9" hidden="1"/>
    <cellStyle name="表示済みのハイパーリンク" xfId="2844" builtinId="9" hidden="1"/>
    <cellStyle name="表示済みのハイパーリンク" xfId="2846" builtinId="9" hidden="1"/>
    <cellStyle name="表示済みのハイパーリンク" xfId="2848" builtinId="9" hidden="1"/>
    <cellStyle name="表示済みのハイパーリンク" xfId="2850" builtinId="9" hidden="1"/>
    <cellStyle name="表示済みのハイパーリンク" xfId="2852" builtinId="9" hidden="1"/>
    <cellStyle name="表示済みのハイパーリンク" xfId="2854" builtinId="9" hidden="1"/>
    <cellStyle name="表示済みのハイパーリンク" xfId="2856" builtinId="9" hidden="1"/>
    <cellStyle name="表示済みのハイパーリンク" xfId="2858" builtinId="9" hidden="1"/>
    <cellStyle name="表示済みのハイパーリンク" xfId="2860" builtinId="9" hidden="1"/>
    <cellStyle name="表示済みのハイパーリンク" xfId="2862" builtinId="9" hidden="1"/>
    <cellStyle name="表示済みのハイパーリンク" xfId="2864" builtinId="9" hidden="1"/>
    <cellStyle name="表示済みのハイパーリンク" xfId="2866" builtinId="9" hidden="1"/>
    <cellStyle name="表示済みのハイパーリンク" xfId="2868" builtinId="9" hidden="1"/>
    <cellStyle name="表示済みのハイパーリンク" xfId="2870" builtinId="9" hidden="1"/>
    <cellStyle name="表示済みのハイパーリンク" xfId="2872" builtinId="9" hidden="1"/>
    <cellStyle name="表示済みのハイパーリンク" xfId="2874" builtinId="9" hidden="1"/>
    <cellStyle name="表示済みのハイパーリンク" xfId="2876" builtinId="9" hidden="1"/>
    <cellStyle name="表示済みのハイパーリンク" xfId="2878" builtinId="9" hidden="1"/>
    <cellStyle name="表示済みのハイパーリンク" xfId="2880" builtinId="9" hidden="1"/>
    <cellStyle name="表示済みのハイパーリンク" xfId="2882" builtinId="9" hidden="1"/>
    <cellStyle name="表示済みのハイパーリンク" xfId="2884" builtinId="9" hidden="1"/>
    <cellStyle name="表示済みのハイパーリンク" xfId="2886" builtinId="9" hidden="1"/>
    <cellStyle name="表示済みのハイパーリンク" xfId="2888" builtinId="9" hidden="1"/>
    <cellStyle name="表示済みのハイパーリンク" xfId="2890" builtinId="9" hidden="1"/>
    <cellStyle name="表示済みのハイパーリンク" xfId="2892" builtinId="9" hidden="1"/>
    <cellStyle name="表示済みのハイパーリンク" xfId="2894" builtinId="9" hidden="1"/>
    <cellStyle name="表示済みのハイパーリンク" xfId="2896" builtinId="9" hidden="1"/>
    <cellStyle name="表示済みのハイパーリンク" xfId="2898" builtinId="9" hidden="1"/>
    <cellStyle name="表示済みのハイパーリンク" xfId="2900" builtinId="9" hidden="1"/>
    <cellStyle name="表示済みのハイパーリンク" xfId="2902" builtinId="9" hidden="1"/>
    <cellStyle name="表示済みのハイパーリンク" xfId="2904" builtinId="9" hidden="1"/>
    <cellStyle name="表示済みのハイパーリンク" xfId="2906" builtinId="9" hidden="1"/>
    <cellStyle name="表示済みのハイパーリンク" xfId="2908" builtinId="9" hidden="1"/>
    <cellStyle name="表示済みのハイパーリンク" xfId="2910" builtinId="9" hidden="1"/>
    <cellStyle name="表示済みのハイパーリンク" xfId="2912" builtinId="9" hidden="1"/>
    <cellStyle name="表示済みのハイパーリンク" xfId="2914" builtinId="9" hidden="1"/>
    <cellStyle name="表示済みのハイパーリンク" xfId="2916" builtinId="9" hidden="1"/>
    <cellStyle name="表示済みのハイパーリンク" xfId="2918" builtinId="9" hidden="1"/>
    <cellStyle name="表示済みのハイパーリンク" xfId="2920" builtinId="9" hidden="1"/>
    <cellStyle name="表示済みのハイパーリンク" xfId="2922" builtinId="9" hidden="1"/>
    <cellStyle name="表示済みのハイパーリンク" xfId="2924" builtinId="9" hidden="1"/>
    <cellStyle name="表示済みのハイパーリンク" xfId="2926" builtinId="9" hidden="1"/>
    <cellStyle name="表示済みのハイパーリンク" xfId="2928" builtinId="9" hidden="1"/>
    <cellStyle name="表示済みのハイパーリンク" xfId="2930" builtinId="9" hidden="1"/>
    <cellStyle name="表示済みのハイパーリンク" xfId="2932" builtinId="9" hidden="1"/>
    <cellStyle name="表示済みのハイパーリンク" xfId="2934" builtinId="9" hidden="1"/>
    <cellStyle name="表示済みのハイパーリンク" xfId="2936" builtinId="9" hidden="1"/>
    <cellStyle name="表示済みのハイパーリンク" xfId="2938" builtinId="9" hidden="1"/>
    <cellStyle name="表示済みのハイパーリンク" xfId="2940" builtinId="9" hidden="1"/>
    <cellStyle name="表示済みのハイパーリンク" xfId="2942" builtinId="9" hidden="1"/>
    <cellStyle name="表示済みのハイパーリンク" xfId="2944" builtinId="9" hidden="1"/>
    <cellStyle name="表示済みのハイパーリンク" xfId="2946" builtinId="9" hidden="1"/>
    <cellStyle name="表示済みのハイパーリンク" xfId="2948" builtinId="9" hidden="1"/>
    <cellStyle name="表示済みのハイパーリンク" xfId="2950" builtinId="9" hidden="1"/>
    <cellStyle name="表示済みのハイパーリンク" xfId="2953" builtinId="9" hidden="1"/>
    <cellStyle name="表示済みのハイパーリンク" xfId="2955" builtinId="9" hidden="1"/>
    <cellStyle name="表示済みのハイパーリンク" xfId="2957" builtinId="9" hidden="1"/>
    <cellStyle name="表示済みのハイパーリンク" xfId="2959" builtinId="9" hidden="1"/>
    <cellStyle name="表示済みのハイパーリンク" xfId="2961" builtinId="9" hidden="1"/>
    <cellStyle name="表示済みのハイパーリンク" xfId="2963" builtinId="9" hidden="1"/>
    <cellStyle name="表示済みのハイパーリンク" xfId="2965" builtinId="9" hidden="1"/>
    <cellStyle name="表示済みのハイパーリンク" xfId="2967" builtinId="9" hidden="1"/>
    <cellStyle name="良い" xfId="2325" builtinId="26"/>
  </cellStyles>
  <dxfs count="10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 b="1" i="0" u="none" strike="noStrike" baseline="0">
                <a:effectLst/>
              </a:rPr>
              <a:t>O</a:t>
            </a:r>
            <a:r>
              <a:rPr lang="id-ID" altLang="ja-JP" sz="1800" b="1" i="0" u="none" strike="noStrike" baseline="0">
                <a:effectLst/>
              </a:rPr>
              <a:t>ksidasi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Results!$A$31</c:f>
              <c:strCache>
                <c:ptCount val="1"/>
                <c:pt idx="0">
                  <c:v>Pengolahan limbah padat</c:v>
                </c:pt>
              </c:strCache>
            </c:strRef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Results!$D$31:$E$31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Results!$A$30</c:f>
              <c:strCache>
                <c:ptCount val="1"/>
                <c:pt idx="0">
                  <c:v>Pengolahan limbah cair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Results!$D$30:$E$30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Results!$A$29</c:f>
              <c:strCache>
                <c:ptCount val="1"/>
                <c:pt idx="0">
                  <c:v>Proses produksi minyak CPO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Results!$D$29:$E$29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511280"/>
        <c:axId val="278508144"/>
      </c:barChart>
      <c:catAx>
        <c:axId val="27851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508144"/>
        <c:crosses val="autoZero"/>
        <c:auto val="1"/>
        <c:lblAlgn val="ctr"/>
        <c:lblOffset val="100"/>
        <c:noMultiLvlLbl val="0"/>
      </c:catAx>
      <c:valAx>
        <c:axId val="278508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(tSO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7851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340334139381780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 b="1" i="0" u="none" strike="noStrike" baseline="0">
                <a:effectLst/>
              </a:rPr>
              <a:t>E</a:t>
            </a:r>
            <a:r>
              <a:rPr lang="id-ID" altLang="ja-JP" sz="1800" b="1" i="0" u="none" strike="noStrike" baseline="0">
                <a:effectLst/>
              </a:rPr>
              <a:t>utrofikasi</a:t>
            </a:r>
            <a:r>
              <a:rPr lang="en-US" altLang="ja-JP" sz="1800" b="1" i="0" u="none" strike="noStrike" baseline="0"/>
              <a:t> 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Results!$A$31</c:f>
              <c:strCache>
                <c:ptCount val="1"/>
                <c:pt idx="0">
                  <c:v>Pengolahan limbah padat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Results!$F$31:$G$31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Results!$A$30</c:f>
              <c:strCache>
                <c:ptCount val="1"/>
                <c:pt idx="0">
                  <c:v>Pengolahan limbah cair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Results!$F$30:$G$30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Results!$A$29</c:f>
              <c:strCache>
                <c:ptCount val="1"/>
                <c:pt idx="0">
                  <c:v>Proses produksi minyak CPO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Results!$F$29:$G$29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510496"/>
        <c:axId val="278510104"/>
      </c:barChart>
      <c:catAx>
        <c:axId val="27851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510104"/>
        <c:crosses val="autoZero"/>
        <c:auto val="1"/>
        <c:lblAlgn val="ctr"/>
        <c:lblOffset val="100"/>
        <c:noMultiLvlLbl val="0"/>
      </c:catAx>
      <c:valAx>
        <c:axId val="278510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(tons)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7851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340334139381780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/>
              <a:t>Pemanasan global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Results!$A$31</c:f>
              <c:strCache>
                <c:ptCount val="1"/>
                <c:pt idx="0">
                  <c:v>Pengolahan limbah padat</c:v>
                </c:pt>
              </c:strCache>
            </c:strRef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Results!$B$31:$C$31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Results!$A$30</c:f>
              <c:strCache>
                <c:ptCount val="1"/>
                <c:pt idx="0">
                  <c:v>Pengolahan limbah cair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Results!$B$30:$C$30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Results!$A$29</c:f>
              <c:strCache>
                <c:ptCount val="1"/>
                <c:pt idx="0">
                  <c:v>Proses produksi minyak CPO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Results!$B$29:$C$29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62120"/>
        <c:axId val="281613880"/>
      </c:barChart>
      <c:catAx>
        <c:axId val="21306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613880"/>
        <c:crosses val="autoZero"/>
        <c:auto val="1"/>
        <c:lblAlgn val="ctr"/>
        <c:lblOffset val="100"/>
        <c:noMultiLvlLbl val="0"/>
      </c:catAx>
      <c:valAx>
        <c:axId val="281613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(tCO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13062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3530629148214813"/>
          <c:h val="0.37074192750649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 b="1" i="0" u="none" strike="noStrike" baseline="0">
                <a:effectLst/>
              </a:rPr>
              <a:t>O</a:t>
            </a:r>
            <a:r>
              <a:rPr lang="id-ID" altLang="ja-JP" sz="1800" b="1" i="0" u="none" strike="noStrike" baseline="0">
                <a:effectLst/>
              </a:rPr>
              <a:t>ksidasi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Results!$A$31</c:f>
              <c:strCache>
                <c:ptCount val="1"/>
                <c:pt idx="0">
                  <c:v>Pengolahan limbah padat</c:v>
                </c:pt>
              </c:strCache>
            </c:strRef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Results!$D$40:$E$40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Results!$A$30</c:f>
              <c:strCache>
                <c:ptCount val="1"/>
                <c:pt idx="0">
                  <c:v>Pengolahan limbah cair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Results!$D$39:$E$39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Results!$A$29</c:f>
              <c:strCache>
                <c:ptCount val="1"/>
                <c:pt idx="0">
                  <c:v>Proses produksi minyak CPO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Results!$D$38:$E$38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614664"/>
        <c:axId val="281615056"/>
      </c:barChart>
      <c:catAx>
        <c:axId val="281614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615056"/>
        <c:crosses val="autoZero"/>
        <c:auto val="1"/>
        <c:lblAlgn val="ctr"/>
        <c:lblOffset val="100"/>
        <c:noMultiLvlLbl val="0"/>
      </c:catAx>
      <c:valAx>
        <c:axId val="28161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(tSO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-eq/CPO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81614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340334139381780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 b="1" i="0" u="none" strike="noStrike" baseline="0">
                <a:effectLst/>
              </a:rPr>
              <a:t>E</a:t>
            </a:r>
            <a:r>
              <a:rPr lang="id-ID" altLang="ja-JP" sz="1800" b="1" i="0" u="none" strike="noStrike" baseline="0">
                <a:effectLst/>
              </a:rPr>
              <a:t>utrofikasi</a:t>
            </a:r>
            <a:r>
              <a:rPr lang="en-US" altLang="ja-JP" sz="1800" b="1" i="0" u="none" strike="noStrike" baseline="0"/>
              <a:t> 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Results!$A$31</c:f>
              <c:strCache>
                <c:ptCount val="1"/>
                <c:pt idx="0">
                  <c:v>Pengolahan limbah padat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Results!$F$40:$G$40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Results!$A$30</c:f>
              <c:strCache>
                <c:ptCount val="1"/>
                <c:pt idx="0">
                  <c:v>Pengolahan limbah cair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Results!$F$39:$G$39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Results!$A$29</c:f>
              <c:strCache>
                <c:ptCount val="1"/>
                <c:pt idx="0">
                  <c:v>Proses produksi minyak CPO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Results!$F$38:$G$38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755472"/>
        <c:axId val="281755864"/>
      </c:barChart>
      <c:catAx>
        <c:axId val="28175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755864"/>
        <c:crosses val="autoZero"/>
        <c:auto val="1"/>
        <c:lblAlgn val="ctr"/>
        <c:lblOffset val="100"/>
        <c:noMultiLvlLbl val="0"/>
      </c:catAx>
      <c:valAx>
        <c:axId val="281755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(tons/CPO)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8175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2408606757176001"/>
          <c:h val="0.340334139381780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altLang="ja-JP" sz="1800"/>
              <a:t>Pemanasan global</a:t>
            </a:r>
            <a:endParaRPr lang="ja-JP" alt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07147970140101"/>
          <c:y val="0.15197743215064399"/>
          <c:w val="0.47160065592176198"/>
          <c:h val="0.743326097858274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Results!$A$31</c:f>
              <c:strCache>
                <c:ptCount val="1"/>
                <c:pt idx="0">
                  <c:v>Pengolahan limbah padat</c:v>
                </c:pt>
              </c:strCache>
            </c:strRef>
          </c:tx>
          <c:spPr>
            <a:solidFill>
              <a:srgbClr val="FFA466"/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Results!$B$40:$C$40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Results!$A$30</c:f>
              <c:strCache>
                <c:ptCount val="1"/>
                <c:pt idx="0">
                  <c:v>Pengolahan limbah cair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Results!$B$39:$C$39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Results!$A$29</c:f>
              <c:strCache>
                <c:ptCount val="1"/>
                <c:pt idx="0">
                  <c:v>Proses produksi minyak CPO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Results!$B$28:$C$28</c:f>
              <c:strCache>
                <c:ptCount val="2"/>
                <c:pt idx="0">
                  <c:v>No treatment</c:v>
                </c:pt>
                <c:pt idx="1">
                  <c:v>Actual</c:v>
                </c:pt>
              </c:strCache>
            </c:strRef>
          </c:cat>
          <c:val>
            <c:numRef>
              <c:f>Results!$B$38:$C$38</c:f>
              <c:numCache>
                <c:formatCode>#,##0.000;[Red]\-#,##0.000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756648"/>
        <c:axId val="281757040"/>
      </c:barChart>
      <c:catAx>
        <c:axId val="28175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757040"/>
        <c:crosses val="autoZero"/>
        <c:auto val="1"/>
        <c:lblAlgn val="ctr"/>
        <c:lblOffset val="100"/>
        <c:noMultiLvlLbl val="0"/>
      </c:catAx>
      <c:valAx>
        <c:axId val="28175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 (tCO</a:t>
                </a:r>
                <a:r>
                  <a:rPr lang="en-US" baseline="-25000"/>
                  <a:t>2</a:t>
                </a:r>
                <a:r>
                  <a:rPr lang="en-US" altLang="ja-JP" sz="1400" b="1" i="0" u="none" strike="noStrike" baseline="0">
                    <a:effectLst/>
                  </a:rPr>
                  <a:t>-eq/CPO</a:t>
                </a:r>
                <a:r>
                  <a:rPr lang="en-US" altLang="ja-JP" sz="1400" b="1" i="0" u="none" strike="noStrike" baseline="0"/>
                  <a:t> 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81756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9804109852105"/>
          <c:y val="0.18378924225380899"/>
          <c:w val="0.33530629148214813"/>
          <c:h val="0.37074192750649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</xdr:rowOff>
    </xdr:from>
    <xdr:to>
      <xdr:col>7</xdr:col>
      <xdr:colOff>0</xdr:colOff>
      <xdr:row>46</xdr:row>
      <xdr:rowOff>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1</xdr:rowOff>
    </xdr:from>
    <xdr:to>
      <xdr:col>7</xdr:col>
      <xdr:colOff>0</xdr:colOff>
      <xdr:row>68</xdr:row>
      <xdr:rowOff>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23</xdr:row>
      <xdr:rowOff>177799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24</xdr:row>
      <xdr:rowOff>1</xdr:rowOff>
    </xdr:from>
    <xdr:to>
      <xdr:col>15</xdr:col>
      <xdr:colOff>0</xdr:colOff>
      <xdr:row>46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46</xdr:row>
      <xdr:rowOff>1</xdr:rowOff>
    </xdr:from>
    <xdr:to>
      <xdr:col>15</xdr:col>
      <xdr:colOff>0</xdr:colOff>
      <xdr:row>68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15</xdr:col>
      <xdr:colOff>0</xdr:colOff>
      <xdr:row>23</xdr:row>
      <xdr:rowOff>177799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2269;&#38555;&#20107;&#26989;&#26412;&#37096;\Users\tasuku.takatori\takatori_work\05_&#23612;&#12467;&#12505;&#12493;\4_&#31532;&#20108;&#22238;&#20986;&#24373;\Biofuels%20GHG%20calculator%20-%20version%203_0_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oGrace_GHG_calculations_-_version_4_-_Publ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Directory"/>
      <sheetName val="LUC"/>
      <sheetName val="Esca"/>
      <sheetName val="N2O emissions IPCC "/>
      <sheetName val="E-Sb"/>
      <sheetName val="E-Wt (not.spec.)"/>
      <sheetName val="E-Wt (Lign-chp)"/>
      <sheetName val="E-Wt (NG-b)"/>
      <sheetName val="E-Wt (NG-chp)"/>
      <sheetName val="E-Wt (Str-chp)"/>
      <sheetName val="E-Co"/>
      <sheetName val="E-Sc"/>
      <sheetName val="F-Rs"/>
      <sheetName val="F-Sf"/>
      <sheetName val="F-Sy"/>
      <sheetName val="F-Po"/>
      <sheetName val="F-Po (CH4 capt)"/>
      <sheetName val="F-Wo"/>
      <sheetName val="H-Rs"/>
      <sheetName val="H-Sf"/>
      <sheetName val="H-Po"/>
      <sheetName val="H-Po (CH4 capt)"/>
      <sheetName val="P-Rs"/>
      <sheetName val="CNG-OW"/>
      <sheetName val="CNG-wM"/>
      <sheetName val="CNG-dM"/>
      <sheetName val="User defined standard values"/>
    </sheetNames>
    <sheetDataSet>
      <sheetData sheetId="0" refreshError="1">
        <row r="79">
          <cell r="B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シャープ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view="pageBreakPreview" zoomScaleSheetLayoutView="55" workbookViewId="0">
      <pane ySplit="1" topLeftCell="A2" activePane="bottomLeft" state="frozen"/>
      <selection pane="bottomLeft"/>
    </sheetView>
  </sheetViews>
  <sheetFormatPr defaultColWidth="8.875" defaultRowHeight="20.100000000000001" customHeight="1"/>
  <cols>
    <col min="1" max="1" width="95.875" style="7" customWidth="1"/>
    <col min="2" max="2" width="11.375" style="70" customWidth="1"/>
    <col min="3" max="3" width="37.625" style="179" customWidth="1"/>
    <col min="4" max="5" width="8.5" style="8" customWidth="1"/>
    <col min="6" max="16384" width="8.875" style="8"/>
  </cols>
  <sheetData>
    <row r="1" spans="1:5" s="4" customFormat="1" ht="30.95" customHeight="1">
      <c r="A1" s="57" t="s">
        <v>391</v>
      </c>
      <c r="B1" s="69"/>
      <c r="C1" s="179"/>
      <c r="D1" s="8"/>
      <c r="E1" s="8"/>
    </row>
    <row r="2" spans="1:5" ht="14.25" customHeight="1">
      <c r="A2" s="53"/>
      <c r="B2" s="105"/>
    </row>
    <row r="3" spans="1:5" ht="29.1" customHeight="1">
      <c r="A3" s="221" t="s">
        <v>381</v>
      </c>
      <c r="B3" s="105"/>
    </row>
    <row r="4" spans="1:5" ht="29.1" customHeight="1">
      <c r="A4" s="53" t="s">
        <v>136</v>
      </c>
      <c r="B4" s="72"/>
    </row>
    <row r="5" spans="1:5" ht="27.95" customHeight="1">
      <c r="A5" s="53"/>
      <c r="B5" s="105"/>
    </row>
    <row r="6" spans="1:5" ht="27.95" customHeight="1">
      <c r="A6" s="55" t="s">
        <v>389</v>
      </c>
      <c r="B6" s="227" t="s">
        <v>399</v>
      </c>
    </row>
    <row r="7" spans="1:5" s="49" customFormat="1" ht="27.95" customHeight="1">
      <c r="A7" s="56" t="s">
        <v>216</v>
      </c>
      <c r="B7" s="71"/>
      <c r="C7" s="180"/>
    </row>
    <row r="8" spans="1:5" ht="27.95" customHeight="1">
      <c r="A8" s="66" t="s">
        <v>390</v>
      </c>
      <c r="B8" s="230"/>
    </row>
    <row r="9" spans="1:5" ht="27.95" customHeight="1">
      <c r="A9" s="66" t="s">
        <v>392</v>
      </c>
      <c r="B9" s="230"/>
    </row>
    <row r="10" spans="1:5" ht="27.95" customHeight="1">
      <c r="A10" s="234" t="s">
        <v>393</v>
      </c>
      <c r="B10" s="230"/>
      <c r="C10" s="181"/>
    </row>
    <row r="11" spans="1:5" ht="27.95" customHeight="1">
      <c r="A11" s="66" t="s">
        <v>394</v>
      </c>
      <c r="B11" s="230"/>
      <c r="C11" s="182"/>
    </row>
    <row r="12" spans="1:5" ht="27.95" customHeight="1">
      <c r="A12" s="66" t="s">
        <v>217</v>
      </c>
      <c r="B12" s="230"/>
      <c r="C12" s="181"/>
    </row>
    <row r="13" spans="1:5" ht="27.95" customHeight="1">
      <c r="A13" s="30" t="s">
        <v>395</v>
      </c>
      <c r="B13" s="230"/>
    </row>
    <row r="14" spans="1:5" ht="27.95" customHeight="1">
      <c r="A14" s="53"/>
    </row>
    <row r="15" spans="1:5" ht="27.95" customHeight="1">
      <c r="A15" s="54" t="s">
        <v>218</v>
      </c>
      <c r="B15" s="228" t="s">
        <v>400</v>
      </c>
    </row>
    <row r="16" spans="1:5" s="49" customFormat="1" ht="27.95" customHeight="1">
      <c r="A16" s="56" t="s">
        <v>216</v>
      </c>
      <c r="B16" s="71"/>
      <c r="C16" s="180"/>
    </row>
    <row r="17" spans="1:3" s="49" customFormat="1" ht="33" customHeight="1">
      <c r="A17" s="66" t="s">
        <v>219</v>
      </c>
      <c r="B17" s="231"/>
      <c r="C17" s="180"/>
    </row>
    <row r="18" spans="1:3" ht="33.75" customHeight="1">
      <c r="A18" s="67" t="s">
        <v>220</v>
      </c>
      <c r="B18" s="231"/>
      <c r="C18" s="183"/>
    </row>
    <row r="19" spans="1:3" s="49" customFormat="1" ht="27.95" customHeight="1">
      <c r="A19" s="66" t="s">
        <v>221</v>
      </c>
      <c r="B19" s="231"/>
      <c r="C19" s="180"/>
    </row>
    <row r="20" spans="1:3" ht="27.95" customHeight="1">
      <c r="A20" s="67" t="s">
        <v>223</v>
      </c>
      <c r="B20" s="231"/>
      <c r="C20" s="183"/>
    </row>
    <row r="21" spans="1:3" ht="27.95" customHeight="1">
      <c r="A21" s="67" t="s">
        <v>222</v>
      </c>
      <c r="B21" s="231"/>
    </row>
    <row r="22" spans="1:3" ht="27.95" customHeight="1">
      <c r="A22" s="67" t="s">
        <v>224</v>
      </c>
      <c r="B22" s="231"/>
    </row>
    <row r="23" spans="1:3" ht="27.95" customHeight="1">
      <c r="A23" s="67" t="s">
        <v>225</v>
      </c>
      <c r="B23" s="231"/>
      <c r="C23" s="182"/>
    </row>
    <row r="24" spans="1:3" ht="27.95" customHeight="1">
      <c r="A24" s="67" t="s">
        <v>226</v>
      </c>
      <c r="B24" s="231"/>
      <c r="C24" s="182"/>
    </row>
    <row r="25" spans="1:3" ht="27.95" customHeight="1">
      <c r="A25" s="67" t="s">
        <v>227</v>
      </c>
      <c r="B25" s="231"/>
    </row>
    <row r="26" spans="1:3" ht="27.95" customHeight="1">
      <c r="A26" s="67" t="s">
        <v>228</v>
      </c>
      <c r="B26" s="231"/>
      <c r="C26" s="182"/>
    </row>
    <row r="27" spans="1:3" ht="27.95" customHeight="1">
      <c r="A27" s="67" t="s">
        <v>229</v>
      </c>
      <c r="B27" s="231"/>
      <c r="C27" s="183"/>
    </row>
    <row r="28" spans="1:3" ht="27.95" customHeight="1">
      <c r="A28" s="67" t="s">
        <v>230</v>
      </c>
      <c r="B28" s="231" t="s">
        <v>139</v>
      </c>
      <c r="C28" s="183"/>
    </row>
    <row r="29" spans="1:3" ht="27.95" customHeight="1">
      <c r="A29" s="184" t="s">
        <v>231</v>
      </c>
      <c r="B29" s="231"/>
      <c r="C29" s="183"/>
    </row>
    <row r="30" spans="1:3" ht="27.95" customHeight="1">
      <c r="A30" s="67" t="s">
        <v>232</v>
      </c>
      <c r="B30" s="231" t="s">
        <v>140</v>
      </c>
      <c r="C30" s="183"/>
    </row>
    <row r="31" spans="1:3" ht="27.95" customHeight="1">
      <c r="A31" s="184" t="s">
        <v>233</v>
      </c>
      <c r="B31" s="231"/>
      <c r="C31" s="183"/>
    </row>
    <row r="32" spans="1:3" ht="27.95" customHeight="1">
      <c r="A32" s="67" t="s">
        <v>234</v>
      </c>
      <c r="B32" s="231"/>
      <c r="C32" s="183"/>
    </row>
    <row r="33" spans="1:3" ht="27.95" customHeight="1">
      <c r="A33" s="67" t="s">
        <v>235</v>
      </c>
      <c r="B33" s="231"/>
      <c r="C33" s="182"/>
    </row>
    <row r="34" spans="1:3" ht="27.95" customHeight="1">
      <c r="A34" s="67" t="s">
        <v>236</v>
      </c>
      <c r="B34" s="231"/>
      <c r="C34" s="182"/>
    </row>
    <row r="35" spans="1:3" ht="27.95" customHeight="1">
      <c r="A35" s="53"/>
      <c r="C35" s="182"/>
    </row>
    <row r="36" spans="1:3" ht="27.95" customHeight="1">
      <c r="A36" s="129" t="s">
        <v>237</v>
      </c>
      <c r="B36" s="229" t="s">
        <v>400</v>
      </c>
      <c r="C36" s="183"/>
    </row>
    <row r="37" spans="1:3" s="49" customFormat="1" ht="27.95" customHeight="1">
      <c r="A37" s="56" t="s">
        <v>216</v>
      </c>
      <c r="B37" s="71"/>
      <c r="C37" s="182"/>
    </row>
    <row r="38" spans="1:3" ht="27.95" customHeight="1">
      <c r="A38" s="65" t="s">
        <v>238</v>
      </c>
      <c r="B38" s="130"/>
      <c r="C38" s="182"/>
    </row>
    <row r="39" spans="1:3" ht="27.95" customHeight="1">
      <c r="A39" s="65" t="s">
        <v>385</v>
      </c>
      <c r="B39" s="130"/>
      <c r="C39" s="183"/>
    </row>
    <row r="40" spans="1:3" ht="27.95" customHeight="1">
      <c r="A40" s="65" t="s">
        <v>239</v>
      </c>
      <c r="B40" s="130"/>
      <c r="C40" s="182"/>
    </row>
    <row r="41" spans="1:3" ht="27.95" customHeight="1">
      <c r="A41" s="65" t="s">
        <v>386</v>
      </c>
      <c r="B41" s="130"/>
      <c r="C41" s="183"/>
    </row>
    <row r="42" spans="1:3" s="62" customFormat="1" ht="27.95" customHeight="1">
      <c r="A42" s="65" t="s">
        <v>387</v>
      </c>
      <c r="B42" s="130"/>
      <c r="C42" s="183"/>
    </row>
    <row r="43" spans="1:3" s="62" customFormat="1" ht="27.95" customHeight="1">
      <c r="A43" s="65" t="s">
        <v>240</v>
      </c>
      <c r="B43" s="130"/>
      <c r="C43" s="183"/>
    </row>
    <row r="44" spans="1:3" ht="27.95" customHeight="1">
      <c r="A44" s="65" t="s">
        <v>241</v>
      </c>
      <c r="B44" s="130"/>
      <c r="C44" s="182"/>
    </row>
    <row r="45" spans="1:3" ht="27.95" customHeight="1">
      <c r="A45" s="65" t="s">
        <v>242</v>
      </c>
      <c r="B45" s="130"/>
      <c r="C45" s="182"/>
    </row>
    <row r="46" spans="1:3" ht="27.95" customHeight="1">
      <c r="A46" s="65" t="s">
        <v>243</v>
      </c>
      <c r="B46" s="130"/>
      <c r="C46" s="182"/>
    </row>
    <row r="47" spans="1:3" ht="27.95" customHeight="1">
      <c r="A47" s="65" t="s">
        <v>396</v>
      </c>
      <c r="B47" s="130"/>
      <c r="C47" s="182"/>
    </row>
    <row r="48" spans="1:3" ht="27.95" customHeight="1">
      <c r="A48" s="65" t="s">
        <v>397</v>
      </c>
      <c r="B48" s="130"/>
      <c r="C48" s="182"/>
    </row>
    <row r="49" spans="1:7" ht="27.95" customHeight="1">
      <c r="A49" s="68" t="s">
        <v>244</v>
      </c>
      <c r="B49" s="130"/>
      <c r="C49" s="183"/>
    </row>
    <row r="50" spans="1:7" ht="27.95" customHeight="1">
      <c r="A50" s="67" t="s">
        <v>245</v>
      </c>
      <c r="B50" s="130"/>
      <c r="C50" s="182"/>
    </row>
    <row r="51" spans="1:7" ht="27.95" customHeight="1">
      <c r="A51" s="67" t="s">
        <v>246</v>
      </c>
      <c r="B51" s="130"/>
      <c r="C51" s="182"/>
    </row>
    <row r="52" spans="1:7" ht="27.95" customHeight="1">
      <c r="A52" s="68" t="s">
        <v>247</v>
      </c>
      <c r="B52" s="130"/>
      <c r="C52" s="183"/>
    </row>
    <row r="53" spans="1:7" ht="27.95" customHeight="1">
      <c r="A53" s="67" t="s">
        <v>248</v>
      </c>
      <c r="B53" s="130"/>
      <c r="C53" s="182"/>
    </row>
    <row r="54" spans="1:7" ht="27.95" customHeight="1">
      <c r="A54" s="67" t="s">
        <v>249</v>
      </c>
      <c r="B54" s="130"/>
      <c r="C54" s="182"/>
    </row>
    <row r="55" spans="1:7" ht="27.95" customHeight="1">
      <c r="A55" s="65" t="s">
        <v>250</v>
      </c>
      <c r="B55" s="131"/>
      <c r="D55"/>
      <c r="E55"/>
      <c r="F55"/>
      <c r="G55"/>
    </row>
    <row r="56" spans="1:7" ht="27.95" customHeight="1">
      <c r="A56" s="65" t="s">
        <v>251</v>
      </c>
      <c r="B56" s="131"/>
      <c r="D56"/>
      <c r="E56"/>
      <c r="F56"/>
      <c r="G56"/>
    </row>
    <row r="57" spans="1:7" ht="27.95" customHeight="1">
      <c r="A57" s="65" t="s">
        <v>252</v>
      </c>
      <c r="B57" s="130"/>
      <c r="D57"/>
      <c r="E57"/>
      <c r="F57"/>
      <c r="G57"/>
    </row>
    <row r="58" spans="1:7" ht="27.95" customHeight="1">
      <c r="A58" s="65" t="s">
        <v>388</v>
      </c>
      <c r="B58" s="130"/>
      <c r="C58" s="182"/>
      <c r="D58"/>
      <c r="E58"/>
      <c r="F58"/>
      <c r="G58"/>
    </row>
    <row r="59" spans="1:7" ht="27.95" customHeight="1">
      <c r="A59" s="65" t="s">
        <v>253</v>
      </c>
      <c r="B59" s="130"/>
      <c r="C59" s="182"/>
      <c r="D59"/>
      <c r="E59"/>
      <c r="F59"/>
      <c r="G59"/>
    </row>
    <row r="60" spans="1:7" ht="27.95" customHeight="1">
      <c r="A60" s="65" t="s">
        <v>254</v>
      </c>
      <c r="B60" s="130"/>
      <c r="C60" s="182"/>
      <c r="D60"/>
      <c r="E60"/>
      <c r="F60"/>
      <c r="G60"/>
    </row>
    <row r="61" spans="1:7" ht="20.100000000000001" customHeight="1">
      <c r="C61" s="183"/>
    </row>
    <row r="64" spans="1:7" ht="20.100000000000001" customHeight="1">
      <c r="B64" s="72"/>
    </row>
    <row r="65" spans="2:2" ht="20.100000000000001" customHeight="1">
      <c r="B65" s="72"/>
    </row>
    <row r="66" spans="2:2" ht="20.100000000000001" customHeight="1">
      <c r="B66" s="72"/>
    </row>
    <row r="67" spans="2:2" ht="20.100000000000001" customHeight="1">
      <c r="B67" s="72"/>
    </row>
  </sheetData>
  <phoneticPr fontId="4"/>
  <dataValidations count="1">
    <dataValidation type="list" allowBlank="1" showInputMessage="1" showErrorMessage="1" sqref="A4">
      <formula1>INDIRECT("Default!$A$68:$A$74")</formula1>
    </dataValidation>
  </dataValidations>
  <printOptions horizontalCentered="1"/>
  <pageMargins left="0.39000000000000007" right="0.39000000000000007" top="0.75000000000000011" bottom="0.75000000000000011" header="0.30000000000000004" footer="0.30000000000000004"/>
  <pageSetup paperSize="9" scale="62" fitToHeight="2" orientation="landscape" r:id="rId1"/>
  <rowBreaks count="1" manualBreakCount="1">
    <brk id="35" max="16383" man="1"/>
  </rowBreaks>
  <colBreaks count="1" manualBreakCount="1">
    <brk id="2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stopIfTrue="1" id="{B2F26650-C6C7-42BC-9774-43DFA603A13C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expression" priority="173" stopIfTrue="1" id="{03EEEEE3-8440-7747-A491-1158779E9D42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B39 B41 B44 B49:B54</xm:sqref>
        </x14:conditionalFormatting>
        <x14:conditionalFormatting xmlns:xm="http://schemas.microsoft.com/office/excel/2006/main">
          <x14:cfRule type="expression" priority="170" stopIfTrue="1" id="{FD52A54D-26EC-0646-800A-3AF1BB36E6B6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expression" priority="168" stopIfTrue="1" id="{F6CE03DD-208A-3940-AC0E-FC84E0D743FE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116" stopIfTrue="1" id="{FF719033-3D15-3444-92F9-9AB9FD29CDDC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expression" priority="126" stopIfTrue="1" id="{A840B418-27FD-2C46-8903-A2BE37F92B1F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111" stopIfTrue="1" id="{01DFDE16-C1F0-3045-B993-40B4D634CD59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expression" priority="106" stopIfTrue="1" id="{59883294-BAE9-6049-BC02-3610C685D72B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expression" priority="101" stopIfTrue="1" id="{7C8341CC-E392-D745-B7C4-0A7338B68F4A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expression" priority="20" stopIfTrue="1" id="{84BDEAAD-E340-2B41-BC2E-A20410C3358A}">
            <xm:f>Cal!#REF!="Waste Oil"</xm:f>
            <x14:dxf>
              <fill>
                <patternFill>
                  <bgColor indexed="23"/>
                </patternFill>
              </fill>
            </x14:dxf>
          </x14:cfRule>
          <xm:sqref>B45:B48</xm:sqref>
        </x14:conditionalFormatting>
      </x14:conditionalFormattings>
    </ext>
    <ext xmlns:mx="http://schemas.microsoft.com/office/mac/excel/2008/main" uri="{64002731-A6B0-56B0-2670-7721B7C09600}">
      <mx:PLV Mode="0" OnePage="0" WScale="3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showGridLines="0" view="pageBreakPreview" zoomScaleSheetLayoutView="40" workbookViewId="0"/>
  </sheetViews>
  <sheetFormatPr defaultColWidth="12.875" defaultRowHeight="20.100000000000001" customHeight="1"/>
  <cols>
    <col min="1" max="1" width="65.625" style="9" customWidth="1"/>
    <col min="2" max="2" width="12.625" style="27" customWidth="1"/>
    <col min="3" max="4" width="11.875" style="26" customWidth="1"/>
    <col min="5" max="5" width="8.5" style="8" customWidth="1"/>
    <col min="6" max="6" width="71.125" style="8" customWidth="1"/>
    <col min="7" max="29" width="8.5" style="8" customWidth="1"/>
    <col min="30" max="16384" width="12.875" style="8"/>
  </cols>
  <sheetData>
    <row r="1" spans="1:29" s="4" customFormat="1" ht="27.95" customHeight="1">
      <c r="A1" s="57" t="s">
        <v>255</v>
      </c>
      <c r="B1" s="58"/>
      <c r="C1" s="232"/>
      <c r="D1" s="23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1:29" ht="30">
      <c r="A3" s="73" t="s">
        <v>402</v>
      </c>
      <c r="B3" s="74" t="s">
        <v>23</v>
      </c>
      <c r="C3" s="78" t="s">
        <v>406</v>
      </c>
      <c r="D3" s="127" t="s">
        <v>400</v>
      </c>
    </row>
    <row r="4" spans="1:29" ht="20.100000000000001" customHeight="1">
      <c r="A4" s="30" t="s">
        <v>256</v>
      </c>
      <c r="B4" s="31" t="s">
        <v>27</v>
      </c>
      <c r="C4" s="261">
        <f t="shared" ref="C4:C6" si="0">D4</f>
        <v>0</v>
      </c>
      <c r="D4" s="185">
        <f>Questionnaire!B8</f>
        <v>0</v>
      </c>
      <c r="G4" s="219"/>
    </row>
    <row r="5" spans="1:29" ht="20.100000000000001" customHeight="1">
      <c r="A5" s="30" t="s">
        <v>257</v>
      </c>
      <c r="B5" s="31" t="s">
        <v>10</v>
      </c>
      <c r="C5" s="262">
        <f>0.37*D4/1000</f>
        <v>0</v>
      </c>
      <c r="D5" s="186">
        <f>Questionnaire!B9</f>
        <v>0</v>
      </c>
      <c r="E5" s="64"/>
      <c r="G5" s="219"/>
    </row>
    <row r="6" spans="1:29" ht="20.100000000000001" customHeight="1">
      <c r="A6" s="30" t="s">
        <v>260</v>
      </c>
      <c r="B6" s="31" t="s">
        <v>27</v>
      </c>
      <c r="C6" s="263">
        <f t="shared" si="0"/>
        <v>0</v>
      </c>
      <c r="D6" s="186">
        <f>Questionnaire!B10</f>
        <v>0</v>
      </c>
      <c r="E6" s="64"/>
      <c r="G6" s="219"/>
    </row>
    <row r="7" spans="1:29" ht="20.100000000000001" customHeight="1">
      <c r="A7" s="30" t="s">
        <v>258</v>
      </c>
      <c r="B7" s="31" t="s">
        <v>13</v>
      </c>
      <c r="C7" s="262">
        <f>1.96*17*D4</f>
        <v>0</v>
      </c>
      <c r="D7" s="185">
        <f>Questionnaire!B11</f>
        <v>0</v>
      </c>
      <c r="E7" s="64"/>
      <c r="G7" s="219"/>
    </row>
    <row r="8" spans="1:29" ht="20.100000000000001" customHeight="1">
      <c r="A8" s="30" t="s">
        <v>259</v>
      </c>
      <c r="B8" s="31" t="s">
        <v>13</v>
      </c>
      <c r="C8" s="261"/>
      <c r="D8" s="185">
        <f>Questionnaire!B12</f>
        <v>0</v>
      </c>
      <c r="G8" s="219"/>
    </row>
    <row r="9" spans="1:29" ht="20.100000000000001" customHeight="1">
      <c r="A9" s="30" t="s">
        <v>403</v>
      </c>
      <c r="B9" s="31" t="s">
        <v>0</v>
      </c>
      <c r="C9" s="264">
        <f>0.25*D4</f>
        <v>0</v>
      </c>
      <c r="D9" s="185">
        <f>Questionnaire!B13</f>
        <v>0</v>
      </c>
      <c r="G9" s="219"/>
    </row>
    <row r="10" spans="1:29" ht="20.100000000000001" customHeight="1">
      <c r="A10" s="25"/>
      <c r="G10" s="219"/>
    </row>
    <row r="11" spans="1:29" ht="30">
      <c r="A11" s="75" t="s">
        <v>261</v>
      </c>
      <c r="B11" s="76" t="s">
        <v>25</v>
      </c>
      <c r="C11" s="79" t="s">
        <v>405</v>
      </c>
      <c r="D11" s="128" t="s">
        <v>398</v>
      </c>
      <c r="G11" s="219"/>
    </row>
    <row r="12" spans="1:29" ht="20.100000000000001" customHeight="1">
      <c r="A12" s="32" t="s">
        <v>262</v>
      </c>
      <c r="B12" s="33" t="s">
        <v>45</v>
      </c>
      <c r="C12" s="188">
        <f>0.6*D4</f>
        <v>0</v>
      </c>
      <c r="D12" s="189">
        <f>Questionnaire!B17</f>
        <v>0</v>
      </c>
      <c r="E12" s="63"/>
      <c r="G12" s="220"/>
    </row>
    <row r="13" spans="1:29" ht="20.100000000000001" customHeight="1">
      <c r="A13" s="32" t="s">
        <v>263</v>
      </c>
      <c r="B13" s="33" t="s">
        <v>46</v>
      </c>
      <c r="C13" s="188">
        <f>D15</f>
        <v>0</v>
      </c>
      <c r="D13" s="189">
        <f>Questionnaire!B18</f>
        <v>0</v>
      </c>
      <c r="E13" s="63"/>
      <c r="G13" s="220"/>
    </row>
    <row r="14" spans="1:29" ht="20.100000000000001" customHeight="1">
      <c r="A14" s="32" t="s">
        <v>264</v>
      </c>
      <c r="B14" s="33" t="s">
        <v>45</v>
      </c>
      <c r="C14" s="188">
        <f>C12</f>
        <v>0</v>
      </c>
      <c r="D14" s="189">
        <f>Questionnaire!B19</f>
        <v>0</v>
      </c>
      <c r="E14" s="63"/>
      <c r="G14" s="219"/>
    </row>
    <row r="15" spans="1:29" ht="20.100000000000001" customHeight="1">
      <c r="A15" s="32" t="s">
        <v>265</v>
      </c>
      <c r="B15" s="33" t="s">
        <v>46</v>
      </c>
      <c r="C15" s="188">
        <v>0</v>
      </c>
      <c r="D15" s="189">
        <f>Questionnaire!B20</f>
        <v>0</v>
      </c>
      <c r="E15" s="63"/>
      <c r="G15" s="219"/>
    </row>
    <row r="16" spans="1:29" ht="20.100000000000001" customHeight="1">
      <c r="A16" s="32" t="s">
        <v>266</v>
      </c>
      <c r="B16" s="33" t="s">
        <v>13</v>
      </c>
      <c r="C16" s="188">
        <f>D16</f>
        <v>0</v>
      </c>
      <c r="D16" s="189">
        <f>Questionnaire!B21</f>
        <v>0</v>
      </c>
      <c r="E16" s="64"/>
      <c r="G16" s="219"/>
    </row>
    <row r="17" spans="1:16" ht="20.100000000000001" customHeight="1">
      <c r="A17" s="32" t="s">
        <v>267</v>
      </c>
      <c r="B17" s="33" t="s">
        <v>47</v>
      </c>
      <c r="C17" s="188">
        <v>0</v>
      </c>
      <c r="D17" s="189">
        <f>Questionnaire!B23</f>
        <v>0</v>
      </c>
      <c r="E17" s="64"/>
      <c r="G17" s="220"/>
    </row>
    <row r="18" spans="1:16" ht="20.100000000000001" customHeight="1">
      <c r="A18" s="32" t="s">
        <v>268</v>
      </c>
      <c r="B18" s="33" t="s">
        <v>13</v>
      </c>
      <c r="C18" s="188">
        <v>0</v>
      </c>
      <c r="D18" s="189">
        <f>Questionnaire!B22</f>
        <v>0</v>
      </c>
      <c r="E18" s="64"/>
      <c r="G18" s="220"/>
    </row>
    <row r="19" spans="1:16" ht="20.100000000000001" customHeight="1">
      <c r="A19" s="32" t="s">
        <v>269</v>
      </c>
      <c r="B19" s="33" t="s">
        <v>48</v>
      </c>
      <c r="C19" s="188">
        <f>1.2*C14</f>
        <v>0</v>
      </c>
      <c r="D19" s="189">
        <f>Questionnaire!B24</f>
        <v>0</v>
      </c>
      <c r="E19" s="64"/>
      <c r="G19" s="220"/>
    </row>
    <row r="20" spans="1:16" ht="20.100000000000001" customHeight="1">
      <c r="A20" s="32" t="s">
        <v>270</v>
      </c>
      <c r="B20" s="33" t="s">
        <v>49</v>
      </c>
      <c r="C20" s="188">
        <v>0</v>
      </c>
      <c r="D20" s="189">
        <f>Questionnaire!B25</f>
        <v>0</v>
      </c>
      <c r="E20" s="63"/>
      <c r="G20" s="220"/>
    </row>
    <row r="21" spans="1:16" ht="20.100000000000001" customHeight="1">
      <c r="A21" s="32" t="s">
        <v>271</v>
      </c>
      <c r="B21" s="33" t="s">
        <v>50</v>
      </c>
      <c r="C21" s="188">
        <v>0</v>
      </c>
      <c r="D21" s="189">
        <f>Questionnaire!B26</f>
        <v>0</v>
      </c>
      <c r="E21" s="64"/>
      <c r="G21" s="220"/>
    </row>
    <row r="22" spans="1:16" ht="20.100000000000001" customHeight="1">
      <c r="A22" s="32" t="s">
        <v>272</v>
      </c>
      <c r="B22" s="33" t="s">
        <v>51</v>
      </c>
      <c r="C22" s="188">
        <v>0</v>
      </c>
      <c r="D22" s="189">
        <f>Questionnaire!B27</f>
        <v>0</v>
      </c>
      <c r="E22" s="77"/>
      <c r="G22" s="220"/>
    </row>
    <row r="23" spans="1:16" ht="20.100000000000001" customHeight="1">
      <c r="A23" s="32" t="s">
        <v>273</v>
      </c>
      <c r="B23" s="33" t="s">
        <v>52</v>
      </c>
      <c r="C23" s="188">
        <f>D22</f>
        <v>0</v>
      </c>
      <c r="D23" s="189">
        <f>Questionnaire!B32</f>
        <v>0</v>
      </c>
      <c r="E23" s="64"/>
      <c r="G23" s="219"/>
    </row>
    <row r="24" spans="1:16" ht="20.100000000000001" customHeight="1">
      <c r="A24" s="32" t="s">
        <v>274</v>
      </c>
      <c r="B24" s="33" t="s">
        <v>53</v>
      </c>
      <c r="C24" s="190">
        <v>0</v>
      </c>
      <c r="D24" s="191">
        <f>Questionnaire!B29</f>
        <v>0</v>
      </c>
      <c r="G24" s="220"/>
    </row>
    <row r="25" spans="1:16" ht="20.100000000000001" customHeight="1">
      <c r="A25" s="32" t="s">
        <v>275</v>
      </c>
      <c r="B25" s="33" t="s">
        <v>54</v>
      </c>
      <c r="C25" s="190">
        <v>0</v>
      </c>
      <c r="D25" s="191">
        <f>Questionnaire!B31</f>
        <v>0</v>
      </c>
      <c r="G25" s="219"/>
    </row>
    <row r="26" spans="1:16" ht="20.100000000000001" customHeight="1">
      <c r="A26" s="32" t="s">
        <v>276</v>
      </c>
      <c r="B26" s="33" t="s">
        <v>55</v>
      </c>
      <c r="C26" s="190">
        <f>D24</f>
        <v>0</v>
      </c>
      <c r="D26" s="191">
        <f>Questionnaire!B33</f>
        <v>0</v>
      </c>
      <c r="E26" s="64"/>
      <c r="G26" s="220"/>
    </row>
    <row r="27" spans="1:16" ht="20.100000000000001" customHeight="1">
      <c r="A27" s="32" t="s">
        <v>277</v>
      </c>
      <c r="B27" s="33" t="s">
        <v>56</v>
      </c>
      <c r="C27" s="190">
        <f>D25</f>
        <v>0</v>
      </c>
      <c r="D27" s="191">
        <f>Questionnaire!B34</f>
        <v>0</v>
      </c>
      <c r="G27" s="219"/>
    </row>
    <row r="28" spans="1:16" ht="20.100000000000001" customHeight="1">
      <c r="E28" s="64"/>
      <c r="F28" s="49"/>
      <c r="G28" s="21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0">
      <c r="A29" s="132" t="s">
        <v>278</v>
      </c>
      <c r="B29" s="133" t="s">
        <v>24</v>
      </c>
      <c r="C29" s="134" t="s">
        <v>405</v>
      </c>
      <c r="D29" s="135" t="s">
        <v>398</v>
      </c>
      <c r="G29" s="219"/>
    </row>
    <row r="30" spans="1:16" s="49" customFormat="1" ht="20.100000000000001" customHeight="1">
      <c r="A30" s="51" t="s">
        <v>279</v>
      </c>
      <c r="B30" s="34"/>
      <c r="C30" s="27"/>
      <c r="D30" s="27"/>
      <c r="E30" s="8"/>
      <c r="F30" s="8"/>
      <c r="G30" s="219"/>
      <c r="H30" s="8"/>
      <c r="I30" s="8"/>
      <c r="J30" s="8"/>
      <c r="K30" s="8"/>
      <c r="L30" s="8"/>
      <c r="M30" s="8"/>
      <c r="N30" s="8"/>
      <c r="O30" s="8"/>
      <c r="P30" s="8"/>
    </row>
    <row r="31" spans="1:16" ht="20.100000000000001" customHeight="1">
      <c r="A31" s="35" t="s">
        <v>280</v>
      </c>
      <c r="B31" s="36" t="s">
        <v>0</v>
      </c>
      <c r="C31" s="136">
        <v>0</v>
      </c>
      <c r="D31" s="137">
        <f>Questionnaire!B38</f>
        <v>0</v>
      </c>
      <c r="E31" s="64"/>
      <c r="G31" s="220"/>
    </row>
    <row r="32" spans="1:16" ht="20.100000000000001" customHeight="1">
      <c r="A32" s="35" t="s">
        <v>281</v>
      </c>
      <c r="B32" s="36" t="s">
        <v>0</v>
      </c>
      <c r="C32" s="136">
        <v>0</v>
      </c>
      <c r="D32" s="137">
        <f>Questionnaire!B39</f>
        <v>0</v>
      </c>
      <c r="F32" s="49"/>
      <c r="G32" s="220"/>
    </row>
    <row r="33" spans="1:16" ht="20.100000000000001" customHeight="1">
      <c r="A33" s="35" t="s">
        <v>282</v>
      </c>
      <c r="B33" s="36" t="s">
        <v>0</v>
      </c>
      <c r="C33" s="136">
        <v>0</v>
      </c>
      <c r="D33" s="137">
        <f>Questionnaire!B40</f>
        <v>0</v>
      </c>
      <c r="G33" s="220"/>
    </row>
    <row r="34" spans="1:16" ht="20.100000000000001" customHeight="1">
      <c r="A34" s="35" t="s">
        <v>283</v>
      </c>
      <c r="B34" s="36" t="s">
        <v>0</v>
      </c>
      <c r="C34" s="136">
        <v>0</v>
      </c>
      <c r="D34" s="137">
        <f>Questionnaire!B41</f>
        <v>0</v>
      </c>
      <c r="G34" s="220"/>
      <c r="H34" s="49"/>
    </row>
    <row r="35" spans="1:16" ht="20.100000000000001" customHeight="1">
      <c r="A35" s="35" t="s">
        <v>284</v>
      </c>
      <c r="B35" s="36" t="s">
        <v>0</v>
      </c>
      <c r="C35" s="136">
        <v>0</v>
      </c>
      <c r="D35" s="137">
        <f>Questionnaire!B42</f>
        <v>0</v>
      </c>
      <c r="F35" s="49"/>
      <c r="G35" s="220"/>
    </row>
    <row r="36" spans="1:16" ht="20.100000000000001" customHeight="1">
      <c r="A36" s="35" t="s">
        <v>285</v>
      </c>
      <c r="B36" s="36" t="s">
        <v>0</v>
      </c>
      <c r="C36" s="136">
        <v>0</v>
      </c>
      <c r="D36" s="137">
        <f>Questionnaire!B43</f>
        <v>0</v>
      </c>
      <c r="F36" s="64"/>
      <c r="G36" s="220"/>
      <c r="I36" s="49"/>
      <c r="J36" s="49"/>
      <c r="K36" s="49"/>
      <c r="L36" s="49"/>
      <c r="M36" s="49"/>
      <c r="N36" s="49"/>
      <c r="O36" s="49"/>
      <c r="P36" s="49"/>
    </row>
    <row r="37" spans="1:16" ht="20.100000000000001" customHeight="1">
      <c r="A37" s="35" t="s">
        <v>286</v>
      </c>
      <c r="B37" s="36" t="s">
        <v>0</v>
      </c>
      <c r="C37" s="136">
        <f>0.21*D4</f>
        <v>0</v>
      </c>
      <c r="D37" s="137">
        <f>Questionnaire!B44</f>
        <v>0</v>
      </c>
      <c r="E37" s="64"/>
      <c r="G37" s="219"/>
      <c r="H37" s="49"/>
    </row>
    <row r="38" spans="1:16" s="49" customFormat="1" ht="20.100000000000001" customHeight="1">
      <c r="A38" s="51" t="s">
        <v>287</v>
      </c>
      <c r="B38" s="34"/>
      <c r="C38" s="187"/>
      <c r="D38" s="187"/>
      <c r="E38" s="64"/>
      <c r="G38" s="219"/>
      <c r="H38" s="8"/>
      <c r="I38" s="8"/>
      <c r="J38" s="8"/>
      <c r="K38" s="8"/>
      <c r="L38" s="8"/>
      <c r="M38" s="8"/>
      <c r="N38" s="8"/>
      <c r="O38" s="8"/>
      <c r="P38" s="8"/>
    </row>
    <row r="39" spans="1:16" ht="20.100000000000001" customHeight="1">
      <c r="A39" s="35" t="s">
        <v>288</v>
      </c>
      <c r="B39" s="36" t="s">
        <v>0</v>
      </c>
      <c r="C39" s="136">
        <f>0.06*D4</f>
        <v>0</v>
      </c>
      <c r="D39" s="137">
        <f>Questionnaire!B45</f>
        <v>0</v>
      </c>
      <c r="G39" s="219"/>
      <c r="I39" s="49"/>
      <c r="J39" s="49"/>
      <c r="K39" s="49"/>
      <c r="L39" s="49"/>
      <c r="M39" s="49"/>
      <c r="N39" s="49"/>
      <c r="O39" s="49"/>
      <c r="P39" s="49"/>
    </row>
    <row r="40" spans="1:16" ht="20.100000000000001" customHeight="1">
      <c r="A40" s="35" t="s">
        <v>282</v>
      </c>
      <c r="B40" s="36" t="s">
        <v>0</v>
      </c>
      <c r="C40" s="136"/>
      <c r="D40" s="137">
        <f>Questionnaire!B46</f>
        <v>0</v>
      </c>
      <c r="G40" s="219"/>
      <c r="H40" s="49"/>
    </row>
    <row r="41" spans="1:16" s="49" customFormat="1" ht="20.100000000000001" customHeight="1">
      <c r="A41" s="51" t="s">
        <v>404</v>
      </c>
      <c r="B41" s="34"/>
      <c r="C41" s="187"/>
      <c r="D41" s="187"/>
      <c r="F41" s="8"/>
      <c r="G41" s="219"/>
      <c r="H41" s="8"/>
      <c r="I41" s="8"/>
      <c r="J41" s="8"/>
      <c r="K41" s="8"/>
      <c r="L41" s="8"/>
      <c r="M41" s="8"/>
      <c r="N41" s="8"/>
      <c r="O41" s="8"/>
      <c r="P41" s="8"/>
    </row>
    <row r="42" spans="1:16" ht="20.100000000000001" customHeight="1">
      <c r="A42" s="35" t="s">
        <v>288</v>
      </c>
      <c r="B42" s="36" t="s">
        <v>0</v>
      </c>
      <c r="C42" s="136">
        <f>0.13*D4</f>
        <v>0</v>
      </c>
      <c r="D42" s="137">
        <f>Questionnaire!B47</f>
        <v>0</v>
      </c>
      <c r="F42" s="49"/>
      <c r="G42" s="220"/>
      <c r="I42" s="49"/>
      <c r="J42" s="49"/>
      <c r="K42" s="49"/>
      <c r="L42" s="49"/>
      <c r="M42" s="49"/>
      <c r="N42" s="49"/>
      <c r="O42" s="49"/>
      <c r="P42" s="49"/>
    </row>
    <row r="43" spans="1:16" ht="20.100000000000001" customHeight="1">
      <c r="A43" s="35" t="s">
        <v>282</v>
      </c>
      <c r="B43" s="36" t="s">
        <v>0</v>
      </c>
      <c r="C43" s="136"/>
      <c r="D43" s="137">
        <f>Questionnaire!B48</f>
        <v>0</v>
      </c>
      <c r="G43" s="220"/>
    </row>
    <row r="44" spans="1:16" s="49" customFormat="1" ht="20.100000000000001" customHeight="1">
      <c r="A44" s="51" t="s">
        <v>289</v>
      </c>
      <c r="B44" s="34"/>
      <c r="C44" s="187"/>
      <c r="D44" s="187"/>
      <c r="F44" s="8"/>
      <c r="G44" s="220"/>
      <c r="I44" s="8"/>
      <c r="J44" s="8"/>
      <c r="K44" s="8"/>
      <c r="L44" s="8"/>
      <c r="M44" s="8"/>
      <c r="N44" s="8"/>
      <c r="O44" s="8"/>
      <c r="P44" s="8"/>
    </row>
    <row r="45" spans="1:16" ht="20.100000000000001" customHeight="1">
      <c r="A45" s="35" t="s">
        <v>290</v>
      </c>
      <c r="B45" s="36" t="s">
        <v>41</v>
      </c>
      <c r="C45" s="136">
        <v>0</v>
      </c>
      <c r="D45" s="137">
        <f>Questionnaire!B49</f>
        <v>0</v>
      </c>
      <c r="G45" s="220"/>
    </row>
    <row r="46" spans="1:16" ht="20.100000000000001" customHeight="1">
      <c r="A46" s="35" t="s">
        <v>291</v>
      </c>
      <c r="B46" s="36" t="s">
        <v>43</v>
      </c>
      <c r="C46" s="136">
        <v>0</v>
      </c>
      <c r="D46" s="137">
        <f>Questionnaire!B50</f>
        <v>0</v>
      </c>
      <c r="G46" s="220"/>
      <c r="I46" s="49"/>
      <c r="J46" s="49"/>
      <c r="K46" s="49"/>
      <c r="L46" s="49"/>
      <c r="M46" s="49"/>
      <c r="N46" s="49"/>
      <c r="O46" s="49"/>
      <c r="P46" s="49"/>
    </row>
    <row r="47" spans="1:16" ht="20.100000000000001" customHeight="1">
      <c r="A47" s="35" t="s">
        <v>292</v>
      </c>
      <c r="B47" s="36" t="s">
        <v>43</v>
      </c>
      <c r="C47" s="136">
        <v>0</v>
      </c>
      <c r="D47" s="137">
        <f>Questionnaire!B51</f>
        <v>0</v>
      </c>
      <c r="G47" s="220"/>
    </row>
    <row r="48" spans="1:16" s="49" customFormat="1" ht="20.100000000000001" customHeight="1">
      <c r="A48" s="51" t="s">
        <v>293</v>
      </c>
      <c r="B48" s="34"/>
      <c r="C48" s="187"/>
      <c r="D48" s="187"/>
      <c r="F48" s="8"/>
      <c r="G48" s="220"/>
      <c r="H48" s="8"/>
      <c r="I48" s="8"/>
      <c r="J48" s="8"/>
      <c r="K48" s="8"/>
      <c r="L48" s="8"/>
      <c r="M48" s="8"/>
      <c r="N48" s="8"/>
      <c r="O48" s="8"/>
      <c r="P48" s="8"/>
    </row>
    <row r="49" spans="1:7" ht="20.100000000000001" customHeight="1">
      <c r="A49" s="35" t="s">
        <v>290</v>
      </c>
      <c r="B49" s="36" t="s">
        <v>41</v>
      </c>
      <c r="C49" s="136"/>
      <c r="D49" s="137">
        <f>Questionnaire!B52</f>
        <v>0</v>
      </c>
      <c r="G49" s="219"/>
    </row>
    <row r="50" spans="1:7" ht="20.100000000000001" customHeight="1">
      <c r="A50" s="35" t="s">
        <v>291</v>
      </c>
      <c r="B50" s="36" t="s">
        <v>43</v>
      </c>
      <c r="C50" s="136"/>
      <c r="D50" s="137">
        <f>Questionnaire!B53</f>
        <v>0</v>
      </c>
      <c r="G50" s="220"/>
    </row>
    <row r="51" spans="1:7" ht="20.100000000000001" customHeight="1">
      <c r="A51" s="35" t="s">
        <v>292</v>
      </c>
      <c r="B51" s="36" t="s">
        <v>43</v>
      </c>
      <c r="C51" s="136"/>
      <c r="D51" s="137">
        <f>Questionnaire!B54</f>
        <v>0</v>
      </c>
      <c r="G51" s="220"/>
    </row>
    <row r="52" spans="1:7" ht="20.100000000000001" customHeight="1">
      <c r="A52" s="50" t="s">
        <v>294</v>
      </c>
      <c r="B52" s="36"/>
      <c r="C52" s="187"/>
      <c r="D52" s="187"/>
      <c r="G52" s="220"/>
    </row>
    <row r="53" spans="1:7" ht="20.100000000000001" customHeight="1">
      <c r="A53" s="35" t="s">
        <v>295</v>
      </c>
      <c r="B53" s="36" t="s">
        <v>0</v>
      </c>
      <c r="C53" s="136"/>
      <c r="D53" s="137">
        <f>Questionnaire!B55</f>
        <v>0</v>
      </c>
      <c r="G53" s="220"/>
    </row>
    <row r="54" spans="1:7" ht="20.100000000000001" customHeight="1">
      <c r="A54" s="35" t="s">
        <v>296</v>
      </c>
      <c r="B54" s="36" t="s">
        <v>0</v>
      </c>
      <c r="C54" s="136"/>
      <c r="D54" s="137">
        <f>Questionnaire!B56</f>
        <v>0</v>
      </c>
    </row>
    <row r="55" spans="1:7" ht="20.100000000000001" customHeight="1">
      <c r="A55" s="35" t="s">
        <v>297</v>
      </c>
      <c r="B55" s="36" t="s">
        <v>22</v>
      </c>
      <c r="C55" s="136"/>
      <c r="D55" s="137">
        <f>Questionnaire!B57</f>
        <v>0</v>
      </c>
    </row>
    <row r="56" spans="1:7" ht="20.100000000000001" customHeight="1">
      <c r="A56" s="50" t="s">
        <v>298</v>
      </c>
      <c r="B56" s="36"/>
      <c r="C56" s="136"/>
      <c r="D56" s="137"/>
    </row>
    <row r="57" spans="1:7" ht="20.100000000000001" customHeight="1">
      <c r="A57" s="35" t="s">
        <v>299</v>
      </c>
      <c r="B57" s="36" t="s">
        <v>0</v>
      </c>
      <c r="C57" s="136"/>
      <c r="D57" s="137">
        <f>Questionnaire!B58</f>
        <v>0</v>
      </c>
    </row>
    <row r="58" spans="1:7" ht="20.100000000000001" customHeight="1">
      <c r="A58" s="35" t="s">
        <v>300</v>
      </c>
      <c r="B58" s="36" t="s">
        <v>42</v>
      </c>
      <c r="C58" s="136"/>
      <c r="D58" s="137">
        <f>Questionnaire!B59</f>
        <v>0</v>
      </c>
    </row>
    <row r="59" spans="1:7" ht="20.100000000000001" customHeight="1">
      <c r="A59" s="35" t="s">
        <v>301</v>
      </c>
      <c r="B59" s="36" t="s">
        <v>44</v>
      </c>
      <c r="C59" s="136"/>
      <c r="D59" s="137">
        <f>Questionnaire!B60</f>
        <v>0</v>
      </c>
    </row>
    <row r="61" spans="1:7" ht="20.100000000000001" customHeight="1">
      <c r="A61" s="265" t="s">
        <v>302</v>
      </c>
      <c r="B61" s="266" t="s">
        <v>141</v>
      </c>
      <c r="C61" s="267"/>
      <c r="D61" s="268">
        <f>1.6*D34</f>
        <v>0</v>
      </c>
    </row>
    <row r="62" spans="1:7" ht="20.100000000000001" customHeight="1">
      <c r="A62" s="265" t="s">
        <v>303</v>
      </c>
      <c r="B62" s="266" t="s">
        <v>141</v>
      </c>
      <c r="C62" s="267"/>
      <c r="D62" s="268">
        <f>1.6*D35</f>
        <v>0</v>
      </c>
    </row>
    <row r="63" spans="1:7" ht="20.100000000000001" customHeight="1">
      <c r="A63" s="265" t="s">
        <v>304</v>
      </c>
      <c r="B63" s="266" t="s">
        <v>141</v>
      </c>
      <c r="C63" s="267"/>
      <c r="D63" s="268">
        <f>0.65*D36</f>
        <v>0</v>
      </c>
    </row>
    <row r="64" spans="1:7" ht="20.100000000000001" customHeight="1">
      <c r="A64" s="7"/>
      <c r="B64" s="7"/>
      <c r="C64" s="7"/>
      <c r="D64" s="7"/>
    </row>
    <row r="65" spans="1:4" ht="20.100000000000001" customHeight="1">
      <c r="A65" s="7"/>
      <c r="B65" s="7"/>
      <c r="C65" s="7"/>
      <c r="D65" s="7"/>
    </row>
    <row r="66" spans="1:4" ht="20.100000000000001" customHeight="1">
      <c r="A66" s="7"/>
      <c r="B66" s="7"/>
      <c r="C66" s="7"/>
      <c r="D66" s="7"/>
    </row>
    <row r="67" spans="1:4" ht="20.100000000000001" customHeight="1">
      <c r="A67" s="7"/>
      <c r="B67" s="7"/>
      <c r="C67" s="7"/>
      <c r="D67" s="7"/>
    </row>
  </sheetData>
  <phoneticPr fontId="4"/>
  <printOptions horizontalCentered="1"/>
  <pageMargins left="0.70000000000000007" right="0.70000000000000007" top="0.75000000000000011" bottom="0.75000000000000011" header="0.30000000000000004" footer="0.30000000000000004"/>
  <pageSetup paperSize="9" scale="59" orientation="portrait" r:id="rId1"/>
  <rowBreaks count="1" manualBreakCount="1">
    <brk id="10" max="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view="pageBreakPreview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2.875" defaultRowHeight="14.1" customHeight="1"/>
  <cols>
    <col min="1" max="1" width="47.625" style="1" customWidth="1"/>
    <col min="2" max="2" width="7.875" style="6" customWidth="1"/>
    <col min="3" max="10" width="6.375" style="2" customWidth="1"/>
    <col min="11" max="11" width="6.375" style="89" customWidth="1"/>
    <col min="12" max="19" width="6.375" style="2" customWidth="1"/>
    <col min="20" max="16384" width="12.875" style="4"/>
  </cols>
  <sheetData>
    <row r="1" spans="1:19" ht="27.95" customHeight="1">
      <c r="A1" s="57" t="s">
        <v>305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3" customFormat="1" ht="27.95" customHeight="1">
      <c r="A2" s="100"/>
      <c r="B2" s="6"/>
      <c r="C2" s="177" t="s">
        <v>406</v>
      </c>
      <c r="D2" s="177"/>
      <c r="E2" s="178"/>
      <c r="F2" s="178"/>
      <c r="G2" s="178"/>
      <c r="H2" s="178"/>
      <c r="I2" s="178"/>
      <c r="J2" s="178"/>
      <c r="L2" s="177" t="s">
        <v>399</v>
      </c>
      <c r="M2" s="177"/>
      <c r="N2" s="178"/>
      <c r="O2" s="178"/>
      <c r="P2" s="178"/>
      <c r="Q2" s="178"/>
      <c r="R2" s="178"/>
      <c r="S2" s="178"/>
    </row>
    <row r="3" spans="1:19" ht="14.1" customHeight="1">
      <c r="C3" s="2" t="s">
        <v>72</v>
      </c>
      <c r="K3" s="88"/>
      <c r="L3" s="2" t="s">
        <v>75</v>
      </c>
    </row>
    <row r="4" spans="1:19" ht="14.1" customHeight="1">
      <c r="A4" s="45" t="s">
        <v>402</v>
      </c>
      <c r="B4" s="46"/>
      <c r="C4" s="46"/>
      <c r="D4" s="46"/>
      <c r="E4" s="46"/>
      <c r="F4" s="46"/>
      <c r="G4" s="46"/>
      <c r="H4" s="46"/>
      <c r="I4" s="46"/>
      <c r="J4" s="46"/>
      <c r="K4" s="88"/>
      <c r="L4" s="46"/>
      <c r="M4" s="46"/>
      <c r="N4" s="46"/>
      <c r="O4" s="46"/>
      <c r="P4" s="46"/>
      <c r="Q4" s="46"/>
      <c r="R4" s="46"/>
      <c r="S4" s="46"/>
    </row>
    <row r="5" spans="1:19" ht="14.1" customHeight="1">
      <c r="A5" s="6"/>
      <c r="C5" s="37" t="s">
        <v>115</v>
      </c>
      <c r="D5" s="37" t="s">
        <v>116</v>
      </c>
      <c r="E5" s="37" t="s">
        <v>117</v>
      </c>
      <c r="F5" s="37" t="s">
        <v>118</v>
      </c>
      <c r="G5" s="37" t="s">
        <v>5</v>
      </c>
      <c r="H5" s="37" t="s">
        <v>6</v>
      </c>
      <c r="I5" s="37" t="s">
        <v>7</v>
      </c>
      <c r="J5" s="37" t="s">
        <v>9</v>
      </c>
      <c r="L5" s="37" t="s">
        <v>115</v>
      </c>
      <c r="M5" s="37" t="s">
        <v>116</v>
      </c>
      <c r="N5" s="37" t="s">
        <v>117</v>
      </c>
      <c r="O5" s="37" t="s">
        <v>118</v>
      </c>
      <c r="P5" s="37" t="s">
        <v>5</v>
      </c>
      <c r="Q5" s="37" t="s">
        <v>2</v>
      </c>
      <c r="R5" s="37" t="s">
        <v>4</v>
      </c>
      <c r="S5" s="37" t="s">
        <v>9</v>
      </c>
    </row>
    <row r="6" spans="1:19" ht="14.1" customHeight="1">
      <c r="A6" s="3" t="s">
        <v>306</v>
      </c>
      <c r="B6" s="3"/>
      <c r="C6" s="83">
        <f ca="1">INDIRECT("Data!"&amp;C$3&amp;5)*Default!$B$5</f>
        <v>0</v>
      </c>
      <c r="D6" s="93">
        <f ca="1">INDIRECT("Data!"&amp;C$3&amp;5)*Default!$B$6</f>
        <v>0</v>
      </c>
      <c r="E6" s="80">
        <f ca="1">INDIRECT("Data!"&amp;C$3&amp;5)*Default!$B$7</f>
        <v>0</v>
      </c>
      <c r="F6" s="94" t="s">
        <v>57</v>
      </c>
      <c r="G6" s="94" t="s">
        <v>57</v>
      </c>
      <c r="H6" s="94" t="s">
        <v>57</v>
      </c>
      <c r="I6" s="94" t="s">
        <v>57</v>
      </c>
      <c r="J6" s="94" t="s">
        <v>57</v>
      </c>
      <c r="L6" s="83">
        <f ca="1">INDIRECT("Data!"&amp;L$3&amp;5)*Default!$B$5</f>
        <v>0</v>
      </c>
      <c r="M6" s="93">
        <f ca="1">INDIRECT("Data!"&amp;L$3&amp;5)*Default!$B$6</f>
        <v>0</v>
      </c>
      <c r="N6" s="80">
        <f ca="1">INDIRECT("Data!"&amp;L$3&amp;5)*Default!$B$7</f>
        <v>0</v>
      </c>
      <c r="O6" s="94" t="s">
        <v>57</v>
      </c>
      <c r="P6" s="94" t="s">
        <v>57</v>
      </c>
      <c r="Q6" s="94" t="s">
        <v>57</v>
      </c>
      <c r="R6" s="94" t="s">
        <v>57</v>
      </c>
      <c r="S6" s="94" t="s">
        <v>57</v>
      </c>
    </row>
    <row r="7" spans="1:19" ht="14.1" customHeight="1">
      <c r="A7" s="3" t="s">
        <v>309</v>
      </c>
      <c r="B7" s="3"/>
      <c r="C7" s="80">
        <f ca="1">INDIRECT("Data!"&amp;C$3&amp;6)*Default!$B$10</f>
        <v>0</v>
      </c>
      <c r="D7" s="80">
        <f ca="1">INDIRECT("Data!"&amp;C$3&amp;6)*Default!$B$11</f>
        <v>0</v>
      </c>
      <c r="E7" s="80">
        <f ca="1">INDIRECT("Data!"&amp;C$3&amp;6)*Default!$B$12</f>
        <v>0</v>
      </c>
      <c r="F7" s="94" t="s">
        <v>57</v>
      </c>
      <c r="G7" s="94" t="s">
        <v>57</v>
      </c>
      <c r="H7" s="94" t="s">
        <v>57</v>
      </c>
      <c r="I7" s="94" t="s">
        <v>57</v>
      </c>
      <c r="J7" s="94" t="s">
        <v>57</v>
      </c>
      <c r="L7" s="80">
        <f ca="1">INDIRECT("Data!"&amp;L$3&amp;6)*Default!$B$10</f>
        <v>0</v>
      </c>
      <c r="M7" s="80">
        <f ca="1">INDIRECT("Data!"&amp;L$3&amp;6)*Default!$B$11</f>
        <v>0</v>
      </c>
      <c r="N7" s="80">
        <f ca="1">INDIRECT("Data!"&amp;L$3&amp;6)*Default!$B$12</f>
        <v>0</v>
      </c>
      <c r="O7" s="94" t="s">
        <v>57</v>
      </c>
      <c r="P7" s="94" t="s">
        <v>57</v>
      </c>
      <c r="Q7" s="94" t="s">
        <v>57</v>
      </c>
      <c r="R7" s="94" t="s">
        <v>57</v>
      </c>
      <c r="S7" s="94" t="s">
        <v>57</v>
      </c>
    </row>
    <row r="8" spans="1:19" ht="14.1" customHeight="1">
      <c r="A8" s="3" t="s">
        <v>307</v>
      </c>
      <c r="B8" s="3"/>
      <c r="C8" s="94" t="s">
        <v>57</v>
      </c>
      <c r="D8" s="94" t="s">
        <v>57</v>
      </c>
      <c r="E8" s="94" t="s">
        <v>57</v>
      </c>
      <c r="F8" s="82">
        <f ca="1">INDIRECT("Data!"&amp;C$3&amp;49)*INDIRECT("Data!"&amp;C$3&amp;51)*3600*8760/10^6</f>
        <v>0</v>
      </c>
      <c r="G8" s="82">
        <f ca="1">INDIRECT("Data!"&amp;C$3&amp;49)*INDIRECT("Data!"&amp;C$3&amp;50)*3600*8760/10^6</f>
        <v>0</v>
      </c>
      <c r="H8" s="94" t="s">
        <v>57</v>
      </c>
      <c r="I8" s="94" t="s">
        <v>57</v>
      </c>
      <c r="J8" s="94" t="s">
        <v>57</v>
      </c>
      <c r="K8" s="90"/>
      <c r="L8" s="94" t="s">
        <v>57</v>
      </c>
      <c r="M8" s="94" t="s">
        <v>57</v>
      </c>
      <c r="N8" s="94" t="s">
        <v>57</v>
      </c>
      <c r="O8" s="82">
        <f ca="1">INDIRECT("Data!"&amp;L$3&amp;49)*INDIRECT("Data!"&amp;L$3&amp;51)*3600*8760/10^6</f>
        <v>0</v>
      </c>
      <c r="P8" s="82">
        <f ca="1">INDIRECT("Data!"&amp;L$3&amp;49)*INDIRECT("Data!"&amp;L$3&amp;50)*3600*8760/10^6</f>
        <v>0</v>
      </c>
      <c r="Q8" s="94" t="s">
        <v>57</v>
      </c>
      <c r="R8" s="94" t="s">
        <v>57</v>
      </c>
      <c r="S8" s="94" t="s">
        <v>57</v>
      </c>
    </row>
    <row r="9" spans="1:19" ht="14.1" customHeight="1">
      <c r="A9" s="3" t="s">
        <v>308</v>
      </c>
      <c r="B9" s="3"/>
      <c r="C9" s="80">
        <f ca="1">INDIRECT("Data!"&amp;C$3&amp;7)*Default!$B$20/1000</f>
        <v>0</v>
      </c>
      <c r="D9" s="94" t="s">
        <v>57</v>
      </c>
      <c r="E9" s="94" t="s">
        <v>57</v>
      </c>
      <c r="F9" s="94" t="s">
        <v>57</v>
      </c>
      <c r="G9" s="94" t="s">
        <v>57</v>
      </c>
      <c r="H9" s="94" t="s">
        <v>57</v>
      </c>
      <c r="I9" s="94" t="s">
        <v>57</v>
      </c>
      <c r="J9" s="94" t="s">
        <v>57</v>
      </c>
      <c r="L9" s="80">
        <f ca="1">INDIRECT("Data!"&amp;L$3&amp;7)*Default!$B$20/1000</f>
        <v>0</v>
      </c>
      <c r="M9" s="94" t="s">
        <v>57</v>
      </c>
      <c r="N9" s="94" t="s">
        <v>57</v>
      </c>
      <c r="O9" s="94" t="s">
        <v>57</v>
      </c>
      <c r="P9" s="94" t="s">
        <v>57</v>
      </c>
      <c r="Q9" s="94" t="s">
        <v>57</v>
      </c>
      <c r="R9" s="94" t="s">
        <v>57</v>
      </c>
      <c r="S9" s="94" t="s">
        <v>57</v>
      </c>
    </row>
    <row r="10" spans="1:19" s="13" customFormat="1" ht="14.1" customHeight="1">
      <c r="A10" s="11" t="s">
        <v>73</v>
      </c>
      <c r="B10" s="11"/>
      <c r="C10" s="80">
        <f t="shared" ref="C10:J10" ca="1" si="0">SUM(C6:C9)</f>
        <v>0</v>
      </c>
      <c r="D10" s="80">
        <f t="shared" ca="1" si="0"/>
        <v>0</v>
      </c>
      <c r="E10" s="80">
        <f t="shared" ca="1" si="0"/>
        <v>0</v>
      </c>
      <c r="F10" s="80">
        <f t="shared" ca="1" si="0"/>
        <v>0</v>
      </c>
      <c r="G10" s="80">
        <f t="shared" ca="1" si="0"/>
        <v>0</v>
      </c>
      <c r="H10" s="81">
        <f t="shared" si="0"/>
        <v>0</v>
      </c>
      <c r="I10" s="81">
        <f t="shared" si="0"/>
        <v>0</v>
      </c>
      <c r="J10" s="81">
        <f t="shared" si="0"/>
        <v>0</v>
      </c>
      <c r="K10" s="91"/>
      <c r="L10" s="80">
        <f t="shared" ref="L10:S10" ca="1" si="1">SUM(L6:L9)</f>
        <v>0</v>
      </c>
      <c r="M10" s="80">
        <f t="shared" ca="1" si="1"/>
        <v>0</v>
      </c>
      <c r="N10" s="80">
        <f t="shared" ca="1" si="1"/>
        <v>0</v>
      </c>
      <c r="O10" s="80">
        <f t="shared" ca="1" si="1"/>
        <v>0</v>
      </c>
      <c r="P10" s="80">
        <f t="shared" ca="1" si="1"/>
        <v>0</v>
      </c>
      <c r="Q10" s="81">
        <f t="shared" si="1"/>
        <v>0</v>
      </c>
      <c r="R10" s="81">
        <f t="shared" si="1"/>
        <v>0</v>
      </c>
      <c r="S10" s="81">
        <f t="shared" si="1"/>
        <v>0</v>
      </c>
    </row>
    <row r="11" spans="1:19" s="13" customFormat="1" ht="14.1" customHeight="1">
      <c r="A11" s="11" t="s">
        <v>407</v>
      </c>
      <c r="B11" s="11"/>
      <c r="C11" s="273" t="e">
        <f ca="1">C10/Data!$C9</f>
        <v>#DIV/0!</v>
      </c>
      <c r="D11" s="273" t="e">
        <f ca="1">D10/Data!$C9</f>
        <v>#DIV/0!</v>
      </c>
      <c r="E11" s="273" t="e">
        <f ca="1">E10/Data!$C9</f>
        <v>#DIV/0!</v>
      </c>
      <c r="F11" s="273" t="e">
        <f ca="1">F10/Data!$C9</f>
        <v>#DIV/0!</v>
      </c>
      <c r="G11" s="273" t="e">
        <f ca="1">G10/Data!$C9</f>
        <v>#DIV/0!</v>
      </c>
      <c r="H11" s="273" t="e">
        <f>H10/Data!$C9</f>
        <v>#DIV/0!</v>
      </c>
      <c r="I11" s="273" t="e">
        <f>I10/Data!$C9</f>
        <v>#DIV/0!</v>
      </c>
      <c r="J11" s="273" t="e">
        <f>J10/Data!$C9</f>
        <v>#DIV/0!</v>
      </c>
      <c r="K11" s="91"/>
      <c r="L11" s="273" t="e">
        <f ca="1">L10/Data!$D9</f>
        <v>#DIV/0!</v>
      </c>
      <c r="M11" s="273" t="e">
        <f ca="1">M10/Data!$D9</f>
        <v>#DIV/0!</v>
      </c>
      <c r="N11" s="273" t="e">
        <f ca="1">N10/Data!$D9</f>
        <v>#DIV/0!</v>
      </c>
      <c r="O11" s="273" t="e">
        <f ca="1">O10/Data!$D9</f>
        <v>#DIV/0!</v>
      </c>
      <c r="P11" s="273" t="e">
        <f ca="1">P10/Data!$D9</f>
        <v>#DIV/0!</v>
      </c>
      <c r="Q11" s="273" t="e">
        <f>Q10/Data!$D9</f>
        <v>#DIV/0!</v>
      </c>
      <c r="R11" s="273" t="e">
        <f>R10/Data!$D9</f>
        <v>#DIV/0!</v>
      </c>
      <c r="S11" s="273" t="e">
        <f>S10/Data!$D9</f>
        <v>#DIV/0!</v>
      </c>
    </row>
    <row r="12" spans="1:19" ht="14.1" customHeight="1">
      <c r="A12" s="3"/>
      <c r="K12" s="90"/>
    </row>
    <row r="13" spans="1:19" ht="14.1" customHeight="1">
      <c r="A13" s="45" t="s">
        <v>261</v>
      </c>
      <c r="B13" s="46"/>
      <c r="C13" s="47"/>
      <c r="D13" s="47"/>
      <c r="E13" s="47"/>
      <c r="F13" s="47"/>
      <c r="G13" s="47"/>
      <c r="H13" s="47"/>
      <c r="I13" s="47"/>
      <c r="J13" s="47"/>
      <c r="K13" s="4"/>
      <c r="L13" s="47"/>
      <c r="M13" s="47"/>
      <c r="N13" s="47"/>
      <c r="O13" s="47"/>
      <c r="P13" s="47"/>
      <c r="Q13" s="47"/>
      <c r="R13" s="47"/>
      <c r="S13" s="47"/>
    </row>
    <row r="14" spans="1:19" ht="14.1" customHeight="1">
      <c r="A14" s="6"/>
      <c r="C14" s="37" t="s">
        <v>115</v>
      </c>
      <c r="D14" s="37" t="s">
        <v>116</v>
      </c>
      <c r="E14" s="37" t="s">
        <v>117</v>
      </c>
      <c r="F14" s="37" t="s">
        <v>118</v>
      </c>
      <c r="G14" s="48" t="s">
        <v>26</v>
      </c>
      <c r="H14" s="48" t="s">
        <v>1</v>
      </c>
      <c r="I14" s="48" t="s">
        <v>3</v>
      </c>
      <c r="J14" s="48" t="s">
        <v>8</v>
      </c>
      <c r="L14" s="37" t="s">
        <v>115</v>
      </c>
      <c r="M14" s="37" t="s">
        <v>116</v>
      </c>
      <c r="N14" s="37" t="s">
        <v>117</v>
      </c>
      <c r="O14" s="37" t="s">
        <v>118</v>
      </c>
      <c r="P14" s="48" t="s">
        <v>26</v>
      </c>
      <c r="Q14" s="48" t="s">
        <v>1</v>
      </c>
      <c r="R14" s="48" t="s">
        <v>3</v>
      </c>
      <c r="S14" s="48" t="s">
        <v>8</v>
      </c>
    </row>
    <row r="15" spans="1:19" ht="14.1" customHeight="1">
      <c r="A15" s="3" t="s">
        <v>310</v>
      </c>
      <c r="B15" s="3"/>
      <c r="C15" s="95" t="s">
        <v>63</v>
      </c>
      <c r="D15" s="80">
        <f ca="1">INDIRECT("Data!"&amp;C$3&amp;13)*INDIRECT("Data!"&amp;C$3&amp;14)*Default!$B$29*Default!$B$30*Default!$B$31/10^6</f>
        <v>0</v>
      </c>
      <c r="E15" s="95" t="s">
        <v>63</v>
      </c>
      <c r="F15" s="95" t="s">
        <v>63</v>
      </c>
      <c r="G15" s="95" t="s">
        <v>63</v>
      </c>
      <c r="H15" s="95" t="s">
        <v>63</v>
      </c>
      <c r="I15" s="95" t="s">
        <v>63</v>
      </c>
      <c r="J15" s="95" t="s">
        <v>63</v>
      </c>
      <c r="K15" s="91"/>
      <c r="L15" s="95" t="s">
        <v>63</v>
      </c>
      <c r="M15" s="80">
        <f ca="1">INDIRECT("Data!"&amp;L$3&amp;12)*INDIRECT("Data!"&amp;L$3&amp;13)*Default!$B$29*Default!$B$30*Default!$B$31/10^6</f>
        <v>0</v>
      </c>
      <c r="N15" s="95" t="s">
        <v>63</v>
      </c>
      <c r="O15" s="95" t="s">
        <v>63</v>
      </c>
      <c r="P15" s="95" t="s">
        <v>63</v>
      </c>
      <c r="Q15" s="95" t="s">
        <v>63</v>
      </c>
      <c r="R15" s="95" t="s">
        <v>63</v>
      </c>
      <c r="S15" s="95" t="s">
        <v>63</v>
      </c>
    </row>
    <row r="16" spans="1:19" ht="14.1" customHeight="1">
      <c r="A16" s="3" t="s">
        <v>311</v>
      </c>
      <c r="B16" s="3"/>
      <c r="C16" s="95" t="s">
        <v>58</v>
      </c>
      <c r="D16" s="80">
        <f ca="1">INDIRECT("Data!"&amp;C$3&amp;19)*INDIRECT("Data!"&amp;C$3&amp;23)*Default!$B$29*Default!$B$30*Default!$B$31/10^6</f>
        <v>0</v>
      </c>
      <c r="E16" s="95" t="s">
        <v>58</v>
      </c>
      <c r="F16" s="95" t="s">
        <v>58</v>
      </c>
      <c r="G16" s="95" t="s">
        <v>58</v>
      </c>
      <c r="H16" s="95" t="s">
        <v>58</v>
      </c>
      <c r="I16" s="95" t="s">
        <v>58</v>
      </c>
      <c r="J16" s="95" t="s">
        <v>58</v>
      </c>
      <c r="K16" s="91"/>
      <c r="L16" s="95" t="s">
        <v>57</v>
      </c>
      <c r="M16" s="80">
        <f ca="1">INDIRECT("Data!"&amp;L$3&amp;19)*INDIRECT("Data!"&amp;L$3&amp;23)*Default!$B$29*Default!$B$30*Default!$B$31/10^6</f>
        <v>0</v>
      </c>
      <c r="N16" s="95" t="s">
        <v>57</v>
      </c>
      <c r="O16" s="95" t="s">
        <v>57</v>
      </c>
      <c r="P16" s="95" t="s">
        <v>57</v>
      </c>
      <c r="Q16" s="95" t="s">
        <v>57</v>
      </c>
      <c r="R16" s="95" t="s">
        <v>57</v>
      </c>
      <c r="S16" s="95" t="s">
        <v>57</v>
      </c>
    </row>
    <row r="17" spans="1:19" ht="14.1" customHeight="1">
      <c r="A17" s="3" t="s">
        <v>312</v>
      </c>
      <c r="B17" s="3"/>
      <c r="C17" s="95" t="s">
        <v>63</v>
      </c>
      <c r="D17" s="95" t="s">
        <v>63</v>
      </c>
      <c r="E17" s="95" t="s">
        <v>63</v>
      </c>
      <c r="F17" s="95" t="s">
        <v>63</v>
      </c>
      <c r="G17" s="95" t="s">
        <v>63</v>
      </c>
      <c r="H17" s="81">
        <f ca="1">INDIRECT("Data!"&amp;C$3&amp;19)*INDIRECT("Data!"&amp;C$3&amp;26)/10^6</f>
        <v>0</v>
      </c>
      <c r="I17" s="95" t="s">
        <v>63</v>
      </c>
      <c r="J17" s="95" t="s">
        <v>63</v>
      </c>
      <c r="K17" s="91"/>
      <c r="L17" s="95" t="s">
        <v>63</v>
      </c>
      <c r="M17" s="95" t="s">
        <v>63</v>
      </c>
      <c r="N17" s="95" t="s">
        <v>63</v>
      </c>
      <c r="O17" s="95" t="s">
        <v>63</v>
      </c>
      <c r="P17" s="95" t="s">
        <v>63</v>
      </c>
      <c r="Q17" s="81">
        <f ca="1">INDIRECT("Data!"&amp;L$3&amp;19)*INDIRECT("Data!"&amp;L$3&amp;26)/10^6</f>
        <v>0</v>
      </c>
      <c r="R17" s="95" t="s">
        <v>63</v>
      </c>
      <c r="S17" s="95" t="s">
        <v>63</v>
      </c>
    </row>
    <row r="18" spans="1:19" ht="14.1" customHeight="1">
      <c r="A18" s="3" t="s">
        <v>313</v>
      </c>
      <c r="B18" s="3"/>
      <c r="C18" s="95" t="s">
        <v>63</v>
      </c>
      <c r="D18" s="95" t="s">
        <v>63</v>
      </c>
      <c r="E18" s="95" t="s">
        <v>63</v>
      </c>
      <c r="F18" s="95" t="s">
        <v>63</v>
      </c>
      <c r="G18" s="95" t="s">
        <v>63</v>
      </c>
      <c r="H18" s="95" t="s">
        <v>63</v>
      </c>
      <c r="I18" s="81">
        <f ca="1">INDIRECT("Data!"&amp;C$3&amp;19)*INDIRECT("Data!"&amp;C$3&amp;27)/10^6</f>
        <v>0</v>
      </c>
      <c r="J18" s="95" t="s">
        <v>63</v>
      </c>
      <c r="K18" s="91"/>
      <c r="L18" s="95" t="s">
        <v>63</v>
      </c>
      <c r="M18" s="95" t="s">
        <v>63</v>
      </c>
      <c r="N18" s="95" t="s">
        <v>63</v>
      </c>
      <c r="O18" s="95" t="s">
        <v>63</v>
      </c>
      <c r="P18" s="95" t="s">
        <v>63</v>
      </c>
      <c r="Q18" s="95" t="s">
        <v>63</v>
      </c>
      <c r="R18" s="81">
        <f ca="1">INDIRECT("Data!"&amp;L$3&amp;19)*INDIRECT("Data!"&amp;L$3&amp;27)/10^6</f>
        <v>0</v>
      </c>
      <c r="S18" s="95" t="s">
        <v>63</v>
      </c>
    </row>
    <row r="19" spans="1:19" ht="14.1" customHeight="1">
      <c r="A19" s="3" t="s">
        <v>314</v>
      </c>
      <c r="B19" s="3"/>
      <c r="C19" s="95" t="s">
        <v>63</v>
      </c>
      <c r="D19" s="95" t="s">
        <v>63</v>
      </c>
      <c r="E19" s="95" t="s">
        <v>63</v>
      </c>
      <c r="F19" s="95" t="s">
        <v>63</v>
      </c>
      <c r="G19" s="95" t="s">
        <v>63</v>
      </c>
      <c r="H19" s="95" t="s">
        <v>63</v>
      </c>
      <c r="I19" s="95" t="s">
        <v>63</v>
      </c>
      <c r="J19" s="81">
        <f ca="1">INDIRECT("Data!"&amp;C$3&amp;19)*INDIRECT("Data!"&amp;C$3&amp;23)/10^6</f>
        <v>0</v>
      </c>
      <c r="K19" s="91"/>
      <c r="L19" s="95" t="s">
        <v>63</v>
      </c>
      <c r="M19" s="95" t="s">
        <v>63</v>
      </c>
      <c r="N19" s="95" t="s">
        <v>63</v>
      </c>
      <c r="O19" s="95" t="s">
        <v>63</v>
      </c>
      <c r="P19" s="95" t="s">
        <v>63</v>
      </c>
      <c r="Q19" s="95" t="s">
        <v>63</v>
      </c>
      <c r="R19" s="95" t="s">
        <v>63</v>
      </c>
      <c r="S19" s="81">
        <f ca="1">INDIRECT("Data!"&amp;L$3&amp;19)*INDIRECT("Data!"&amp;L$3&amp;23)/10^6</f>
        <v>0</v>
      </c>
    </row>
    <row r="20" spans="1:19" ht="14.1" customHeight="1">
      <c r="A20" s="3" t="s">
        <v>308</v>
      </c>
      <c r="B20" s="3"/>
      <c r="C20" s="80">
        <f ca="1">INDIRECT("Data!"&amp;C$3&amp;16)*Default!$B$20/1000</f>
        <v>0</v>
      </c>
      <c r="D20" s="95" t="s">
        <v>63</v>
      </c>
      <c r="E20" s="95" t="s">
        <v>63</v>
      </c>
      <c r="F20" s="95" t="s">
        <v>63</v>
      </c>
      <c r="G20" s="95" t="s">
        <v>63</v>
      </c>
      <c r="H20" s="95" t="s">
        <v>63</v>
      </c>
      <c r="I20" s="95" t="s">
        <v>63</v>
      </c>
      <c r="J20" s="95" t="s">
        <v>63</v>
      </c>
      <c r="K20" s="91"/>
      <c r="L20" s="80">
        <f ca="1">INDIRECT("Data!"&amp;L$3&amp;16)*Default!$B$20/1000</f>
        <v>0</v>
      </c>
      <c r="M20" s="95" t="s">
        <v>63</v>
      </c>
      <c r="N20" s="95" t="s">
        <v>63</v>
      </c>
      <c r="O20" s="95" t="s">
        <v>63</v>
      </c>
      <c r="P20" s="95" t="s">
        <v>63</v>
      </c>
      <c r="Q20" s="95" t="s">
        <v>63</v>
      </c>
      <c r="R20" s="95" t="s">
        <v>63</v>
      </c>
      <c r="S20" s="95" t="s">
        <v>63</v>
      </c>
    </row>
    <row r="21" spans="1:19" ht="14.1" customHeight="1">
      <c r="A21" s="3" t="s">
        <v>315</v>
      </c>
      <c r="B21" s="3"/>
      <c r="C21" s="80">
        <f ca="1">-INDIRECT("Data!"&amp;C$3&amp;18)*Default!$B$20/1000</f>
        <v>0</v>
      </c>
      <c r="D21" s="95" t="s">
        <v>63</v>
      </c>
      <c r="E21" s="95" t="s">
        <v>63</v>
      </c>
      <c r="F21" s="95" t="s">
        <v>63</v>
      </c>
      <c r="G21" s="95" t="s">
        <v>63</v>
      </c>
      <c r="H21" s="95" t="s">
        <v>63</v>
      </c>
      <c r="I21" s="95" t="s">
        <v>63</v>
      </c>
      <c r="J21" s="95" t="s">
        <v>63</v>
      </c>
      <c r="K21" s="91"/>
      <c r="L21" s="80">
        <f ca="1">-INDIRECT("Data!"&amp;L$3&amp;18)*Default!$B$20/1000</f>
        <v>0</v>
      </c>
      <c r="M21" s="95" t="s">
        <v>63</v>
      </c>
      <c r="N21" s="95" t="s">
        <v>63</v>
      </c>
      <c r="O21" s="95" t="s">
        <v>63</v>
      </c>
      <c r="P21" s="95" t="s">
        <v>63</v>
      </c>
      <c r="Q21" s="95" t="s">
        <v>63</v>
      </c>
      <c r="R21" s="95" t="s">
        <v>63</v>
      </c>
      <c r="S21" s="95" t="s">
        <v>63</v>
      </c>
    </row>
    <row r="22" spans="1:19" ht="14.1" customHeight="1">
      <c r="A22" s="3" t="s">
        <v>316</v>
      </c>
      <c r="C22" s="96">
        <f ca="1">C60</f>
        <v>0</v>
      </c>
      <c r="D22" s="97">
        <f ca="1">C61</f>
        <v>0</v>
      </c>
      <c r="E22" s="95" t="s">
        <v>63</v>
      </c>
      <c r="F22" s="95" t="s">
        <v>63</v>
      </c>
      <c r="G22" s="95" t="s">
        <v>63</v>
      </c>
      <c r="H22" s="95" t="s">
        <v>63</v>
      </c>
      <c r="I22" s="95" t="s">
        <v>63</v>
      </c>
      <c r="J22" s="95" t="s">
        <v>63</v>
      </c>
      <c r="K22" s="98"/>
      <c r="L22" s="96">
        <f ca="1">L60</f>
        <v>0</v>
      </c>
      <c r="M22" s="97">
        <f ca="1">L61</f>
        <v>0</v>
      </c>
      <c r="N22" s="95" t="s">
        <v>63</v>
      </c>
      <c r="O22" s="95" t="s">
        <v>63</v>
      </c>
      <c r="P22" s="95" t="s">
        <v>63</v>
      </c>
      <c r="Q22" s="95" t="s">
        <v>63</v>
      </c>
      <c r="R22" s="95" t="s">
        <v>63</v>
      </c>
      <c r="S22" s="95" t="s">
        <v>63</v>
      </c>
    </row>
    <row r="23" spans="1:19" ht="14.1" customHeight="1">
      <c r="A23" s="86" t="s">
        <v>73</v>
      </c>
      <c r="B23" s="8"/>
      <c r="C23" s="101">
        <f ca="1">SUM(C15:C22)</f>
        <v>0</v>
      </c>
      <c r="D23" s="233">
        <f t="shared" ref="D23:J23" ca="1" si="2">SUM(D15:D22)</f>
        <v>0</v>
      </c>
      <c r="E23" s="101">
        <f t="shared" si="2"/>
        <v>0</v>
      </c>
      <c r="F23" s="101">
        <f t="shared" si="2"/>
        <v>0</v>
      </c>
      <c r="G23" s="101">
        <f t="shared" si="2"/>
        <v>0</v>
      </c>
      <c r="H23" s="81">
        <f t="shared" ca="1" si="2"/>
        <v>0</v>
      </c>
      <c r="I23" s="81">
        <f t="shared" ca="1" si="2"/>
        <v>0</v>
      </c>
      <c r="J23" s="81">
        <f t="shared" ca="1" si="2"/>
        <v>0</v>
      </c>
      <c r="K23" s="99"/>
      <c r="L23" s="101">
        <f t="shared" ref="L23:S23" ca="1" si="3">SUM(L15:L22)</f>
        <v>0</v>
      </c>
      <c r="M23" s="233">
        <f t="shared" ca="1" si="3"/>
        <v>0</v>
      </c>
      <c r="N23" s="101">
        <f t="shared" si="3"/>
        <v>0</v>
      </c>
      <c r="O23" s="101">
        <f t="shared" si="3"/>
        <v>0</v>
      </c>
      <c r="P23" s="101">
        <f t="shared" si="3"/>
        <v>0</v>
      </c>
      <c r="Q23" s="81">
        <f t="shared" ca="1" si="3"/>
        <v>0</v>
      </c>
      <c r="R23" s="81">
        <f t="shared" ca="1" si="3"/>
        <v>0</v>
      </c>
      <c r="S23" s="81">
        <f t="shared" ca="1" si="3"/>
        <v>0</v>
      </c>
    </row>
    <row r="24" spans="1:19" s="13" customFormat="1" ht="14.1" customHeight="1">
      <c r="A24" s="11" t="s">
        <v>407</v>
      </c>
      <c r="B24" s="11"/>
      <c r="C24" s="273" t="e">
        <f ca="1">C23/Data!$C9</f>
        <v>#DIV/0!</v>
      </c>
      <c r="D24" s="273" t="e">
        <f ca="1">D23/Data!$C9</f>
        <v>#DIV/0!</v>
      </c>
      <c r="E24" s="273" t="e">
        <f>E23/Data!$C9</f>
        <v>#DIV/0!</v>
      </c>
      <c r="F24" s="273" t="e">
        <f>F23/Data!$C9</f>
        <v>#DIV/0!</v>
      </c>
      <c r="G24" s="273" t="e">
        <f>G23/Data!$C9</f>
        <v>#DIV/0!</v>
      </c>
      <c r="H24" s="273" t="e">
        <f ca="1">H23/Data!$C9</f>
        <v>#DIV/0!</v>
      </c>
      <c r="I24" s="273" t="e">
        <f ca="1">I23/Data!$C9</f>
        <v>#DIV/0!</v>
      </c>
      <c r="J24" s="273" t="e">
        <f ca="1">J23/Data!$C9</f>
        <v>#DIV/0!</v>
      </c>
      <c r="K24" s="91"/>
      <c r="L24" s="273" t="e">
        <f ca="1">L23/Data!$D9</f>
        <v>#DIV/0!</v>
      </c>
      <c r="M24" s="273" t="e">
        <f ca="1">M23/Data!$D9</f>
        <v>#DIV/0!</v>
      </c>
      <c r="N24" s="273" t="e">
        <f>N23/Data!$D9</f>
        <v>#DIV/0!</v>
      </c>
      <c r="O24" s="273" t="e">
        <f>O23/Data!$D9</f>
        <v>#DIV/0!</v>
      </c>
      <c r="P24" s="273" t="e">
        <f>P23/Data!$D9</f>
        <v>#DIV/0!</v>
      </c>
      <c r="Q24" s="273" t="e">
        <f ca="1">Q23/Data!$D9</f>
        <v>#DIV/0!</v>
      </c>
      <c r="R24" s="273" t="e">
        <f ca="1">R23/Data!$D9</f>
        <v>#DIV/0!</v>
      </c>
      <c r="S24" s="273" t="e">
        <f ca="1">S23/Data!$D9</f>
        <v>#DIV/0!</v>
      </c>
    </row>
    <row r="26" spans="1:19" ht="14.1" customHeight="1">
      <c r="A26" s="45" t="s">
        <v>278</v>
      </c>
      <c r="B26" s="46"/>
      <c r="C26" s="47"/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47"/>
    </row>
    <row r="27" spans="1:19" ht="14.1" customHeight="1">
      <c r="A27" s="6"/>
      <c r="C27" s="37" t="s">
        <v>115</v>
      </c>
      <c r="D27" s="37" t="s">
        <v>116</v>
      </c>
      <c r="E27" s="37" t="s">
        <v>117</v>
      </c>
      <c r="F27" s="37" t="s">
        <v>118</v>
      </c>
      <c r="G27" s="37" t="s">
        <v>5</v>
      </c>
      <c r="H27" s="37" t="s">
        <v>6</v>
      </c>
      <c r="I27" s="37" t="s">
        <v>7</v>
      </c>
      <c r="J27" s="37" t="s">
        <v>9</v>
      </c>
      <c r="L27" s="37" t="s">
        <v>115</v>
      </c>
      <c r="M27" s="37" t="s">
        <v>116</v>
      </c>
      <c r="N27" s="37" t="s">
        <v>117</v>
      </c>
      <c r="O27" s="37" t="s">
        <v>118</v>
      </c>
      <c r="P27" s="37" t="s">
        <v>5</v>
      </c>
      <c r="Q27" s="37" t="s">
        <v>2</v>
      </c>
      <c r="R27" s="37" t="s">
        <v>4</v>
      </c>
      <c r="S27" s="37" t="s">
        <v>9</v>
      </c>
    </row>
    <row r="28" spans="1:19" ht="14.1" customHeight="1">
      <c r="A28" s="3" t="s">
        <v>317</v>
      </c>
      <c r="B28" s="3"/>
      <c r="C28" s="80">
        <f ca="1">INDIRECT("Data!"&amp;C$3&amp;31)*Default!$B$15</f>
        <v>0</v>
      </c>
      <c r="D28" s="80">
        <f ca="1">INDIRECT("Data!"&amp;C$3&amp;31)*Default!$B$16</f>
        <v>0</v>
      </c>
      <c r="E28" s="80">
        <f ca="1">INDIRECT("Data!"&amp;C$3&amp;31)*Default!$B$17</f>
        <v>0</v>
      </c>
      <c r="F28" s="94" t="s">
        <v>57</v>
      </c>
      <c r="G28" s="94" t="s">
        <v>57</v>
      </c>
      <c r="H28" s="94" t="s">
        <v>57</v>
      </c>
      <c r="I28" s="94" t="s">
        <v>57</v>
      </c>
      <c r="J28" s="94" t="s">
        <v>57</v>
      </c>
      <c r="L28" s="80">
        <f ca="1">INDIRECT("Data!"&amp;L$3&amp;31)*Default!$B$15</f>
        <v>0</v>
      </c>
      <c r="M28" s="80">
        <f ca="1">INDIRECT("Data!"&amp;L$3&amp;31)*Default!$B$16</f>
        <v>0</v>
      </c>
      <c r="N28" s="80">
        <f ca="1">INDIRECT("Data!"&amp;L$3&amp;31)*Default!$B$17</f>
        <v>0</v>
      </c>
      <c r="O28" s="94" t="s">
        <v>57</v>
      </c>
      <c r="P28" s="94" t="s">
        <v>57</v>
      </c>
      <c r="Q28" s="94" t="s">
        <v>57</v>
      </c>
      <c r="R28" s="94" t="s">
        <v>57</v>
      </c>
      <c r="S28" s="94" t="s">
        <v>57</v>
      </c>
    </row>
    <row r="29" spans="1:19" ht="14.1" customHeight="1">
      <c r="A29" s="3" t="s">
        <v>318</v>
      </c>
      <c r="B29" s="3"/>
      <c r="C29" s="80">
        <f ca="1">INDIRECT("Data!"&amp;C$3&amp;33)*Default!$B$15</f>
        <v>0</v>
      </c>
      <c r="D29" s="80">
        <f ca="1">INDIRECT("Data!"&amp;C$3&amp;33)*Default!$B$16</f>
        <v>0</v>
      </c>
      <c r="E29" s="80">
        <f ca="1">INDIRECT("Data!"&amp;C$3&amp;33)*Default!$B$17</f>
        <v>0</v>
      </c>
      <c r="F29" s="94" t="s">
        <v>57</v>
      </c>
      <c r="G29" s="94" t="s">
        <v>57</v>
      </c>
      <c r="H29" s="94" t="s">
        <v>57</v>
      </c>
      <c r="I29" s="94" t="s">
        <v>57</v>
      </c>
      <c r="J29" s="94" t="s">
        <v>57</v>
      </c>
      <c r="L29" s="80">
        <f ca="1">INDIRECT("Data!"&amp;L$3&amp;33)*Default!$B$15</f>
        <v>0</v>
      </c>
      <c r="M29" s="80">
        <f ca="1">INDIRECT("Data!"&amp;L$3&amp;33)*Default!$B$16</f>
        <v>0</v>
      </c>
      <c r="N29" s="80">
        <f ca="1">INDIRECT("Data!"&amp;L$3&amp;33)*Default!$B$17</f>
        <v>0</v>
      </c>
      <c r="O29" s="94" t="s">
        <v>57</v>
      </c>
      <c r="P29" s="94" t="s">
        <v>57</v>
      </c>
      <c r="Q29" s="94" t="s">
        <v>57</v>
      </c>
      <c r="R29" s="94" t="s">
        <v>57</v>
      </c>
      <c r="S29" s="94" t="s">
        <v>57</v>
      </c>
    </row>
    <row r="30" spans="1:19" ht="14.1" customHeight="1">
      <c r="A30" s="3" t="s">
        <v>319</v>
      </c>
      <c r="B30" s="3"/>
      <c r="C30" s="80">
        <f ca="1">INDIRECT("Data!"&amp;C$3&amp;40)*Default!$B$15</f>
        <v>0</v>
      </c>
      <c r="D30" s="80">
        <f ca="1">INDIRECT("Data!"&amp;C$3&amp;40)*Default!$B$16</f>
        <v>0</v>
      </c>
      <c r="E30" s="80">
        <f ca="1">INDIRECT("Data!"&amp;C$3&amp;40)*Default!$B$17</f>
        <v>0</v>
      </c>
      <c r="F30" s="94" t="s">
        <v>57</v>
      </c>
      <c r="G30" s="94" t="s">
        <v>57</v>
      </c>
      <c r="H30" s="94" t="s">
        <v>57</v>
      </c>
      <c r="I30" s="94" t="s">
        <v>57</v>
      </c>
      <c r="J30" s="94" t="s">
        <v>57</v>
      </c>
      <c r="K30" s="90"/>
      <c r="L30" s="80">
        <f ca="1">INDIRECT("Data!"&amp;L$3&amp;40)*Default!$B$15</f>
        <v>0</v>
      </c>
      <c r="M30" s="80">
        <f ca="1">INDIRECT("Data!"&amp;L$3&amp;40)*Default!$B$16</f>
        <v>0</v>
      </c>
      <c r="N30" s="80">
        <f ca="1">INDIRECT("Data!"&amp;L$3&amp;40)*Default!$B$17</f>
        <v>0</v>
      </c>
      <c r="O30" s="94" t="s">
        <v>57</v>
      </c>
      <c r="P30" s="94" t="s">
        <v>57</v>
      </c>
      <c r="Q30" s="94" t="s">
        <v>57</v>
      </c>
      <c r="R30" s="94" t="s">
        <v>57</v>
      </c>
      <c r="S30" s="94" t="s">
        <v>57</v>
      </c>
    </row>
    <row r="31" spans="1:19" ht="14.1" customHeight="1">
      <c r="A31" s="3" t="s">
        <v>320</v>
      </c>
      <c r="B31" s="3"/>
      <c r="C31" s="80">
        <f ca="1">INDIRECT("Data!"&amp;C$3&amp;43)*Default!$B$15</f>
        <v>0</v>
      </c>
      <c r="D31" s="80">
        <f ca="1">INDIRECT("Data!"&amp;C$3&amp;43)*Default!$B$16</f>
        <v>0</v>
      </c>
      <c r="E31" s="80">
        <f ca="1">INDIRECT("Data!"&amp;C$3&amp;43)*Default!$B$17</f>
        <v>0</v>
      </c>
      <c r="F31" s="94" t="s">
        <v>57</v>
      </c>
      <c r="G31" s="94" t="s">
        <v>57</v>
      </c>
      <c r="H31" s="94" t="s">
        <v>57</v>
      </c>
      <c r="I31" s="94" t="s">
        <v>57</v>
      </c>
      <c r="J31" s="94" t="s">
        <v>57</v>
      </c>
      <c r="K31" s="90"/>
      <c r="L31" s="80">
        <f ca="1">INDIRECT("Data!"&amp;L$3&amp;43)*Default!$B$15</f>
        <v>0</v>
      </c>
      <c r="M31" s="80">
        <f ca="1">INDIRECT("Data!"&amp;L$3&amp;43)*Default!$B$16</f>
        <v>0</v>
      </c>
      <c r="N31" s="80">
        <f ca="1">INDIRECT("Data!"&amp;L$3&amp;43)*Default!$B$17</f>
        <v>0</v>
      </c>
      <c r="O31" s="94" t="s">
        <v>57</v>
      </c>
      <c r="P31" s="94" t="s">
        <v>57</v>
      </c>
      <c r="Q31" s="94" t="s">
        <v>57</v>
      </c>
      <c r="R31" s="94" t="s">
        <v>57</v>
      </c>
      <c r="S31" s="94" t="s">
        <v>57</v>
      </c>
    </row>
    <row r="32" spans="1:19" ht="14.1" customHeight="1">
      <c r="A32" s="3" t="s">
        <v>321</v>
      </c>
      <c r="B32" s="3"/>
      <c r="C32" s="94" t="s">
        <v>57</v>
      </c>
      <c r="D32" s="94" t="s">
        <v>57</v>
      </c>
      <c r="E32" s="94" t="s">
        <v>57</v>
      </c>
      <c r="F32" s="80">
        <f ca="1">INDIRECT("Data!"&amp;C$3&amp;45)*INDIRECT("Data!"&amp;C$3&amp;47)*3600*8760/10^6</f>
        <v>0</v>
      </c>
      <c r="G32" s="80">
        <f ca="1">INDIRECT("Data!"&amp;C$3&amp;45)*INDIRECT("Data!"&amp;C$3&amp;46)*3600*8760/10^6</f>
        <v>0</v>
      </c>
      <c r="H32" s="94" t="s">
        <v>57</v>
      </c>
      <c r="I32" s="94" t="s">
        <v>57</v>
      </c>
      <c r="J32" s="94" t="s">
        <v>57</v>
      </c>
      <c r="K32" s="90"/>
      <c r="L32" s="94" t="s">
        <v>57</v>
      </c>
      <c r="M32" s="94" t="s">
        <v>57</v>
      </c>
      <c r="N32" s="94" t="s">
        <v>57</v>
      </c>
      <c r="O32" s="80">
        <f ca="1">INDIRECT("Data!"&amp;L$3&amp;45)*INDIRECT("Data!"&amp;L$3&amp;47)*3600*8760/10^6</f>
        <v>0</v>
      </c>
      <c r="P32" s="80">
        <f ca="1">INDIRECT("Data!"&amp;L$3&amp;45)*INDIRECT("Data!"&amp;L$3&amp;46)*3600*8760/10^6</f>
        <v>0</v>
      </c>
      <c r="Q32" s="94" t="s">
        <v>57</v>
      </c>
      <c r="R32" s="94" t="s">
        <v>57</v>
      </c>
      <c r="S32" s="94" t="s">
        <v>57</v>
      </c>
    </row>
    <row r="33" spans="1:19" ht="14.1" customHeight="1">
      <c r="A33" s="3" t="s">
        <v>322</v>
      </c>
      <c r="B33" s="3"/>
      <c r="C33" s="94" t="s">
        <v>57</v>
      </c>
      <c r="D33" s="97">
        <f>C42</f>
        <v>0</v>
      </c>
      <c r="E33" s="94">
        <f ca="1">C43</f>
        <v>0</v>
      </c>
      <c r="F33" s="94" t="s">
        <v>57</v>
      </c>
      <c r="G33" s="94" t="s">
        <v>57</v>
      </c>
      <c r="H33" s="94" t="s">
        <v>57</v>
      </c>
      <c r="I33" s="94" t="s">
        <v>57</v>
      </c>
      <c r="J33" s="94" t="s">
        <v>57</v>
      </c>
      <c r="L33" s="94" t="s">
        <v>57</v>
      </c>
      <c r="M33" s="97">
        <f>L41</f>
        <v>0</v>
      </c>
      <c r="N33" s="94" t="s">
        <v>57</v>
      </c>
      <c r="O33" s="94" t="s">
        <v>57</v>
      </c>
      <c r="P33" s="94" t="s">
        <v>57</v>
      </c>
      <c r="Q33" s="94" t="s">
        <v>57</v>
      </c>
      <c r="R33" s="94" t="s">
        <v>57</v>
      </c>
      <c r="S33" s="94" t="s">
        <v>57</v>
      </c>
    </row>
    <row r="34" spans="1:19" ht="14.1" customHeight="1">
      <c r="A34" s="11" t="s">
        <v>323</v>
      </c>
      <c r="B34" s="11"/>
      <c r="C34" s="80">
        <f ca="1">C45+C46</f>
        <v>0</v>
      </c>
      <c r="D34" s="80">
        <f ca="1">C47</f>
        <v>0</v>
      </c>
      <c r="E34" s="80">
        <f ca="1">C48</f>
        <v>0</v>
      </c>
      <c r="F34" s="94" t="s">
        <v>57</v>
      </c>
      <c r="G34" s="94" t="s">
        <v>57</v>
      </c>
      <c r="H34" s="94" t="s">
        <v>57</v>
      </c>
      <c r="I34" s="94" t="s">
        <v>57</v>
      </c>
      <c r="J34" s="94" t="s">
        <v>57</v>
      </c>
      <c r="K34" s="126"/>
      <c r="L34" s="80">
        <f ca="1">L45+L46</f>
        <v>0</v>
      </c>
      <c r="M34" s="80">
        <f ca="1">L47</f>
        <v>0</v>
      </c>
      <c r="N34" s="80">
        <f ca="1">L48</f>
        <v>0</v>
      </c>
      <c r="O34" s="94" t="s">
        <v>57</v>
      </c>
      <c r="P34" s="94" t="s">
        <v>57</v>
      </c>
      <c r="Q34" s="94" t="s">
        <v>57</v>
      </c>
      <c r="R34" s="94" t="s">
        <v>57</v>
      </c>
      <c r="S34" s="94" t="s">
        <v>57</v>
      </c>
    </row>
    <row r="35" spans="1:19" ht="14.1" customHeight="1">
      <c r="A35" s="11" t="s">
        <v>324</v>
      </c>
      <c r="B35" s="11"/>
      <c r="C35" s="80">
        <f ca="1">C50+C51</f>
        <v>0</v>
      </c>
      <c r="D35" s="80">
        <f ca="1">C52</f>
        <v>0</v>
      </c>
      <c r="E35" s="80">
        <f ca="1">C53</f>
        <v>0</v>
      </c>
      <c r="F35" s="94" t="s">
        <v>57</v>
      </c>
      <c r="G35" s="94" t="s">
        <v>57</v>
      </c>
      <c r="H35" s="94" t="s">
        <v>57</v>
      </c>
      <c r="I35" s="94" t="s">
        <v>57</v>
      </c>
      <c r="J35" s="94" t="s">
        <v>57</v>
      </c>
      <c r="K35" s="126"/>
      <c r="L35" s="80">
        <f ca="1">L50+L51</f>
        <v>0</v>
      </c>
      <c r="M35" s="80">
        <f ca="1">L52</f>
        <v>0</v>
      </c>
      <c r="N35" s="80">
        <f ca="1">L53</f>
        <v>0</v>
      </c>
      <c r="O35" s="94" t="s">
        <v>57</v>
      </c>
      <c r="P35" s="94" t="s">
        <v>57</v>
      </c>
      <c r="Q35" s="94" t="s">
        <v>57</v>
      </c>
      <c r="R35" s="94" t="s">
        <v>57</v>
      </c>
      <c r="S35" s="94" t="s">
        <v>57</v>
      </c>
    </row>
    <row r="36" spans="1:19" ht="14.1" customHeight="1">
      <c r="A36" s="11" t="s">
        <v>325</v>
      </c>
      <c r="B36" s="11"/>
      <c r="C36" s="80">
        <f ca="1">C55+C56</f>
        <v>0</v>
      </c>
      <c r="D36" s="80">
        <f ca="1">C57</f>
        <v>0</v>
      </c>
      <c r="E36" s="80">
        <f ca="1">C58</f>
        <v>0</v>
      </c>
      <c r="F36" s="94" t="s">
        <v>57</v>
      </c>
      <c r="G36" s="94" t="s">
        <v>57</v>
      </c>
      <c r="H36" s="94" t="s">
        <v>57</v>
      </c>
      <c r="I36" s="94" t="s">
        <v>57</v>
      </c>
      <c r="J36" s="94" t="s">
        <v>57</v>
      </c>
      <c r="K36" s="126"/>
      <c r="L36" s="80">
        <f ca="1">L55+L56</f>
        <v>0</v>
      </c>
      <c r="M36" s="80">
        <f ca="1">L57</f>
        <v>0</v>
      </c>
      <c r="N36" s="80">
        <f ca="1">L58</f>
        <v>0</v>
      </c>
      <c r="O36" s="94" t="s">
        <v>57</v>
      </c>
      <c r="P36" s="94" t="s">
        <v>57</v>
      </c>
      <c r="Q36" s="94" t="s">
        <v>57</v>
      </c>
      <c r="R36" s="94" t="s">
        <v>57</v>
      </c>
      <c r="S36" s="94" t="s">
        <v>57</v>
      </c>
    </row>
    <row r="37" spans="1:19" ht="14.1" customHeight="1">
      <c r="A37" s="11" t="s">
        <v>326</v>
      </c>
      <c r="B37" s="87"/>
      <c r="C37" s="269">
        <f t="shared" ref="C37:J37" ca="1" si="4">SUM(C28:C36)</f>
        <v>0</v>
      </c>
      <c r="D37" s="269">
        <f t="shared" ca="1" si="4"/>
        <v>0</v>
      </c>
      <c r="E37" s="269">
        <f t="shared" ca="1" si="4"/>
        <v>0</v>
      </c>
      <c r="F37" s="269">
        <f t="shared" ca="1" si="4"/>
        <v>0</v>
      </c>
      <c r="G37" s="269">
        <f t="shared" ca="1" si="4"/>
        <v>0</v>
      </c>
      <c r="H37" s="269">
        <f t="shared" si="4"/>
        <v>0</v>
      </c>
      <c r="I37" s="269">
        <f t="shared" si="4"/>
        <v>0</v>
      </c>
      <c r="J37" s="269">
        <f t="shared" si="4"/>
        <v>0</v>
      </c>
      <c r="K37" s="270"/>
      <c r="L37" s="269">
        <f t="shared" ref="L37:S37" ca="1" si="5">SUM(L28:L36)</f>
        <v>0</v>
      </c>
      <c r="M37" s="269">
        <f t="shared" ca="1" si="5"/>
        <v>0</v>
      </c>
      <c r="N37" s="269">
        <f t="shared" ca="1" si="5"/>
        <v>0</v>
      </c>
      <c r="O37" s="102">
        <f t="shared" ca="1" si="5"/>
        <v>0</v>
      </c>
      <c r="P37" s="102">
        <f t="shared" ca="1" si="5"/>
        <v>0</v>
      </c>
      <c r="Q37" s="102">
        <f t="shared" si="5"/>
        <v>0</v>
      </c>
      <c r="R37" s="102">
        <f t="shared" si="5"/>
        <v>0</v>
      </c>
      <c r="S37" s="102">
        <f t="shared" si="5"/>
        <v>0</v>
      </c>
    </row>
    <row r="38" spans="1:19" s="13" customFormat="1" ht="14.1" customHeight="1">
      <c r="A38" s="11" t="s">
        <v>407</v>
      </c>
      <c r="B38" s="11"/>
      <c r="C38" s="273" t="e">
        <f ca="1">C37/Data!$C9</f>
        <v>#DIV/0!</v>
      </c>
      <c r="D38" s="273" t="e">
        <f ca="1">D37/Data!$C9</f>
        <v>#DIV/0!</v>
      </c>
      <c r="E38" s="273" t="e">
        <f ca="1">E37/Data!$C9</f>
        <v>#DIV/0!</v>
      </c>
      <c r="F38" s="273" t="e">
        <f ca="1">F37/Data!$C9</f>
        <v>#DIV/0!</v>
      </c>
      <c r="G38" s="273" t="e">
        <f ca="1">G37/Data!$C9</f>
        <v>#DIV/0!</v>
      </c>
      <c r="H38" s="273" t="e">
        <f>H37/Data!$C9</f>
        <v>#DIV/0!</v>
      </c>
      <c r="I38" s="273" t="e">
        <f>I37/Data!$C9</f>
        <v>#DIV/0!</v>
      </c>
      <c r="J38" s="273" t="e">
        <f>J37/Data!$C9</f>
        <v>#DIV/0!</v>
      </c>
      <c r="K38" s="91"/>
      <c r="L38" s="273" t="e">
        <f ca="1">L37/Data!$D9</f>
        <v>#DIV/0!</v>
      </c>
      <c r="M38" s="273" t="e">
        <f ca="1">M37/Data!$D9</f>
        <v>#DIV/0!</v>
      </c>
      <c r="N38" s="273" t="e">
        <f ca="1">N37/Data!$D9</f>
        <v>#DIV/0!</v>
      </c>
      <c r="O38" s="273" t="e">
        <f ca="1">O37/Data!$D9</f>
        <v>#DIV/0!</v>
      </c>
      <c r="P38" s="273" t="e">
        <f ca="1">P37/Data!$D9</f>
        <v>#DIV/0!</v>
      </c>
      <c r="Q38" s="273" t="e">
        <f>Q37/Data!$D9</f>
        <v>#DIV/0!</v>
      </c>
      <c r="R38" s="273" t="e">
        <f>R37/Data!$D9</f>
        <v>#DIV/0!</v>
      </c>
      <c r="S38" s="273" t="e">
        <f>S37/Data!$D9</f>
        <v>#DIV/0!</v>
      </c>
    </row>
    <row r="39" spans="1:19" ht="14.1" customHeight="1">
      <c r="A39" s="11"/>
      <c r="B39" s="87"/>
      <c r="C39" s="102"/>
      <c r="D39" s="102"/>
      <c r="E39" s="102"/>
      <c r="F39" s="102"/>
      <c r="G39" s="102"/>
      <c r="H39" s="102"/>
      <c r="I39" s="102"/>
      <c r="J39" s="102"/>
      <c r="K39" s="92"/>
      <c r="L39" s="102"/>
      <c r="M39" s="102"/>
      <c r="N39" s="102"/>
      <c r="O39" s="102"/>
      <c r="P39" s="102"/>
      <c r="Q39" s="102"/>
      <c r="R39" s="102"/>
      <c r="S39" s="102"/>
    </row>
    <row r="41" spans="1:19" ht="14.1" customHeight="1">
      <c r="A41" s="1" t="s">
        <v>327</v>
      </c>
      <c r="C41" s="211"/>
      <c r="L41" s="211"/>
    </row>
    <row r="42" spans="1:19" ht="14.1" customHeight="1">
      <c r="A42" s="12" t="s">
        <v>214</v>
      </c>
      <c r="B42" s="6" t="s">
        <v>116</v>
      </c>
      <c r="C42" s="211">
        <f>ROUND(Default!$B$57*(16/12)*(1-Default!$B$62)*Default!$B$56*Default!$B$59*Default!$B$60*Default!$B$58*Data!C37*Default!$B$63,0)</f>
        <v>0</v>
      </c>
      <c r="D42" s="2" t="s">
        <v>119</v>
      </c>
      <c r="L42" s="211">
        <f>ROUND(Default!$B$57*(16/12)*(1-Default!$B$62)*Default!$B$56*Default!$B$59*Default!$B$60*Default!$B$58*Data!L37*Default!$B$63,0)</f>
        <v>0</v>
      </c>
      <c r="M42" s="2" t="s">
        <v>119</v>
      </c>
    </row>
    <row r="43" spans="1:19" ht="14.1" customHeight="1">
      <c r="A43" s="12" t="s">
        <v>215</v>
      </c>
      <c r="B43" s="6" t="s">
        <v>117</v>
      </c>
      <c r="C43" s="85">
        <f ca="1">INDIRECT("Data!"&amp;C$3&amp;37)*Default!$B$41</f>
        <v>0</v>
      </c>
      <c r="D43" s="2" t="s">
        <v>121</v>
      </c>
      <c r="L43" s="85">
        <f ca="1">INDIRECT("Data!"&amp;L$3&amp;37)*Default!$B$41</f>
        <v>0</v>
      </c>
      <c r="M43" s="2" t="s">
        <v>121</v>
      </c>
    </row>
    <row r="44" spans="1:19" ht="14.1" customHeight="1">
      <c r="A44" s="11" t="s">
        <v>323</v>
      </c>
      <c r="K44" s="126"/>
    </row>
    <row r="45" spans="1:19" ht="14.1" customHeight="1">
      <c r="A45" s="12" t="s">
        <v>328</v>
      </c>
      <c r="B45" s="6" t="s">
        <v>115</v>
      </c>
      <c r="C45" s="84">
        <f ca="1">Default!$B$38*INDIRECT("Data!"&amp;C$3&amp;34)*Default!$B$20</f>
        <v>0</v>
      </c>
      <c r="D45" s="2" t="s">
        <v>120</v>
      </c>
      <c r="L45" s="84">
        <f ca="1">Default!$B$38*INDIRECT("Data!"&amp;L$3&amp;34)*Default!$B$20</f>
        <v>0</v>
      </c>
      <c r="M45" s="2" t="s">
        <v>120</v>
      </c>
    </row>
    <row r="46" spans="1:19" ht="14.1" customHeight="1">
      <c r="A46" s="12" t="s">
        <v>329</v>
      </c>
      <c r="B46" s="6" t="s">
        <v>115</v>
      </c>
      <c r="C46" s="38">
        <f ca="1">Default!$B$39*INDIRECT("Data!"&amp;C$3&amp;34)</f>
        <v>0</v>
      </c>
      <c r="D46" s="2" t="s">
        <v>120</v>
      </c>
      <c r="L46" s="38">
        <f ca="1">Default!$B$39*INDIRECT("Data!"&amp;L$3&amp;34)</f>
        <v>0</v>
      </c>
      <c r="M46" s="2" t="s">
        <v>120</v>
      </c>
    </row>
    <row r="47" spans="1:19" ht="14.1" customHeight="1">
      <c r="A47" s="12" t="s">
        <v>330</v>
      </c>
      <c r="B47" s="6" t="s">
        <v>116</v>
      </c>
      <c r="C47" s="85">
        <f ca="1">INDIRECT("Data!"&amp;C$3&amp;34)*Default!$B$40</f>
        <v>0</v>
      </c>
      <c r="D47" s="2" t="s">
        <v>119</v>
      </c>
      <c r="L47" s="85">
        <f ca="1">INDIRECT("Data!"&amp;L$3&amp;34)*Default!$B$40</f>
        <v>0</v>
      </c>
      <c r="M47" s="2" t="s">
        <v>119</v>
      </c>
    </row>
    <row r="48" spans="1:19" ht="14.1" customHeight="1">
      <c r="A48" s="12" t="s">
        <v>331</v>
      </c>
      <c r="B48" s="6" t="s">
        <v>117</v>
      </c>
      <c r="C48" s="85">
        <f ca="1">INDIRECT("Data!"&amp;C$3&amp;34)*Default!$B$41</f>
        <v>0</v>
      </c>
      <c r="D48" s="2" t="s">
        <v>121</v>
      </c>
      <c r="L48" s="85">
        <f ca="1">INDIRECT("Data!"&amp;L$3&amp;34)*Default!$B$41</f>
        <v>0</v>
      </c>
      <c r="M48" s="2" t="s">
        <v>121</v>
      </c>
    </row>
    <row r="49" spans="1:19" ht="14.1" customHeight="1">
      <c r="A49" s="11" t="s">
        <v>324</v>
      </c>
      <c r="K49" s="126"/>
    </row>
    <row r="50" spans="1:19" ht="14.1" customHeight="1">
      <c r="A50" s="12" t="s">
        <v>328</v>
      </c>
      <c r="B50" s="6" t="s">
        <v>115</v>
      </c>
      <c r="C50" s="84">
        <f ca="1">Default!$B$38*INDIRECT("Data!"&amp;C$3&amp;35)*Default!$B$20</f>
        <v>0</v>
      </c>
      <c r="D50" s="2" t="s">
        <v>120</v>
      </c>
      <c r="L50" s="84">
        <f ca="1">Default!$B$38*INDIRECT("Data!"&amp;L$3&amp;35)*Default!$B$20</f>
        <v>0</v>
      </c>
      <c r="M50" s="2" t="s">
        <v>120</v>
      </c>
    </row>
    <row r="51" spans="1:19" ht="14.1" customHeight="1">
      <c r="A51" s="12" t="s">
        <v>329</v>
      </c>
      <c r="B51" s="6" t="s">
        <v>115</v>
      </c>
      <c r="C51" s="38">
        <f ca="1">Default!$B$39*INDIRECT("Data!"&amp;C$3&amp;35)</f>
        <v>0</v>
      </c>
      <c r="D51" s="2" t="s">
        <v>120</v>
      </c>
      <c r="L51" s="38">
        <f ca="1">Default!$B$39*INDIRECT("Data!"&amp;L$3&amp;35)</f>
        <v>0</v>
      </c>
      <c r="M51" s="2" t="s">
        <v>120</v>
      </c>
    </row>
    <row r="52" spans="1:19" ht="14.1" customHeight="1">
      <c r="A52" s="12" t="s">
        <v>330</v>
      </c>
      <c r="B52" s="6" t="s">
        <v>116</v>
      </c>
      <c r="C52" s="85">
        <f ca="1">INDIRECT("Data!"&amp;C$3&amp;35)*Default!$B$40</f>
        <v>0</v>
      </c>
      <c r="D52" s="2" t="s">
        <v>119</v>
      </c>
      <c r="L52" s="85">
        <f ca="1">INDIRECT("Data!"&amp;L$3&amp;35)*Default!$B$40</f>
        <v>0</v>
      </c>
      <c r="M52" s="2" t="s">
        <v>119</v>
      </c>
    </row>
    <row r="53" spans="1:19" ht="14.1" customHeight="1">
      <c r="A53" s="12" t="s">
        <v>331</v>
      </c>
      <c r="B53" s="6" t="s">
        <v>117</v>
      </c>
      <c r="C53" s="85">
        <f ca="1">INDIRECT("Data!"&amp;C$3&amp;35)*Default!$B$41</f>
        <v>0</v>
      </c>
      <c r="D53" s="2" t="s">
        <v>121</v>
      </c>
      <c r="L53" s="85">
        <f ca="1">INDIRECT("Data!"&amp;L$3&amp;35)*Default!$B$41</f>
        <v>0</v>
      </c>
      <c r="M53" s="2" t="s">
        <v>121</v>
      </c>
    </row>
    <row r="54" spans="1:19" ht="14.1" customHeight="1">
      <c r="A54" s="11" t="s">
        <v>325</v>
      </c>
      <c r="K54" s="126"/>
    </row>
    <row r="55" spans="1:19" ht="14.1" customHeight="1">
      <c r="A55" s="12" t="s">
        <v>328</v>
      </c>
      <c r="B55" s="6" t="s">
        <v>115</v>
      </c>
      <c r="C55" s="84">
        <f ca="1">Default!$B$38*INDIRECT("Data!"&amp;C$3&amp;36)*Default!$B$20</f>
        <v>0</v>
      </c>
      <c r="D55" s="2" t="s">
        <v>120</v>
      </c>
      <c r="L55" s="84">
        <f ca="1">Default!$B$38*INDIRECT("Data!"&amp;L$3&amp;36)*Default!$B$20</f>
        <v>0</v>
      </c>
      <c r="M55" s="2" t="s">
        <v>120</v>
      </c>
    </row>
    <row r="56" spans="1:19" ht="14.1" customHeight="1">
      <c r="A56" s="12" t="s">
        <v>329</v>
      </c>
      <c r="B56" s="6" t="s">
        <v>115</v>
      </c>
      <c r="C56" s="38">
        <f ca="1">Default!$B$39*INDIRECT("Data!"&amp;C$3&amp;36)</f>
        <v>0</v>
      </c>
      <c r="D56" s="2" t="s">
        <v>120</v>
      </c>
      <c r="L56" s="38">
        <f ca="1">Default!$B$39*INDIRECT("Data!"&amp;L$3&amp;36)</f>
        <v>0</v>
      </c>
      <c r="M56" s="2" t="s">
        <v>120</v>
      </c>
    </row>
    <row r="57" spans="1:19" ht="14.1" customHeight="1">
      <c r="A57" s="12" t="s">
        <v>330</v>
      </c>
      <c r="B57" s="6" t="s">
        <v>116</v>
      </c>
      <c r="C57" s="85">
        <f ca="1">INDIRECT("Data!"&amp;C$3&amp;36)*Default!$B$40</f>
        <v>0</v>
      </c>
      <c r="D57" s="2" t="s">
        <v>119</v>
      </c>
      <c r="L57" s="85">
        <f ca="1">INDIRECT("Data!"&amp;L$3&amp;36)*Default!$B$40</f>
        <v>0</v>
      </c>
      <c r="M57" s="2" t="s">
        <v>119</v>
      </c>
    </row>
    <row r="58" spans="1:19" ht="14.1" customHeight="1">
      <c r="A58" s="12" t="s">
        <v>331</v>
      </c>
      <c r="B58" s="6" t="s">
        <v>117</v>
      </c>
      <c r="C58" s="85">
        <f ca="1">INDIRECT("Data!"&amp;C$3&amp;36)*Default!$B$41</f>
        <v>0</v>
      </c>
      <c r="D58" s="2" t="s">
        <v>121</v>
      </c>
      <c r="L58" s="85">
        <f ca="1">INDIRECT("Data!"&amp;L$3&amp;36)*Default!$B$41</f>
        <v>0</v>
      </c>
      <c r="M58" s="2" t="s">
        <v>121</v>
      </c>
    </row>
    <row r="59" spans="1:19" ht="14.1" customHeight="1">
      <c r="A59" s="1" t="s">
        <v>332</v>
      </c>
    </row>
    <row r="60" spans="1:19" ht="14.1" customHeight="1">
      <c r="A60" s="12" t="s">
        <v>328</v>
      </c>
      <c r="B60" s="6" t="s">
        <v>115</v>
      </c>
      <c r="C60" s="84">
        <f ca="1">INDIRECT("Data!"&amp;C$3&amp;17)*Default!$B$43*Default!$B$44*Default!$B$45</f>
        <v>0</v>
      </c>
      <c r="D60" s="2" t="s">
        <v>120</v>
      </c>
      <c r="L60" s="84">
        <f ca="1">INDIRECT("Data!"&amp;L$3&amp;17)*Default!$B$43*Default!$B$44*Default!$B$45</f>
        <v>0</v>
      </c>
      <c r="M60" s="2" t="s">
        <v>120</v>
      </c>
    </row>
    <row r="61" spans="1:19" ht="14.1" customHeight="1">
      <c r="A61" s="12" t="s">
        <v>333</v>
      </c>
      <c r="B61" s="6" t="s">
        <v>116</v>
      </c>
      <c r="C61" s="38">
        <f ca="1">INDIRECT("Data!"&amp;C$3&amp;17)*Default!$B$43*Default!$B$44*Default!$B$46</f>
        <v>0</v>
      </c>
      <c r="D61" s="2" t="s">
        <v>119</v>
      </c>
      <c r="L61" s="38">
        <f ca="1">INDIRECT("Data!"&amp;L$3&amp;17)*Default!$B$43*Default!$B$44*Default!$B$46</f>
        <v>0</v>
      </c>
      <c r="M61" s="2" t="s">
        <v>119</v>
      </c>
    </row>
    <row r="62" spans="1:19" ht="14.1" customHeight="1">
      <c r="A62" s="12"/>
      <c r="C62" s="85"/>
      <c r="D62" s="6"/>
      <c r="L62" s="85"/>
      <c r="M62" s="6"/>
    </row>
    <row r="63" spans="1:19" ht="14.1" customHeight="1">
      <c r="A63" s="12"/>
      <c r="C63" s="85"/>
      <c r="L63" s="85"/>
    </row>
    <row r="64" spans="1:19" ht="14.1" customHeight="1">
      <c r="A64" s="45" t="s">
        <v>169</v>
      </c>
      <c r="B64" s="46"/>
      <c r="C64" s="47"/>
      <c r="D64" s="47"/>
      <c r="E64" s="47"/>
      <c r="F64" s="47"/>
      <c r="G64" s="47"/>
      <c r="H64" s="47"/>
      <c r="I64" s="47"/>
      <c r="J64" s="47"/>
      <c r="L64" s="254"/>
      <c r="M64" s="254"/>
      <c r="N64" s="254"/>
      <c r="O64" s="254"/>
      <c r="P64" s="254"/>
      <c r="Q64" s="254"/>
      <c r="R64" s="254"/>
      <c r="S64" s="254"/>
    </row>
    <row r="65" spans="1:19" ht="36.75" customHeight="1">
      <c r="A65" s="255" t="s">
        <v>170</v>
      </c>
      <c r="B65" s="256"/>
      <c r="C65" s="257" t="s">
        <v>171</v>
      </c>
      <c r="D65" s="257" t="s">
        <v>172</v>
      </c>
      <c r="E65" s="257" t="s">
        <v>173</v>
      </c>
      <c r="F65" s="257" t="s">
        <v>194</v>
      </c>
      <c r="G65" s="258" t="s">
        <v>174</v>
      </c>
      <c r="H65" s="257"/>
      <c r="I65" s="258"/>
      <c r="J65" s="258"/>
      <c r="K65" s="259"/>
      <c r="L65" s="258"/>
      <c r="M65" s="258"/>
      <c r="N65" s="258"/>
      <c r="O65" s="258"/>
      <c r="P65" s="258"/>
      <c r="Q65" s="258"/>
      <c r="R65" s="258"/>
      <c r="S65" s="258"/>
    </row>
    <row r="66" spans="1:19" ht="14.1" customHeight="1">
      <c r="A66" s="255" t="s">
        <v>175</v>
      </c>
      <c r="B66" s="256"/>
      <c r="C66" s="258"/>
      <c r="D66" s="258"/>
      <c r="E66" s="258"/>
      <c r="F66" s="258"/>
      <c r="G66" s="258"/>
      <c r="H66" s="258"/>
      <c r="I66" s="258"/>
      <c r="J66" s="258"/>
      <c r="K66" s="259"/>
      <c r="L66" s="258"/>
      <c r="M66" s="258"/>
      <c r="N66" s="258"/>
      <c r="O66" s="258"/>
      <c r="P66" s="258"/>
      <c r="Q66" s="258"/>
      <c r="R66" s="258"/>
      <c r="S66" s="258"/>
    </row>
    <row r="67" spans="1:19" ht="14.1" customHeight="1">
      <c r="A67" s="210" t="s">
        <v>176</v>
      </c>
      <c r="B67" s="6" t="s">
        <v>142</v>
      </c>
      <c r="C67" s="224">
        <f>Data!$D61/28*Default!$B79</f>
        <v>0</v>
      </c>
      <c r="D67" s="224">
        <f>Data!$D62/18*Default!$B79</f>
        <v>0</v>
      </c>
      <c r="E67" s="224">
        <f>Data!$D63/12*Default!$B79</f>
        <v>0</v>
      </c>
      <c r="F67" s="224">
        <f>Data!D57*Data!D58/1000</f>
        <v>0</v>
      </c>
      <c r="G67" s="224">
        <f>Data!$D32/28*Default!$B79</f>
        <v>0</v>
      </c>
      <c r="H67" s="224"/>
    </row>
    <row r="68" spans="1:19" ht="14.1" customHeight="1">
      <c r="A68" s="1" t="s">
        <v>177</v>
      </c>
      <c r="B68" s="6" t="s">
        <v>143</v>
      </c>
      <c r="C68" s="224">
        <f>C67*Default!$B81/1000</f>
        <v>0</v>
      </c>
      <c r="D68" s="224">
        <f>D67*Default!$B81/1000</f>
        <v>0</v>
      </c>
      <c r="E68" s="224">
        <f>E67*Default!$B81/1000</f>
        <v>0</v>
      </c>
      <c r="F68" s="224">
        <f>F67*Default!$B81/1000</f>
        <v>0</v>
      </c>
      <c r="G68" s="224">
        <f>G67*Default!$B81/1000</f>
        <v>0</v>
      </c>
      <c r="H68" s="224"/>
    </row>
    <row r="69" spans="1:19" ht="14.1" customHeight="1">
      <c r="A69" s="210" t="s">
        <v>178</v>
      </c>
      <c r="B69" s="6" t="s">
        <v>144</v>
      </c>
      <c r="C69" s="224">
        <f>Data!$D61/28*Default!$B80</f>
        <v>0</v>
      </c>
      <c r="D69" s="224">
        <f>Data!$D62/18*Default!$B80</f>
        <v>0</v>
      </c>
      <c r="E69" s="224">
        <f>Data!$D63/12*Default!$B80</f>
        <v>0</v>
      </c>
      <c r="F69" s="224">
        <f>Data!$D57/28*Default!$B80</f>
        <v>0</v>
      </c>
      <c r="G69" s="224">
        <f>Data!$D32/28*Default!$B80</f>
        <v>0</v>
      </c>
      <c r="H69" s="224"/>
    </row>
    <row r="70" spans="1:19" ht="14.1" customHeight="1">
      <c r="A70" s="52" t="s">
        <v>179</v>
      </c>
      <c r="B70" s="6" t="s">
        <v>143</v>
      </c>
      <c r="C70" s="224">
        <f>(C69*Default!$B83+C69*Default!$B84)/1000</f>
        <v>0</v>
      </c>
      <c r="D70" s="224">
        <f>(D69*Default!$B83+D69*Default!$B84)/1000</f>
        <v>0</v>
      </c>
      <c r="E70" s="224">
        <f>(E69*Default!$B83+E69*Default!$B84)/1000</f>
        <v>0</v>
      </c>
      <c r="F70" s="224">
        <f>(F69*Default!$B83+F69*Default!$B84)/1000</f>
        <v>0</v>
      </c>
      <c r="G70" s="224">
        <f>(G69*Default!$B83+G69*Default!$B84)/1000</f>
        <v>0</v>
      </c>
      <c r="H70" s="224"/>
    </row>
    <row r="71" spans="1:19" ht="14.1" customHeight="1">
      <c r="A71" s="255" t="s">
        <v>148</v>
      </c>
      <c r="B71" s="256"/>
    </row>
    <row r="72" spans="1:19" ht="14.1" customHeight="1">
      <c r="A72" s="210" t="s">
        <v>180</v>
      </c>
      <c r="B72" s="6" t="s">
        <v>181</v>
      </c>
      <c r="C72" s="224">
        <f>Data!$D61/28*Default!$B87</f>
        <v>0</v>
      </c>
      <c r="D72" s="224">
        <f>Data!$D62/18*Default!$B87</f>
        <v>0</v>
      </c>
      <c r="E72" s="224">
        <f>Data!$D63/12*Default!$B87</f>
        <v>0</v>
      </c>
      <c r="F72" s="224">
        <f>Data!D57*Data!D59/1000</f>
        <v>0</v>
      </c>
      <c r="G72" s="224">
        <f>Data!$D32/28*Default!$B87</f>
        <v>0</v>
      </c>
      <c r="H72" s="224"/>
    </row>
    <row r="73" spans="1:19" ht="14.1" customHeight="1">
      <c r="A73" s="1" t="s">
        <v>177</v>
      </c>
      <c r="B73" s="6" t="s">
        <v>143</v>
      </c>
      <c r="C73" s="224">
        <f>C72*Default!$B89/1000</f>
        <v>0</v>
      </c>
      <c r="D73" s="224">
        <f>D72*Default!$B89/1000</f>
        <v>0</v>
      </c>
      <c r="E73" s="224">
        <f>E72*Default!$B89/1000</f>
        <v>0</v>
      </c>
      <c r="F73" s="224">
        <f>F72*Default!$B89/1000</f>
        <v>0</v>
      </c>
      <c r="G73" s="224">
        <f>G72*Default!$B89/1000</f>
        <v>0</v>
      </c>
      <c r="H73" s="224"/>
    </row>
    <row r="74" spans="1:19" ht="14.1" customHeight="1">
      <c r="A74" s="210" t="s">
        <v>182</v>
      </c>
      <c r="B74" s="6" t="s">
        <v>144</v>
      </c>
      <c r="C74" s="224">
        <f>Data!$D61/28*Default!$B88</f>
        <v>0</v>
      </c>
      <c r="D74" s="224">
        <f>Data!$D62/18*Default!$B88</f>
        <v>0</v>
      </c>
      <c r="E74" s="224">
        <f>Data!$D63/12*Default!$B88</f>
        <v>0</v>
      </c>
      <c r="F74" s="224">
        <f>Data!$D57/28*Default!$B88</f>
        <v>0</v>
      </c>
      <c r="G74" s="224">
        <f>Data!$D32/28*Default!$B88</f>
        <v>0</v>
      </c>
      <c r="H74" s="224"/>
    </row>
    <row r="75" spans="1:19" ht="14.1" customHeight="1">
      <c r="A75" s="52" t="s">
        <v>183</v>
      </c>
      <c r="B75" s="6" t="s">
        <v>143</v>
      </c>
      <c r="C75" s="224">
        <f>(C74*Default!$B91+C74*Default!$B92)/1000</f>
        <v>0</v>
      </c>
      <c r="D75" s="224">
        <f>(D74*Default!$B91+D74*Default!$B92)/1000</f>
        <v>0</v>
      </c>
      <c r="E75" s="224">
        <f>(E74*Default!$B91+E74*Default!$B92)/1000</f>
        <v>0</v>
      </c>
      <c r="F75" s="224">
        <f>(F74*Default!$B91+F74*Default!$B92)/1000</f>
        <v>0</v>
      </c>
      <c r="G75" s="224">
        <f>(G74*Default!$B91+G74*Default!$B92)/1000</f>
        <v>0</v>
      </c>
      <c r="H75" s="224"/>
    </row>
    <row r="76" spans="1:19" ht="14.1" customHeight="1">
      <c r="A76" s="255" t="s">
        <v>150</v>
      </c>
      <c r="B76" s="256"/>
    </row>
    <row r="77" spans="1:19" ht="14.1" customHeight="1">
      <c r="A77" s="210" t="s">
        <v>184</v>
      </c>
      <c r="B77" s="6" t="s">
        <v>185</v>
      </c>
      <c r="C77" s="224">
        <f>Data!$D61/28*Default!$B95</f>
        <v>0</v>
      </c>
      <c r="D77" s="224">
        <f>Data!$D62/18*Default!$B95</f>
        <v>0</v>
      </c>
      <c r="E77" s="224">
        <f>Data!$D63/12*Default!$B95</f>
        <v>0</v>
      </c>
      <c r="F77" s="272"/>
      <c r="G77" s="224">
        <f>Data!$D32/28*Default!$B95</f>
        <v>0</v>
      </c>
      <c r="H77" s="224"/>
    </row>
    <row r="78" spans="1:19" ht="14.1" customHeight="1">
      <c r="A78" s="1" t="s">
        <v>177</v>
      </c>
      <c r="B78" s="6" t="s">
        <v>143</v>
      </c>
      <c r="C78" s="224">
        <f>C77*Default!$B97/1000</f>
        <v>0</v>
      </c>
      <c r="D78" s="224">
        <f>D77*Default!$B97/1000</f>
        <v>0</v>
      </c>
      <c r="E78" s="224">
        <f>E77*Default!$B97/1000</f>
        <v>0</v>
      </c>
      <c r="F78" s="272"/>
      <c r="G78" s="224">
        <f>G77*Default!$B97/1000</f>
        <v>0</v>
      </c>
      <c r="H78" s="224"/>
    </row>
    <row r="79" spans="1:19" ht="14.1" customHeight="1">
      <c r="A79" s="210" t="s">
        <v>186</v>
      </c>
      <c r="B79" s="6" t="s">
        <v>144</v>
      </c>
      <c r="C79" s="224">
        <f>Data!$D61/28*Default!$B96</f>
        <v>0</v>
      </c>
      <c r="D79" s="224">
        <f>Data!$D62/18*Default!$B96</f>
        <v>0</v>
      </c>
      <c r="E79" s="224">
        <f>Data!$D63/12*Default!$B96</f>
        <v>0</v>
      </c>
      <c r="F79" s="272"/>
      <c r="G79" s="224">
        <f>Data!$D32/28*Default!$B96</f>
        <v>0</v>
      </c>
      <c r="H79" s="224"/>
    </row>
    <row r="80" spans="1:19" ht="14.1" customHeight="1">
      <c r="A80" s="52" t="s">
        <v>179</v>
      </c>
      <c r="B80" s="6" t="s">
        <v>143</v>
      </c>
      <c r="C80" s="224">
        <f>(C79*Default!$B99+C79*Default!$B100)/1000</f>
        <v>0</v>
      </c>
      <c r="D80" s="224">
        <f>(D79*Default!$B99+D79*Default!$B100)/1000</f>
        <v>0</v>
      </c>
      <c r="E80" s="224">
        <f>(E79*Default!$B99+E79*Default!$B100)/1000</f>
        <v>0</v>
      </c>
      <c r="F80" s="272"/>
      <c r="G80" s="224">
        <f>(G79*Default!$B99+G79*Default!$B100)/1000</f>
        <v>0</v>
      </c>
      <c r="H80" s="224"/>
    </row>
    <row r="83" spans="1:19" ht="14.1" customHeight="1">
      <c r="A83" s="1" t="s">
        <v>187</v>
      </c>
    </row>
    <row r="84" spans="1:19" ht="14.1" customHeight="1">
      <c r="A84" s="255" t="s">
        <v>175</v>
      </c>
      <c r="B84" s="256"/>
      <c r="C84" s="258"/>
      <c r="D84" s="258"/>
      <c r="E84" s="258"/>
      <c r="F84" s="258"/>
      <c r="G84" s="258"/>
      <c r="H84" s="258"/>
      <c r="I84" s="258"/>
      <c r="J84" s="258"/>
      <c r="K84" s="259"/>
      <c r="L84" s="258"/>
      <c r="M84" s="258"/>
      <c r="N84" s="258"/>
      <c r="O84" s="258"/>
      <c r="P84" s="258"/>
      <c r="Q84" s="258"/>
      <c r="R84" s="258"/>
      <c r="S84" s="258"/>
    </row>
    <row r="85" spans="1:19" ht="14.1" customHeight="1">
      <c r="A85" s="210" t="s">
        <v>188</v>
      </c>
      <c r="B85" s="6" t="s">
        <v>142</v>
      </c>
      <c r="C85" s="224">
        <f>Data!D20*Data!D24/1000</f>
        <v>0</v>
      </c>
      <c r="D85" s="224"/>
      <c r="E85" s="224"/>
      <c r="F85" s="224"/>
      <c r="G85" s="224"/>
      <c r="H85" s="224"/>
    </row>
    <row r="86" spans="1:19" ht="14.1" customHeight="1">
      <c r="A86" s="1" t="s">
        <v>177</v>
      </c>
      <c r="B86" s="6" t="s">
        <v>143</v>
      </c>
      <c r="C86" s="224">
        <f>C85*Default!$B81/1000</f>
        <v>0</v>
      </c>
      <c r="D86" s="224"/>
      <c r="E86" s="224"/>
      <c r="F86" s="224"/>
      <c r="G86" s="224"/>
      <c r="H86" s="224"/>
    </row>
    <row r="87" spans="1:19" ht="14.1" customHeight="1">
      <c r="A87" s="210" t="s">
        <v>189</v>
      </c>
      <c r="B87" s="6" t="s">
        <v>144</v>
      </c>
      <c r="C87" s="271">
        <f>C85/0.46</f>
        <v>0</v>
      </c>
      <c r="D87" s="224"/>
      <c r="E87" s="224"/>
      <c r="F87" s="224"/>
      <c r="G87" s="224"/>
      <c r="H87" s="224"/>
    </row>
    <row r="88" spans="1:19" ht="14.1" customHeight="1">
      <c r="A88" s="52" t="s">
        <v>179</v>
      </c>
      <c r="B88" s="6" t="s">
        <v>143</v>
      </c>
      <c r="C88" s="271">
        <f>(C87*Default!$B83+C87*Default!$B84)/1000</f>
        <v>0</v>
      </c>
      <c r="D88" s="224"/>
      <c r="E88" s="224"/>
      <c r="F88" s="224"/>
      <c r="G88" s="224"/>
      <c r="H88" s="224"/>
    </row>
    <row r="89" spans="1:19" ht="14.1" customHeight="1">
      <c r="A89" s="255" t="s">
        <v>148</v>
      </c>
      <c r="B89" s="256"/>
      <c r="C89" s="254"/>
    </row>
    <row r="90" spans="1:19" ht="14.1" customHeight="1">
      <c r="A90" s="210" t="s">
        <v>190</v>
      </c>
      <c r="B90" s="6" t="s">
        <v>181</v>
      </c>
      <c r="C90" s="271">
        <f>Data!D20*Data!D25/1000</f>
        <v>0</v>
      </c>
      <c r="D90" s="224"/>
      <c r="E90" s="224"/>
      <c r="F90" s="224"/>
      <c r="G90" s="224"/>
      <c r="H90" s="224"/>
    </row>
    <row r="91" spans="1:19" ht="14.1" customHeight="1">
      <c r="A91" s="1" t="s">
        <v>177</v>
      </c>
      <c r="B91" s="6" t="s">
        <v>143</v>
      </c>
      <c r="C91" s="271">
        <f>C90*Default!$B89/1000</f>
        <v>0</v>
      </c>
      <c r="D91" s="224"/>
      <c r="E91" s="224"/>
      <c r="F91" s="224"/>
      <c r="G91" s="224"/>
      <c r="H91" s="224"/>
    </row>
    <row r="92" spans="1:19" ht="14.1" customHeight="1">
      <c r="A92" s="210" t="s">
        <v>191</v>
      </c>
      <c r="B92" s="6" t="s">
        <v>144</v>
      </c>
      <c r="C92" s="224">
        <v>0</v>
      </c>
      <c r="D92" s="224"/>
      <c r="E92" s="224"/>
      <c r="F92" s="224"/>
      <c r="G92" s="224"/>
      <c r="H92" s="224"/>
    </row>
    <row r="93" spans="1:19" ht="14.1" customHeight="1">
      <c r="A93" s="52" t="s">
        <v>183</v>
      </c>
      <c r="B93" s="6" t="s">
        <v>143</v>
      </c>
      <c r="C93" s="271">
        <f>(C92*Default!$B91+C92*Default!$B92)/1000</f>
        <v>0</v>
      </c>
      <c r="D93" s="224"/>
      <c r="E93" s="224"/>
      <c r="F93" s="224"/>
      <c r="G93" s="224"/>
      <c r="H93" s="224"/>
    </row>
    <row r="94" spans="1:19" ht="14.1" customHeight="1">
      <c r="A94" s="255" t="s">
        <v>150</v>
      </c>
      <c r="B94" s="256"/>
      <c r="C94" s="254"/>
    </row>
    <row r="95" spans="1:19" ht="14.1" customHeight="1">
      <c r="A95" s="210" t="s">
        <v>192</v>
      </c>
      <c r="B95" s="6" t="s">
        <v>185</v>
      </c>
      <c r="C95" s="272"/>
      <c r="D95" s="224"/>
      <c r="E95" s="224"/>
      <c r="F95" s="224"/>
      <c r="G95" s="224"/>
      <c r="H95" s="224"/>
    </row>
    <row r="96" spans="1:19" ht="14.1" customHeight="1">
      <c r="A96" s="1" t="s">
        <v>177</v>
      </c>
      <c r="B96" s="6" t="s">
        <v>143</v>
      </c>
      <c r="C96" s="272"/>
      <c r="D96" s="224"/>
      <c r="E96" s="224"/>
      <c r="F96" s="224"/>
      <c r="G96" s="224"/>
      <c r="H96" s="224"/>
    </row>
    <row r="97" spans="1:8" ht="14.1" customHeight="1">
      <c r="A97" s="210" t="s">
        <v>193</v>
      </c>
      <c r="B97" s="6" t="s">
        <v>144</v>
      </c>
      <c r="C97" s="272"/>
      <c r="D97" s="224"/>
      <c r="E97" s="224"/>
      <c r="F97" s="224"/>
      <c r="G97" s="224"/>
      <c r="H97" s="224"/>
    </row>
    <row r="98" spans="1:8" ht="14.1" customHeight="1">
      <c r="A98" s="52" t="s">
        <v>179</v>
      </c>
      <c r="B98" s="6" t="s">
        <v>143</v>
      </c>
      <c r="C98" s="272"/>
      <c r="D98" s="224"/>
      <c r="E98" s="224"/>
      <c r="F98" s="224"/>
      <c r="G98" s="224"/>
      <c r="H98" s="224"/>
    </row>
  </sheetData>
  <phoneticPr fontId="4"/>
  <printOptions horizontalCentered="1" verticalCentered="1"/>
  <pageMargins left="0.39000000000000007" right="0.39000000000000007" top="0.39000000000000007" bottom="0.39000000000000007" header="0.51" footer="0.51"/>
  <pageSetup paperSize="9" scale="4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view="pageBreakPreview" zoomScale="85" zoomScaleSheetLayoutView="85" workbookViewId="0"/>
  </sheetViews>
  <sheetFormatPr defaultColWidth="12.875" defaultRowHeight="14.1" customHeight="1"/>
  <cols>
    <col min="1" max="1" width="24.125" style="1" bestFit="1" customWidth="1"/>
    <col min="2" max="17" width="7.125" style="2" customWidth="1"/>
    <col min="18" max="18" width="6.375" style="4" customWidth="1"/>
    <col min="19" max="16384" width="12.875" style="4"/>
  </cols>
  <sheetData>
    <row r="1" spans="1:20" ht="27.95" customHeight="1">
      <c r="A1" s="57" t="s">
        <v>334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13" customFormat="1" ht="17.100000000000001" customHeight="1">
      <c r="A2" s="109"/>
      <c r="B2" s="110"/>
      <c r="C2" s="110"/>
      <c r="D2" s="111"/>
      <c r="E2" s="111"/>
      <c r="F2" s="111"/>
      <c r="G2" s="111"/>
      <c r="H2" s="111"/>
      <c r="I2" s="111"/>
      <c r="J2" s="110"/>
      <c r="K2" s="110"/>
      <c r="L2" s="111"/>
      <c r="M2" s="111"/>
      <c r="N2" s="111"/>
      <c r="O2" s="111"/>
      <c r="P2" s="111"/>
      <c r="Q2" s="111"/>
    </row>
    <row r="3" spans="1:20" s="13" customFormat="1" ht="17.100000000000001" customHeight="1">
      <c r="A3" s="106" t="s">
        <v>335</v>
      </c>
      <c r="B3" s="110"/>
      <c r="C3" s="110"/>
      <c r="D3" s="111"/>
      <c r="E3" s="111"/>
      <c r="F3" s="111"/>
      <c r="G3" s="111"/>
      <c r="H3" s="111"/>
      <c r="I3" s="111"/>
      <c r="J3" s="110"/>
      <c r="K3" s="110"/>
      <c r="L3" s="111"/>
      <c r="M3" s="111"/>
      <c r="N3" s="111"/>
      <c r="O3" s="111"/>
      <c r="P3" s="111"/>
      <c r="Q3" s="111"/>
    </row>
    <row r="4" spans="1:20" s="106" customFormat="1" ht="17.100000000000001" customHeight="1">
      <c r="B4" s="117"/>
      <c r="C4" s="117"/>
      <c r="D4" s="118"/>
      <c r="E4" s="118"/>
      <c r="F4" s="118"/>
      <c r="G4" s="118"/>
      <c r="H4" s="118"/>
      <c r="I4" s="119" t="s">
        <v>76</v>
      </c>
      <c r="J4" s="117"/>
      <c r="K4" s="117"/>
      <c r="L4" s="118"/>
      <c r="M4" s="118"/>
      <c r="N4" s="118"/>
      <c r="O4" s="118"/>
      <c r="P4" s="118"/>
      <c r="Q4" s="119" t="s">
        <v>76</v>
      </c>
    </row>
    <row r="5" spans="1:20" s="106" customFormat="1" ht="17.100000000000001" customHeight="1">
      <c r="A5" s="122"/>
      <c r="B5" s="116" t="s">
        <v>406</v>
      </c>
      <c r="C5" s="112"/>
      <c r="D5" s="113"/>
      <c r="E5" s="113"/>
      <c r="F5" s="113"/>
      <c r="G5" s="113"/>
      <c r="H5" s="113"/>
      <c r="I5" s="114"/>
      <c r="J5" s="115" t="s">
        <v>399</v>
      </c>
      <c r="K5" s="112"/>
      <c r="L5" s="113"/>
      <c r="M5" s="113"/>
      <c r="N5" s="113"/>
      <c r="O5" s="113"/>
      <c r="P5" s="113"/>
      <c r="Q5" s="114"/>
    </row>
    <row r="6" spans="1:20" s="107" customFormat="1" ht="17.100000000000001" customHeight="1">
      <c r="A6" s="123"/>
      <c r="B6" s="170" t="s">
        <v>86</v>
      </c>
      <c r="C6" s="171" t="s">
        <v>87</v>
      </c>
      <c r="D6" s="171" t="s">
        <v>88</v>
      </c>
      <c r="E6" s="171" t="s">
        <v>89</v>
      </c>
      <c r="F6" s="171" t="s">
        <v>82</v>
      </c>
      <c r="G6" s="171" t="s">
        <v>83</v>
      </c>
      <c r="H6" s="171" t="s">
        <v>84</v>
      </c>
      <c r="I6" s="172" t="s">
        <v>85</v>
      </c>
      <c r="J6" s="170" t="s">
        <v>86</v>
      </c>
      <c r="K6" s="171" t="s">
        <v>87</v>
      </c>
      <c r="L6" s="171" t="s">
        <v>88</v>
      </c>
      <c r="M6" s="171" t="s">
        <v>89</v>
      </c>
      <c r="N6" s="171" t="s">
        <v>82</v>
      </c>
      <c r="O6" s="171" t="s">
        <v>83</v>
      </c>
      <c r="P6" s="171" t="s">
        <v>84</v>
      </c>
      <c r="Q6" s="172" t="s">
        <v>85</v>
      </c>
      <c r="R6" s="103"/>
      <c r="S6" s="103"/>
      <c r="T6" s="103"/>
    </row>
    <row r="7" spans="1:20" s="106" customFormat="1" ht="30.75" customHeight="1">
      <c r="A7" s="148" t="s">
        <v>402</v>
      </c>
      <c r="B7" s="149">
        <f ca="1">Cal!C10</f>
        <v>0</v>
      </c>
      <c r="C7" s="150">
        <f ca="1">Cal!D10</f>
        <v>0</v>
      </c>
      <c r="D7" s="150">
        <f ca="1">Cal!E10</f>
        <v>0</v>
      </c>
      <c r="E7" s="150">
        <f ca="1">Cal!F10</f>
        <v>0</v>
      </c>
      <c r="F7" s="150">
        <f ca="1">Cal!G10</f>
        <v>0</v>
      </c>
      <c r="G7" s="150">
        <f>Cal!H10</f>
        <v>0</v>
      </c>
      <c r="H7" s="150">
        <f>Cal!I10</f>
        <v>0</v>
      </c>
      <c r="I7" s="151">
        <f>Cal!J10</f>
        <v>0</v>
      </c>
      <c r="J7" s="152">
        <f ca="1">Cal!L10</f>
        <v>0</v>
      </c>
      <c r="K7" s="150">
        <f ca="1">Cal!M10</f>
        <v>0</v>
      </c>
      <c r="L7" s="150">
        <f ca="1">Cal!N10</f>
        <v>0</v>
      </c>
      <c r="M7" s="150">
        <f ca="1">Cal!O10</f>
        <v>0</v>
      </c>
      <c r="N7" s="150">
        <f ca="1">Cal!P10</f>
        <v>0</v>
      </c>
      <c r="O7" s="150">
        <f>Cal!Q10</f>
        <v>0</v>
      </c>
      <c r="P7" s="150">
        <f>Cal!R10</f>
        <v>0</v>
      </c>
      <c r="Q7" s="151">
        <f>Cal!S10</f>
        <v>0</v>
      </c>
      <c r="R7" s="105"/>
      <c r="S7" s="105"/>
      <c r="T7" s="105"/>
    </row>
    <row r="8" spans="1:20" s="72" customFormat="1" ht="30.75" customHeight="1">
      <c r="A8" s="138" t="s">
        <v>261</v>
      </c>
      <c r="B8" s="139">
        <f ca="1">Cal!C23</f>
        <v>0</v>
      </c>
      <c r="C8" s="140">
        <f ca="1">Cal!D23</f>
        <v>0</v>
      </c>
      <c r="D8" s="140">
        <f>Cal!E23</f>
        <v>0</v>
      </c>
      <c r="E8" s="140">
        <f>Cal!F23</f>
        <v>0</v>
      </c>
      <c r="F8" s="140">
        <f>Cal!G23</f>
        <v>0</v>
      </c>
      <c r="G8" s="140">
        <f ca="1">Cal!H23</f>
        <v>0</v>
      </c>
      <c r="H8" s="140">
        <f ca="1">Cal!I23</f>
        <v>0</v>
      </c>
      <c r="I8" s="141">
        <f ca="1">Cal!J23</f>
        <v>0</v>
      </c>
      <c r="J8" s="142">
        <f ca="1">Cal!L23</f>
        <v>0</v>
      </c>
      <c r="K8" s="140">
        <f ca="1">Cal!M23</f>
        <v>0</v>
      </c>
      <c r="L8" s="140">
        <f>Cal!N23</f>
        <v>0</v>
      </c>
      <c r="M8" s="140">
        <f>Cal!O23</f>
        <v>0</v>
      </c>
      <c r="N8" s="140">
        <f>Cal!P23</f>
        <v>0</v>
      </c>
      <c r="O8" s="140">
        <f ca="1">Cal!Q23</f>
        <v>0</v>
      </c>
      <c r="P8" s="140">
        <f ca="1">Cal!R23</f>
        <v>0</v>
      </c>
      <c r="Q8" s="141">
        <f ca="1">Cal!S23</f>
        <v>0</v>
      </c>
      <c r="R8" s="105"/>
      <c r="S8" s="105"/>
      <c r="T8" s="105"/>
    </row>
    <row r="9" spans="1:20" s="72" customFormat="1" ht="30.75" customHeight="1">
      <c r="A9" s="143" t="s">
        <v>278</v>
      </c>
      <c r="B9" s="144">
        <f ca="1">Cal!C37</f>
        <v>0</v>
      </c>
      <c r="C9" s="145">
        <f ca="1">Cal!D37</f>
        <v>0</v>
      </c>
      <c r="D9" s="145">
        <f ca="1">Cal!E37</f>
        <v>0</v>
      </c>
      <c r="E9" s="145">
        <f ca="1">Cal!F37</f>
        <v>0</v>
      </c>
      <c r="F9" s="145">
        <f ca="1">Cal!G37</f>
        <v>0</v>
      </c>
      <c r="G9" s="145">
        <f>Cal!H37</f>
        <v>0</v>
      </c>
      <c r="H9" s="145">
        <f>Cal!I37</f>
        <v>0</v>
      </c>
      <c r="I9" s="146">
        <f>Cal!J37</f>
        <v>0</v>
      </c>
      <c r="J9" s="147">
        <f ca="1">Cal!L37</f>
        <v>0</v>
      </c>
      <c r="K9" s="145">
        <f ca="1">Cal!M37</f>
        <v>0</v>
      </c>
      <c r="L9" s="145">
        <f ca="1">Cal!N37</f>
        <v>0</v>
      </c>
      <c r="M9" s="145">
        <f ca="1">Cal!O37</f>
        <v>0</v>
      </c>
      <c r="N9" s="145">
        <f ca="1">Cal!P37</f>
        <v>0</v>
      </c>
      <c r="O9" s="145">
        <f>Cal!Q37</f>
        <v>0</v>
      </c>
      <c r="P9" s="145">
        <f>Cal!R37</f>
        <v>0</v>
      </c>
      <c r="Q9" s="146">
        <f>Cal!S37</f>
        <v>0</v>
      </c>
      <c r="R9" s="105"/>
      <c r="S9" s="105"/>
      <c r="T9" s="105"/>
    </row>
    <row r="10" spans="1:20" s="72" customFormat="1" ht="30.75" customHeight="1">
      <c r="A10" s="162" t="s">
        <v>336</v>
      </c>
      <c r="B10" s="163">
        <f ca="1">SUM(B7:B9)</f>
        <v>0</v>
      </c>
      <c r="C10" s="164">
        <f t="shared" ref="C10:Q10" ca="1" si="0">SUM(C7:C9)</f>
        <v>0</v>
      </c>
      <c r="D10" s="164">
        <f t="shared" ca="1" si="0"/>
        <v>0</v>
      </c>
      <c r="E10" s="164">
        <f t="shared" ca="1" si="0"/>
        <v>0</v>
      </c>
      <c r="F10" s="164">
        <f t="shared" ca="1" si="0"/>
        <v>0</v>
      </c>
      <c r="G10" s="164">
        <f t="shared" ca="1" si="0"/>
        <v>0</v>
      </c>
      <c r="H10" s="164">
        <f t="shared" ca="1" si="0"/>
        <v>0</v>
      </c>
      <c r="I10" s="165">
        <f t="shared" ca="1" si="0"/>
        <v>0</v>
      </c>
      <c r="J10" s="166">
        <f t="shared" ca="1" si="0"/>
        <v>0</v>
      </c>
      <c r="K10" s="164">
        <f t="shared" ca="1" si="0"/>
        <v>0</v>
      </c>
      <c r="L10" s="164">
        <f t="shared" ca="1" si="0"/>
        <v>0</v>
      </c>
      <c r="M10" s="164">
        <f t="shared" ca="1" si="0"/>
        <v>0</v>
      </c>
      <c r="N10" s="164">
        <f t="shared" ca="1" si="0"/>
        <v>0</v>
      </c>
      <c r="O10" s="164">
        <f t="shared" ca="1" si="0"/>
        <v>0</v>
      </c>
      <c r="P10" s="164">
        <f t="shared" ca="1" si="0"/>
        <v>0</v>
      </c>
      <c r="Q10" s="165">
        <f t="shared" ca="1" si="0"/>
        <v>0</v>
      </c>
      <c r="R10" s="105"/>
      <c r="S10" s="105"/>
      <c r="T10" s="105"/>
    </row>
    <row r="11" spans="1:20" ht="17.10000000000000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0" ht="17.10000000000000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s="13" customFormat="1" ht="17.100000000000001" customHeight="1">
      <c r="A13" s="106" t="s">
        <v>408</v>
      </c>
      <c r="B13" s="110"/>
      <c r="C13" s="110"/>
      <c r="D13" s="111"/>
      <c r="E13" s="111"/>
      <c r="F13" s="111"/>
      <c r="G13" s="111"/>
      <c r="H13" s="111"/>
      <c r="I13" s="111"/>
      <c r="J13" s="110"/>
      <c r="K13" s="110"/>
      <c r="L13" s="111"/>
      <c r="M13" s="111"/>
      <c r="N13" s="111"/>
      <c r="O13" s="111"/>
      <c r="P13" s="111"/>
      <c r="Q13" s="111"/>
    </row>
    <row r="14" spans="1:20" s="106" customFormat="1" ht="17.100000000000001" customHeight="1">
      <c r="B14" s="117"/>
      <c r="C14" s="117"/>
      <c r="D14" s="118"/>
      <c r="E14" s="118"/>
      <c r="F14" s="118"/>
      <c r="G14" s="118"/>
      <c r="H14" s="118"/>
      <c r="I14" s="119" t="s">
        <v>409</v>
      </c>
      <c r="J14" s="117"/>
      <c r="K14" s="117"/>
      <c r="L14" s="118"/>
      <c r="M14" s="118"/>
      <c r="N14" s="118"/>
      <c r="O14" s="118"/>
      <c r="P14" s="118"/>
      <c r="Q14" s="119" t="s">
        <v>409</v>
      </c>
    </row>
    <row r="15" spans="1:20" s="106" customFormat="1" ht="17.100000000000001" customHeight="1">
      <c r="A15" s="122"/>
      <c r="B15" s="116" t="s">
        <v>406</v>
      </c>
      <c r="C15" s="112"/>
      <c r="D15" s="113"/>
      <c r="E15" s="113"/>
      <c r="F15" s="113"/>
      <c r="G15" s="113"/>
      <c r="H15" s="113"/>
      <c r="I15" s="114"/>
      <c r="J15" s="115" t="s">
        <v>399</v>
      </c>
      <c r="K15" s="112"/>
      <c r="L15" s="113"/>
      <c r="M15" s="113"/>
      <c r="N15" s="113"/>
      <c r="O15" s="113"/>
      <c r="P15" s="113"/>
      <c r="Q15" s="114"/>
    </row>
    <row r="16" spans="1:20" s="107" customFormat="1" ht="17.100000000000001" customHeight="1">
      <c r="A16" s="123"/>
      <c r="B16" s="170" t="s">
        <v>410</v>
      </c>
      <c r="C16" s="171" t="s">
        <v>411</v>
      </c>
      <c r="D16" s="171" t="s">
        <v>412</v>
      </c>
      <c r="E16" s="171" t="s">
        <v>413</v>
      </c>
      <c r="F16" s="171" t="s">
        <v>5</v>
      </c>
      <c r="G16" s="171" t="s">
        <v>2</v>
      </c>
      <c r="H16" s="171" t="s">
        <v>7</v>
      </c>
      <c r="I16" s="172" t="s">
        <v>414</v>
      </c>
      <c r="J16" s="170" t="s">
        <v>410</v>
      </c>
      <c r="K16" s="171" t="s">
        <v>411</v>
      </c>
      <c r="L16" s="171" t="s">
        <v>412</v>
      </c>
      <c r="M16" s="171" t="s">
        <v>413</v>
      </c>
      <c r="N16" s="171" t="s">
        <v>5</v>
      </c>
      <c r="O16" s="171" t="s">
        <v>2</v>
      </c>
      <c r="P16" s="171" t="s">
        <v>7</v>
      </c>
      <c r="Q16" s="172" t="s">
        <v>414</v>
      </c>
      <c r="R16" s="103"/>
      <c r="S16" s="103"/>
      <c r="T16" s="103"/>
    </row>
    <row r="17" spans="1:20" s="106" customFormat="1" ht="17.100000000000001" customHeight="1">
      <c r="A17" s="148" t="s">
        <v>415</v>
      </c>
      <c r="B17" s="274" t="e">
        <f ca="1">Cal!C11</f>
        <v>#DIV/0!</v>
      </c>
      <c r="C17" s="275" t="e">
        <f ca="1">Cal!D11</f>
        <v>#DIV/0!</v>
      </c>
      <c r="D17" s="275" t="e">
        <f ca="1">Cal!E11</f>
        <v>#DIV/0!</v>
      </c>
      <c r="E17" s="275" t="e">
        <f ca="1">Cal!F11</f>
        <v>#DIV/0!</v>
      </c>
      <c r="F17" s="275" t="e">
        <f ca="1">Cal!G11</f>
        <v>#DIV/0!</v>
      </c>
      <c r="G17" s="275" t="e">
        <f>Cal!H11</f>
        <v>#DIV/0!</v>
      </c>
      <c r="H17" s="275" t="e">
        <f>Cal!I11</f>
        <v>#DIV/0!</v>
      </c>
      <c r="I17" s="276" t="e">
        <f>Cal!J11</f>
        <v>#DIV/0!</v>
      </c>
      <c r="J17" s="277" t="e">
        <f ca="1">Cal!L11</f>
        <v>#DIV/0!</v>
      </c>
      <c r="K17" s="275" t="e">
        <f ca="1">Cal!M11</f>
        <v>#DIV/0!</v>
      </c>
      <c r="L17" s="275" t="e">
        <f ca="1">Cal!N11</f>
        <v>#DIV/0!</v>
      </c>
      <c r="M17" s="275" t="e">
        <f ca="1">Cal!O11</f>
        <v>#DIV/0!</v>
      </c>
      <c r="N17" s="275" t="e">
        <f ca="1">Cal!P11</f>
        <v>#DIV/0!</v>
      </c>
      <c r="O17" s="275" t="e">
        <f>Cal!Q11</f>
        <v>#DIV/0!</v>
      </c>
      <c r="P17" s="275" t="e">
        <f>Cal!R11</f>
        <v>#DIV/0!</v>
      </c>
      <c r="Q17" s="276" t="e">
        <f>Cal!S11</f>
        <v>#DIV/0!</v>
      </c>
      <c r="R17" s="105"/>
      <c r="S17" s="105"/>
      <c r="T17" s="105"/>
    </row>
    <row r="18" spans="1:20" s="72" customFormat="1" ht="17.100000000000001" customHeight="1">
      <c r="A18" s="138" t="s">
        <v>416</v>
      </c>
      <c r="B18" s="278" t="e">
        <f ca="1">Cal!C24</f>
        <v>#DIV/0!</v>
      </c>
      <c r="C18" s="279" t="e">
        <f ca="1">Cal!D24</f>
        <v>#DIV/0!</v>
      </c>
      <c r="D18" s="279" t="e">
        <f>Cal!E24</f>
        <v>#DIV/0!</v>
      </c>
      <c r="E18" s="279" t="e">
        <f>Cal!F24</f>
        <v>#DIV/0!</v>
      </c>
      <c r="F18" s="279" t="e">
        <f>Cal!G24</f>
        <v>#DIV/0!</v>
      </c>
      <c r="G18" s="279" t="e">
        <f ca="1">Cal!H24</f>
        <v>#DIV/0!</v>
      </c>
      <c r="H18" s="279" t="e">
        <f ca="1">Cal!I24</f>
        <v>#DIV/0!</v>
      </c>
      <c r="I18" s="280" t="e">
        <f ca="1">Cal!J24</f>
        <v>#DIV/0!</v>
      </c>
      <c r="J18" s="281" t="e">
        <f ca="1">Cal!L24</f>
        <v>#DIV/0!</v>
      </c>
      <c r="K18" s="279" t="e">
        <f ca="1">Cal!M24</f>
        <v>#DIV/0!</v>
      </c>
      <c r="L18" s="279" t="e">
        <f>Cal!N24</f>
        <v>#DIV/0!</v>
      </c>
      <c r="M18" s="279" t="e">
        <f>Cal!O24</f>
        <v>#DIV/0!</v>
      </c>
      <c r="N18" s="279" t="e">
        <f>Cal!P24</f>
        <v>#DIV/0!</v>
      </c>
      <c r="O18" s="279" t="e">
        <f ca="1">Cal!Q24</f>
        <v>#DIV/0!</v>
      </c>
      <c r="P18" s="279" t="e">
        <f ca="1">Cal!R24</f>
        <v>#DIV/0!</v>
      </c>
      <c r="Q18" s="280" t="e">
        <f ca="1">Cal!S24</f>
        <v>#DIV/0!</v>
      </c>
      <c r="R18" s="105"/>
      <c r="S18" s="105"/>
      <c r="T18" s="105"/>
    </row>
    <row r="19" spans="1:20" s="72" customFormat="1" ht="17.100000000000001" customHeight="1">
      <c r="A19" s="143" t="s">
        <v>417</v>
      </c>
      <c r="B19" s="282" t="e">
        <f ca="1">Cal!C38</f>
        <v>#DIV/0!</v>
      </c>
      <c r="C19" s="283" t="e">
        <f ca="1">Cal!D38</f>
        <v>#DIV/0!</v>
      </c>
      <c r="D19" s="283" t="e">
        <f ca="1">Cal!E38</f>
        <v>#DIV/0!</v>
      </c>
      <c r="E19" s="283" t="e">
        <f ca="1">Cal!F38</f>
        <v>#DIV/0!</v>
      </c>
      <c r="F19" s="283" t="e">
        <f ca="1">Cal!G38</f>
        <v>#DIV/0!</v>
      </c>
      <c r="G19" s="283" t="e">
        <f>Cal!H38</f>
        <v>#DIV/0!</v>
      </c>
      <c r="H19" s="283" t="e">
        <f>Cal!I38</f>
        <v>#DIV/0!</v>
      </c>
      <c r="I19" s="284" t="e">
        <f>Cal!J38</f>
        <v>#DIV/0!</v>
      </c>
      <c r="J19" s="285" t="e">
        <f ca="1">Cal!L38</f>
        <v>#DIV/0!</v>
      </c>
      <c r="K19" s="283" t="e">
        <f ca="1">Cal!M38</f>
        <v>#DIV/0!</v>
      </c>
      <c r="L19" s="283" t="e">
        <f ca="1">Cal!N38</f>
        <v>#DIV/0!</v>
      </c>
      <c r="M19" s="283" t="e">
        <f ca="1">Cal!O38</f>
        <v>#DIV/0!</v>
      </c>
      <c r="N19" s="283" t="e">
        <f ca="1">Cal!P38</f>
        <v>#DIV/0!</v>
      </c>
      <c r="O19" s="283" t="e">
        <f>Cal!Q38</f>
        <v>#DIV/0!</v>
      </c>
      <c r="P19" s="283" t="e">
        <f>Cal!R38</f>
        <v>#DIV/0!</v>
      </c>
      <c r="Q19" s="284" t="e">
        <f>Cal!S38</f>
        <v>#DIV/0!</v>
      </c>
      <c r="R19" s="105"/>
      <c r="S19" s="105"/>
      <c r="T19" s="105"/>
    </row>
    <row r="20" spans="1:20" s="72" customFormat="1" ht="17.100000000000001" customHeight="1">
      <c r="A20" s="162" t="s">
        <v>73</v>
      </c>
      <c r="B20" s="286" t="e">
        <f ca="1">SUM(B17:B19)</f>
        <v>#DIV/0!</v>
      </c>
      <c r="C20" s="287" t="e">
        <f t="shared" ref="C20:Q20" ca="1" si="1">SUM(C17:C19)</f>
        <v>#DIV/0!</v>
      </c>
      <c r="D20" s="287" t="e">
        <f t="shared" ca="1" si="1"/>
        <v>#DIV/0!</v>
      </c>
      <c r="E20" s="287" t="e">
        <f t="shared" ca="1" si="1"/>
        <v>#DIV/0!</v>
      </c>
      <c r="F20" s="287" t="e">
        <f t="shared" ca="1" si="1"/>
        <v>#DIV/0!</v>
      </c>
      <c r="G20" s="287" t="e">
        <f t="shared" si="1"/>
        <v>#DIV/0!</v>
      </c>
      <c r="H20" s="287" t="e">
        <f t="shared" si="1"/>
        <v>#DIV/0!</v>
      </c>
      <c r="I20" s="288" t="e">
        <f t="shared" si="1"/>
        <v>#DIV/0!</v>
      </c>
      <c r="J20" s="289" t="e">
        <f t="shared" ca="1" si="1"/>
        <v>#DIV/0!</v>
      </c>
      <c r="K20" s="287" t="e">
        <f t="shared" ca="1" si="1"/>
        <v>#DIV/0!</v>
      </c>
      <c r="L20" s="287" t="e">
        <f t="shared" ca="1" si="1"/>
        <v>#DIV/0!</v>
      </c>
      <c r="M20" s="287" t="e">
        <f t="shared" ca="1" si="1"/>
        <v>#DIV/0!</v>
      </c>
      <c r="N20" s="287" t="e">
        <f t="shared" ca="1" si="1"/>
        <v>#DIV/0!</v>
      </c>
      <c r="O20" s="287" t="e">
        <f t="shared" si="1"/>
        <v>#DIV/0!</v>
      </c>
      <c r="P20" s="287" t="e">
        <f t="shared" si="1"/>
        <v>#DIV/0!</v>
      </c>
      <c r="Q20" s="288" t="e">
        <f t="shared" si="1"/>
        <v>#DIV/0!</v>
      </c>
      <c r="R20" s="105"/>
      <c r="S20" s="105"/>
      <c r="T20" s="105"/>
    </row>
    <row r="21" spans="1:20" ht="17.100000000000001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17.100000000000001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1:20" ht="17.100000000000001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</row>
    <row r="24" spans="1:20" ht="17.100000000000001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ht="17.100000000000001" customHeight="1">
      <c r="A25" s="105" t="s">
        <v>77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</row>
    <row r="26" spans="1:20" ht="17.100000000000001" customHeight="1">
      <c r="A26" s="105"/>
      <c r="C26" s="121" t="s">
        <v>80</v>
      </c>
      <c r="E26" s="121" t="s">
        <v>79</v>
      </c>
      <c r="F26" s="121"/>
      <c r="G26" s="120" t="s">
        <v>78</v>
      </c>
      <c r="H26" s="105"/>
      <c r="I26" s="105"/>
      <c r="J26" s="105"/>
      <c r="K26" s="121"/>
      <c r="L26" s="105"/>
      <c r="M26" s="105"/>
      <c r="N26" s="105"/>
      <c r="O26" s="105"/>
      <c r="P26" s="120"/>
      <c r="Q26" s="105"/>
      <c r="R26" s="105"/>
      <c r="S26" s="105"/>
      <c r="T26" s="105"/>
    </row>
    <row r="27" spans="1:20" ht="17.100000000000001" customHeight="1">
      <c r="A27" s="124"/>
      <c r="B27" s="173" t="s">
        <v>384</v>
      </c>
      <c r="C27" s="174"/>
      <c r="D27" s="173" t="s">
        <v>383</v>
      </c>
      <c r="E27" s="175"/>
      <c r="F27" s="174" t="s">
        <v>382</v>
      </c>
      <c r="G27" s="176"/>
      <c r="I27" s="105"/>
      <c r="J27" s="105"/>
      <c r="K27" s="105"/>
      <c r="L27" s="4"/>
      <c r="M27" s="4"/>
      <c r="N27" s="4"/>
      <c r="O27" s="4"/>
      <c r="P27" s="4"/>
      <c r="Q27" s="4"/>
    </row>
    <row r="28" spans="1:20" ht="17.100000000000001" customHeight="1">
      <c r="A28" s="125"/>
      <c r="B28" s="217" t="s">
        <v>425</v>
      </c>
      <c r="C28" s="218" t="s">
        <v>400</v>
      </c>
      <c r="D28" s="217" t="s">
        <v>425</v>
      </c>
      <c r="E28" s="218" t="s">
        <v>400</v>
      </c>
      <c r="F28" s="217" t="s">
        <v>425</v>
      </c>
      <c r="G28" s="218" t="s">
        <v>400</v>
      </c>
      <c r="I28" s="105"/>
      <c r="J28" s="105"/>
      <c r="K28" s="105"/>
      <c r="L28" s="4"/>
      <c r="M28" s="4"/>
      <c r="N28" s="4"/>
      <c r="O28" s="4"/>
      <c r="P28" s="4"/>
      <c r="Q28" s="4"/>
    </row>
    <row r="29" spans="1:20" s="2" customFormat="1" ht="27.75" customHeight="1">
      <c r="A29" s="148" t="s">
        <v>401</v>
      </c>
      <c r="B29" s="153">
        <f ca="1">B7+C7*Default!$D$51+D7*Default!$E$51</f>
        <v>0</v>
      </c>
      <c r="C29" s="154">
        <f ca="1">J7+K7*Default!$D$51+L7*Default!$E$51</f>
        <v>0</v>
      </c>
      <c r="D29" s="153">
        <f ca="1">E7*Default!$F$51+F7*Default!$G$51</f>
        <v>0</v>
      </c>
      <c r="E29" s="155">
        <f ca="1">M7*Default!$F$51+N7*Default!$G$51</f>
        <v>0</v>
      </c>
      <c r="F29" s="154">
        <f>G7*Default!$H$51+H7*Default!$I$51+I7*Default!$J$51</f>
        <v>0</v>
      </c>
      <c r="G29" s="155">
        <f>O7*Default!$H$51+P7*Default!$I$51+Q7*Default!$J$51</f>
        <v>0</v>
      </c>
      <c r="I29" s="105"/>
      <c r="J29" s="105"/>
      <c r="K29" s="105"/>
    </row>
    <row r="30" spans="1:20" s="2" customFormat="1" ht="27" customHeight="1">
      <c r="A30" s="138" t="s">
        <v>261</v>
      </c>
      <c r="B30" s="156">
        <f ca="1">B8+C8*Default!$D$51+D8*Default!$E$51</f>
        <v>0</v>
      </c>
      <c r="C30" s="157">
        <f ca="1">J8+K8*Default!$D$51+L8*Default!$E$51</f>
        <v>0</v>
      </c>
      <c r="D30" s="156">
        <f>E8*Default!$F$51+F8*Default!$G$51</f>
        <v>0</v>
      </c>
      <c r="E30" s="158">
        <f>M8*Default!$F$51+N8*Default!$G$51</f>
        <v>0</v>
      </c>
      <c r="F30" s="157">
        <f ca="1">G8*Default!$H$51+H8*Default!$I$51+I8*Default!$J$51</f>
        <v>0</v>
      </c>
      <c r="G30" s="158">
        <f ca="1">O8*Default!$H$51+P8*Default!$I$51+Q8*Default!$J$51</f>
        <v>0</v>
      </c>
      <c r="I30" s="105"/>
      <c r="J30" s="105"/>
      <c r="K30" s="105"/>
    </row>
    <row r="31" spans="1:20" s="2" customFormat="1" ht="26.25" customHeight="1">
      <c r="A31" s="143" t="s">
        <v>278</v>
      </c>
      <c r="B31" s="159">
        <f ca="1">B9+C9*Default!$D$51+D9*Default!$E$51</f>
        <v>0</v>
      </c>
      <c r="C31" s="160">
        <f ca="1">J9+K9*Default!$D$51+L9*Default!$E$51</f>
        <v>0</v>
      </c>
      <c r="D31" s="159">
        <f ca="1">E9*Default!$F$51+F9*Default!$G$51</f>
        <v>0</v>
      </c>
      <c r="E31" s="161">
        <f ca="1">M9*Default!$F$51+N9*Default!$G$51</f>
        <v>0</v>
      </c>
      <c r="F31" s="160">
        <f>G9*Default!$H$51+H9*Default!$I$51+I9*Default!$J$51</f>
        <v>0</v>
      </c>
      <c r="G31" s="161">
        <f>O9*Default!$H$51+P9*Default!$I$51+Q9*Default!$J$51</f>
        <v>0</v>
      </c>
      <c r="I31" s="105"/>
      <c r="J31" s="105"/>
      <c r="K31" s="105"/>
    </row>
    <row r="32" spans="1:20" s="2" customFormat="1" ht="26.25" customHeight="1">
      <c r="A32" s="162" t="s">
        <v>74</v>
      </c>
      <c r="B32" s="167">
        <f ca="1">B10+C10*Default!$D$51+D10*Default!$E$51</f>
        <v>0</v>
      </c>
      <c r="C32" s="168">
        <f ca="1">J10+K10*Default!$D$51+L10*Default!$E$51</f>
        <v>0</v>
      </c>
      <c r="D32" s="167">
        <f ca="1">E10*Default!$F$51+F10*Default!$G$51</f>
        <v>0</v>
      </c>
      <c r="E32" s="169">
        <f ca="1">M10*Default!$F$51+N10*Default!$G$51</f>
        <v>0</v>
      </c>
      <c r="F32" s="168">
        <f ca="1">G10*Default!$H$51+H10*Default!$I$51+I10*Default!$J$51</f>
        <v>0</v>
      </c>
      <c r="G32" s="169">
        <f ca="1">O10*Default!$H$51+P10*Default!$I$51+Q10*Default!$J$51</f>
        <v>0</v>
      </c>
      <c r="I32" s="105"/>
      <c r="J32" s="105"/>
      <c r="K32" s="105"/>
    </row>
    <row r="33" spans="1:20" s="2" customFormat="1" ht="17.100000000000001" customHeight="1">
      <c r="A33" s="105"/>
      <c r="B33" s="104"/>
      <c r="C33" s="104"/>
      <c r="D33" s="104"/>
      <c r="E33" s="104"/>
      <c r="F33" s="104"/>
      <c r="R33" s="105"/>
      <c r="S33" s="105"/>
      <c r="T33" s="105"/>
    </row>
    <row r="34" spans="1:20" ht="17.100000000000001" customHeight="1">
      <c r="A34" s="105" t="s">
        <v>77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0" ht="14.1" customHeight="1">
      <c r="A35" s="105"/>
      <c r="C35" s="121" t="s">
        <v>418</v>
      </c>
      <c r="E35" s="121" t="s">
        <v>419</v>
      </c>
      <c r="F35" s="121"/>
      <c r="G35" s="120" t="s">
        <v>409</v>
      </c>
    </row>
    <row r="36" spans="1:20" ht="14.1" customHeight="1">
      <c r="A36" s="124"/>
      <c r="B36" s="173" t="s">
        <v>420</v>
      </c>
      <c r="C36" s="174"/>
      <c r="D36" s="173" t="s">
        <v>421</v>
      </c>
      <c r="E36" s="175"/>
      <c r="F36" s="174" t="s">
        <v>422</v>
      </c>
      <c r="G36" s="176"/>
    </row>
    <row r="37" spans="1:20" ht="14.1" customHeight="1">
      <c r="A37" s="125"/>
      <c r="B37" s="217" t="s">
        <v>423</v>
      </c>
      <c r="C37" s="218" t="s">
        <v>424</v>
      </c>
      <c r="D37" s="217" t="s">
        <v>423</v>
      </c>
      <c r="E37" s="218" t="s">
        <v>424</v>
      </c>
      <c r="F37" s="217" t="s">
        <v>423</v>
      </c>
      <c r="G37" s="290" t="s">
        <v>424</v>
      </c>
    </row>
    <row r="38" spans="1:20" ht="14.1" customHeight="1">
      <c r="A38" s="148" t="s">
        <v>401</v>
      </c>
      <c r="B38" s="291" t="e">
        <f ca="1">(B17+C17*Default!$D$51+D17*Default!$E$51)*1000</f>
        <v>#DIV/0!</v>
      </c>
      <c r="C38" s="292" t="e">
        <f ca="1">(J17+K17*Default!$D$51+L17*Default!$E$51)*1000</f>
        <v>#DIV/0!</v>
      </c>
      <c r="D38" s="291" t="e">
        <f ca="1">E17*Default!$F$51+F17*Default!$G$51</f>
        <v>#DIV/0!</v>
      </c>
      <c r="E38" s="293" t="e">
        <f ca="1">M17*Default!$F$51+N17*Default!$G$51</f>
        <v>#DIV/0!</v>
      </c>
      <c r="F38" s="292" t="e">
        <f>G17*Default!$H$51+H17*Default!$I$51+I17*Default!$J$51</f>
        <v>#DIV/0!</v>
      </c>
      <c r="G38" s="293" t="e">
        <f>O17*Default!$H$51+P17*Default!$I$51+Q17*Default!$J$51</f>
        <v>#DIV/0!</v>
      </c>
    </row>
    <row r="39" spans="1:20" ht="14.1" customHeight="1">
      <c r="A39" s="138" t="s">
        <v>261</v>
      </c>
      <c r="B39" s="294" t="e">
        <f ca="1">(B18+C18*Default!$D$51+D18*Default!$E$51)*1000</f>
        <v>#DIV/0!</v>
      </c>
      <c r="C39" s="295" t="e">
        <f ca="1">(J18+K18*Default!$D$51+L18*Default!$E$51)*1000</f>
        <v>#DIV/0!</v>
      </c>
      <c r="D39" s="294" t="e">
        <f>E18*Default!$F$51+F18*Default!$G$51</f>
        <v>#DIV/0!</v>
      </c>
      <c r="E39" s="296" t="e">
        <f>M18*Default!$F$51+N18*Default!$G$51</f>
        <v>#DIV/0!</v>
      </c>
      <c r="F39" s="295" t="e">
        <f ca="1">G18*Default!$H$51+H18*Default!$I$51+I18*Default!$J$51</f>
        <v>#DIV/0!</v>
      </c>
      <c r="G39" s="296" t="e">
        <f ca="1">O18*Default!$H$51+P18*Default!$I$51+Q18*Default!$J$51</f>
        <v>#DIV/0!</v>
      </c>
    </row>
    <row r="40" spans="1:20" ht="14.1" customHeight="1">
      <c r="A40" s="143" t="s">
        <v>278</v>
      </c>
      <c r="B40" s="297" t="e">
        <f ca="1">(B19+C19*Default!$D$51+D19*Default!$E$51)*1000</f>
        <v>#DIV/0!</v>
      </c>
      <c r="C40" s="298" t="e">
        <f ca="1">(J19+K19*Default!$D$51+L19*Default!$E$51)*1000</f>
        <v>#DIV/0!</v>
      </c>
      <c r="D40" s="297" t="e">
        <f ca="1">E19*Default!$F$51+F19*Default!$G$51</f>
        <v>#DIV/0!</v>
      </c>
      <c r="E40" s="299" t="e">
        <f ca="1">M19*Default!$F$51+N19*Default!$G$51</f>
        <v>#DIV/0!</v>
      </c>
      <c r="F40" s="298" t="e">
        <f>G19*Default!$H$51+H19*Default!$I$51+I19*Default!$J$51</f>
        <v>#DIV/0!</v>
      </c>
      <c r="G40" s="299" t="e">
        <f>O19*Default!$H$51+P19*Default!$I$51+Q19*Default!$J$51</f>
        <v>#DIV/0!</v>
      </c>
    </row>
    <row r="41" spans="1:20" ht="14.1" customHeight="1">
      <c r="A41" s="162" t="s">
        <v>73</v>
      </c>
      <c r="B41" s="300" t="e">
        <f ca="1">(B20+C20*Default!$D$51+D20*Default!$E$51)*1000</f>
        <v>#DIV/0!</v>
      </c>
      <c r="C41" s="301" t="e">
        <f ca="1">(J20+K20*Default!$D$51+L20*Default!$E$51)*1000</f>
        <v>#DIV/0!</v>
      </c>
      <c r="D41" s="300" t="e">
        <f ca="1">E20*Default!$F$51+F20*Default!$G$51</f>
        <v>#DIV/0!</v>
      </c>
      <c r="E41" s="302" t="e">
        <f ca="1">M20*Default!$F$51+N20*Default!$G$51</f>
        <v>#DIV/0!</v>
      </c>
      <c r="F41" s="301" t="e">
        <f>G20*Default!$H$51+H20*Default!$I$51+I20*Default!$J$51</f>
        <v>#DIV/0!</v>
      </c>
      <c r="G41" s="302" t="e">
        <f>O20*Default!$H$51+P20*Default!$I$51+Q20*Default!$J$51</f>
        <v>#DIV/0!</v>
      </c>
    </row>
    <row r="42" spans="1:20" ht="17.100000000000001" customHeight="1">
      <c r="A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</sheetData>
  <phoneticPr fontId="4"/>
  <printOptions horizontalCentered="1"/>
  <pageMargins left="0.39000000000000007" right="0.39000000000000007" top="1.1774015748031497" bottom="0.39000000000000007" header="0.51" footer="0.51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115" zoomScaleSheetLayoutView="115" workbookViewId="0"/>
  </sheetViews>
  <sheetFormatPr defaultColWidth="12.875" defaultRowHeight="14.1" customHeight="1"/>
  <cols>
    <col min="1" max="1" width="29.5" style="253" customWidth="1"/>
    <col min="2" max="7" width="16.375" style="252" customWidth="1"/>
    <col min="8" max="8" width="6.375" style="242" customWidth="1"/>
    <col min="9" max="16384" width="12.875" style="242"/>
  </cols>
  <sheetData>
    <row r="1" spans="1:10" ht="27.95" customHeight="1">
      <c r="A1" s="241" t="s">
        <v>158</v>
      </c>
      <c r="B1" s="241"/>
      <c r="C1" s="241"/>
      <c r="D1" s="241"/>
      <c r="E1" s="241"/>
      <c r="F1" s="241"/>
      <c r="G1" s="241"/>
    </row>
    <row r="2" spans="1:10" s="246" customFormat="1" ht="17.100000000000001" customHeight="1">
      <c r="A2" s="243"/>
      <c r="B2" s="244"/>
      <c r="C2" s="244"/>
      <c r="D2" s="245"/>
      <c r="E2" s="245"/>
      <c r="F2" s="245"/>
      <c r="G2" s="245"/>
    </row>
    <row r="3" spans="1:10" ht="17.100000000000001" customHeight="1">
      <c r="A3" s="247" t="s">
        <v>159</v>
      </c>
      <c r="B3" s="247"/>
      <c r="C3" s="247"/>
      <c r="D3" s="247"/>
      <c r="E3" s="247"/>
      <c r="F3" s="247"/>
      <c r="G3" s="247" t="s">
        <v>160</v>
      </c>
      <c r="H3" s="247"/>
      <c r="I3" s="247"/>
      <c r="J3" s="247"/>
    </row>
    <row r="4" spans="1:10" ht="28.5">
      <c r="A4" s="248"/>
      <c r="B4" s="249" t="s">
        <v>161</v>
      </c>
      <c r="C4" s="249" t="s">
        <v>162</v>
      </c>
      <c r="D4" s="249" t="s">
        <v>163</v>
      </c>
      <c r="E4" s="248" t="s">
        <v>164</v>
      </c>
      <c r="F4" s="248" t="s">
        <v>40</v>
      </c>
      <c r="G4" s="248" t="s">
        <v>165</v>
      </c>
      <c r="H4" s="247"/>
      <c r="I4" s="247"/>
      <c r="J4" s="247"/>
    </row>
    <row r="5" spans="1:10" ht="17.100000000000001" customHeight="1">
      <c r="A5" s="248" t="s">
        <v>166</v>
      </c>
      <c r="B5" s="250">
        <f>Cal!C70-Cal!C68</f>
        <v>0</v>
      </c>
      <c r="C5" s="250">
        <f>Cal!D70-Cal!D68</f>
        <v>0</v>
      </c>
      <c r="D5" s="250">
        <f>Cal!E70-Cal!E68</f>
        <v>0</v>
      </c>
      <c r="E5" s="250">
        <f>Cal!F70-Cal!F68</f>
        <v>0</v>
      </c>
      <c r="F5" s="250">
        <f>Cal!G70-Cal!G68</f>
        <v>0</v>
      </c>
      <c r="G5" s="250">
        <f>Cal!C88-Cal!C86</f>
        <v>0</v>
      </c>
      <c r="H5" s="247"/>
      <c r="I5" s="247"/>
      <c r="J5" s="247"/>
    </row>
    <row r="6" spans="1:10" ht="17.100000000000001" customHeight="1">
      <c r="A6" s="248" t="s">
        <v>167</v>
      </c>
      <c r="B6" s="250">
        <f>Cal!C75-Cal!C73</f>
        <v>0</v>
      </c>
      <c r="C6" s="250">
        <f>Cal!D75-Cal!D73</f>
        <v>0</v>
      </c>
      <c r="D6" s="250">
        <f>Cal!E75-Cal!E73</f>
        <v>0</v>
      </c>
      <c r="E6" s="250">
        <f>Cal!F75-Cal!F73</f>
        <v>0</v>
      </c>
      <c r="F6" s="250">
        <f>Cal!G75-Cal!G73</f>
        <v>0</v>
      </c>
      <c r="G6" s="250">
        <f>Cal!C93-Cal!C91</f>
        <v>0</v>
      </c>
      <c r="H6" s="247"/>
      <c r="I6" s="247"/>
      <c r="J6" s="247"/>
    </row>
    <row r="7" spans="1:10" ht="17.100000000000001" customHeight="1">
      <c r="A7" s="248" t="s">
        <v>168</v>
      </c>
      <c r="B7" s="250">
        <f>Cal!C80-Cal!C78</f>
        <v>0</v>
      </c>
      <c r="C7" s="250">
        <f>Cal!D80-Cal!D78</f>
        <v>0</v>
      </c>
      <c r="D7" s="250">
        <f>Cal!E80-Cal!E78</f>
        <v>0</v>
      </c>
      <c r="E7" s="250">
        <f>Cal!F80-Cal!F78</f>
        <v>0</v>
      </c>
      <c r="F7" s="250">
        <f>Cal!G80-Cal!G78</f>
        <v>0</v>
      </c>
      <c r="G7" s="250">
        <f>Cal!C98-Cal!C96</f>
        <v>0</v>
      </c>
      <c r="H7" s="247"/>
      <c r="I7" s="247"/>
      <c r="J7" s="247"/>
    </row>
    <row r="8" spans="1:10" ht="17.100000000000001" customHeight="1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10" ht="17.100000000000001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7.100000000000001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7.100000000000001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10" ht="17.100000000000001" customHeight="1">
      <c r="A12" s="247"/>
      <c r="B12" s="251"/>
      <c r="C12" s="247"/>
      <c r="D12" s="247"/>
      <c r="E12" s="247"/>
      <c r="F12" s="247"/>
      <c r="G12" s="247"/>
      <c r="H12" s="247"/>
      <c r="I12" s="247"/>
      <c r="J12" s="247"/>
    </row>
    <row r="13" spans="1:10" ht="17.100000000000001" customHeight="1">
      <c r="A13" s="247"/>
      <c r="B13" s="251"/>
      <c r="C13" s="247"/>
      <c r="D13" s="247"/>
      <c r="E13" s="247"/>
      <c r="F13" s="247"/>
      <c r="G13" s="247"/>
      <c r="H13" s="247"/>
      <c r="I13" s="247"/>
      <c r="J13" s="247"/>
    </row>
    <row r="14" spans="1:10" ht="17.100000000000001" customHeight="1">
      <c r="A14" s="247"/>
      <c r="B14" s="251"/>
      <c r="C14" s="247"/>
      <c r="D14" s="247"/>
      <c r="E14" s="247"/>
      <c r="F14" s="247"/>
      <c r="G14" s="247"/>
      <c r="H14" s="247"/>
      <c r="I14" s="247"/>
      <c r="J14" s="247"/>
    </row>
    <row r="15" spans="1:10" ht="17.100000000000001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</row>
    <row r="16" spans="1:10" s="252" customFormat="1" ht="17.100000000000001" customHeight="1">
      <c r="A16" s="247"/>
      <c r="B16" s="104"/>
      <c r="C16" s="104"/>
      <c r="D16" s="104"/>
      <c r="E16" s="104"/>
      <c r="F16" s="104"/>
      <c r="H16" s="247"/>
      <c r="I16" s="247"/>
      <c r="J16" s="247"/>
    </row>
    <row r="17" spans="1:10" ht="17.100000000000001" customHeight="1">
      <c r="A17" s="247"/>
      <c r="G17" s="247"/>
      <c r="H17" s="247"/>
      <c r="I17" s="247"/>
      <c r="J17" s="247"/>
    </row>
  </sheetData>
  <phoneticPr fontId="4"/>
  <printOptions horizontalCentered="1"/>
  <pageMargins left="0.39000000000000007" right="0.39000000000000007" top="1.1774015748031497" bottom="0.39000000000000007" header="0.51" footer="0.51"/>
  <pageSetup paperSize="9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"/>
  <sheetViews>
    <sheetView zoomScale="70" zoomScaleNormal="70" workbookViewId="0"/>
  </sheetViews>
  <sheetFormatPr defaultColWidth="12.875" defaultRowHeight="14.1" customHeight="1"/>
  <cols>
    <col min="1" max="1" width="11.875" style="10" customWidth="1"/>
    <col min="2" max="2" width="12.875" style="108"/>
    <col min="3" max="8" width="12.875" style="8"/>
    <col min="9" max="9" width="11.875" style="10" customWidth="1"/>
    <col min="10" max="10" width="12.875" style="108"/>
    <col min="11" max="16384" width="12.875" style="8"/>
  </cols>
  <sheetData>
    <row r="1" spans="1:41" s="4" customFormat="1" ht="27.95" customHeight="1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</sheetData>
  <phoneticPr fontId="4"/>
  <printOptions horizontalCentered="1"/>
  <pageMargins left="0.39000000000000007" right="0.39000000000000007" top="0.78000000000000014" bottom="0.39000000000000007" header="0.51" footer="0.51"/>
  <pageSetup paperSize="9" scale="6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1"/>
  <sheetViews>
    <sheetView view="pageBreakPreview" zoomScaleSheetLayoutView="100" workbookViewId="0"/>
  </sheetViews>
  <sheetFormatPr defaultColWidth="13" defaultRowHeight="14.1" customHeight="1"/>
  <cols>
    <col min="1" max="1" width="88" style="4" customWidth="1"/>
    <col min="2" max="16382" width="13" style="4"/>
    <col min="16383" max="16384" width="13" style="13"/>
  </cols>
  <sheetData>
    <row r="1" spans="1:16 16383:16384" ht="27.95" customHeight="1">
      <c r="A1" s="41" t="s">
        <v>337</v>
      </c>
      <c r="B1" s="42"/>
      <c r="C1" s="43"/>
      <c r="D1" s="43"/>
      <c r="E1" s="44"/>
      <c r="F1" s="44"/>
      <c r="G1" s="44"/>
      <c r="H1" s="44"/>
      <c r="I1" s="44"/>
      <c r="J1" s="44"/>
    </row>
    <row r="3" spans="1:16 16383:16384" s="5" customFormat="1" ht="14.1" customHeight="1">
      <c r="A3" s="39" t="s">
        <v>338</v>
      </c>
      <c r="B3" s="40"/>
      <c r="C3" s="39"/>
      <c r="D3" s="39"/>
      <c r="E3" s="39"/>
      <c r="F3" s="39"/>
      <c r="G3" s="39"/>
      <c r="H3" s="39"/>
      <c r="I3" s="39"/>
      <c r="J3" s="39"/>
      <c r="XFC3" s="52"/>
      <c r="XFD3" s="52"/>
    </row>
    <row r="4" spans="1:16 16383:16384" s="52" customFormat="1" ht="14.1" customHeight="1">
      <c r="A4" s="59"/>
      <c r="B4" s="60"/>
      <c r="C4" s="59"/>
      <c r="D4" s="52" t="s">
        <v>28</v>
      </c>
      <c r="E4" s="52" t="s">
        <v>103</v>
      </c>
      <c r="F4" s="202" t="s">
        <v>106</v>
      </c>
      <c r="I4" s="202" t="s">
        <v>105</v>
      </c>
      <c r="K4" s="202"/>
      <c r="L4" s="202" t="s">
        <v>104</v>
      </c>
      <c r="M4" s="202"/>
      <c r="N4" s="304" t="s">
        <v>102</v>
      </c>
      <c r="O4" s="305"/>
    </row>
    <row r="5" spans="1:16 16383:16384" ht="14.1" customHeight="1">
      <c r="A5" s="14" t="s">
        <v>339</v>
      </c>
      <c r="B5" s="197">
        <f>L5*N5</f>
        <v>2.871</v>
      </c>
      <c r="C5" s="15" t="s">
        <v>11</v>
      </c>
      <c r="D5" s="216" t="s">
        <v>114</v>
      </c>
      <c r="E5" s="194">
        <v>2.794</v>
      </c>
      <c r="F5" s="203">
        <v>74100</v>
      </c>
      <c r="G5" s="201" t="s">
        <v>90</v>
      </c>
      <c r="H5" s="204" t="s">
        <v>93</v>
      </c>
      <c r="I5" s="207">
        <v>43</v>
      </c>
      <c r="J5" s="201" t="s">
        <v>95</v>
      </c>
      <c r="K5" s="204" t="s">
        <v>96</v>
      </c>
      <c r="L5" s="204">
        <f>ROUND(F5*$I5/1000/1000,2)</f>
        <v>3.19</v>
      </c>
      <c r="M5" s="202" t="s">
        <v>97</v>
      </c>
      <c r="N5" s="307">
        <v>0.9</v>
      </c>
      <c r="O5" s="305" t="s">
        <v>100</v>
      </c>
      <c r="P5" s="193"/>
      <c r="XFC5" s="4"/>
    </row>
    <row r="6" spans="1:16 16383:16384" ht="14.1" customHeight="1">
      <c r="A6" s="16" t="s">
        <v>340</v>
      </c>
      <c r="B6" s="198">
        <f>L6*N5</f>
        <v>1.1609999999999999E-4</v>
      </c>
      <c r="C6" s="18" t="s">
        <v>11</v>
      </c>
      <c r="D6" s="216" t="s">
        <v>114</v>
      </c>
      <c r="E6" s="195">
        <v>3.77E-4</v>
      </c>
      <c r="F6" s="204">
        <v>3</v>
      </c>
      <c r="G6" s="201" t="s">
        <v>91</v>
      </c>
      <c r="H6" s="204"/>
      <c r="I6" s="207"/>
      <c r="K6" s="204"/>
      <c r="L6" s="205">
        <f>ROUND(F6*$I5/1000/1000,7)</f>
        <v>1.2899999999999999E-4</v>
      </c>
      <c r="M6" s="202" t="s">
        <v>98</v>
      </c>
      <c r="N6" s="306"/>
      <c r="O6" s="306"/>
      <c r="XFC6" s="4"/>
    </row>
    <row r="7" spans="1:16 16383:16384" ht="14.1" customHeight="1">
      <c r="A7" s="16" t="s">
        <v>341</v>
      </c>
      <c r="B7" s="198">
        <f>L7*N5</f>
        <v>2.3220000000000001E-5</v>
      </c>
      <c r="C7" s="18" t="s">
        <v>11</v>
      </c>
      <c r="D7" s="216" t="s">
        <v>114</v>
      </c>
      <c r="E7" s="195">
        <v>2.262E-5</v>
      </c>
      <c r="F7" s="204">
        <v>0.6</v>
      </c>
      <c r="G7" s="201" t="s">
        <v>92</v>
      </c>
      <c r="H7" s="204"/>
      <c r="I7" s="207"/>
      <c r="K7" s="204"/>
      <c r="L7" s="205">
        <f>ROUND(F7*$I5/1000/1000,7)</f>
        <v>2.58E-5</v>
      </c>
      <c r="M7" s="202" t="s">
        <v>99</v>
      </c>
      <c r="N7" s="306"/>
      <c r="O7" s="306"/>
      <c r="XFC7" s="4"/>
    </row>
    <row r="8" spans="1:16 16383:16384" ht="14.1" customHeight="1">
      <c r="A8" s="16" t="s">
        <v>342</v>
      </c>
      <c r="B8" s="17">
        <v>4.1469999999999996E-3</v>
      </c>
      <c r="C8" s="18" t="s">
        <v>11</v>
      </c>
      <c r="D8" s="4" t="s">
        <v>32</v>
      </c>
      <c r="E8" s="195">
        <v>4.1469999999999996E-3</v>
      </c>
      <c r="F8" s="203"/>
      <c r="G8" s="204"/>
      <c r="H8" s="204"/>
      <c r="I8" s="207"/>
      <c r="K8" s="204"/>
      <c r="L8" s="204"/>
      <c r="M8" s="204"/>
      <c r="N8" s="306"/>
      <c r="O8" s="306"/>
      <c r="XFC8" s="4"/>
    </row>
    <row r="9" spans="1:16 16383:16384" ht="14.1" customHeight="1">
      <c r="A9" s="19" t="s">
        <v>343</v>
      </c>
      <c r="B9" s="20">
        <v>1.772E-2</v>
      </c>
      <c r="C9" s="21" t="s">
        <v>11</v>
      </c>
      <c r="D9" s="4" t="s">
        <v>32</v>
      </c>
      <c r="E9" s="195">
        <v>1.772E-2</v>
      </c>
      <c r="F9" s="203"/>
      <c r="G9" s="204"/>
      <c r="H9" s="204"/>
      <c r="I9" s="207"/>
      <c r="K9" s="204"/>
      <c r="L9" s="204"/>
      <c r="M9" s="204"/>
      <c r="N9" s="306"/>
      <c r="O9" s="306"/>
      <c r="XFC9" s="4"/>
    </row>
    <row r="10" spans="1:16 16383:16384" ht="14.1" customHeight="1">
      <c r="A10" s="14" t="s">
        <v>344</v>
      </c>
      <c r="B10" s="199">
        <f>L10</f>
        <v>2.62</v>
      </c>
      <c r="C10" s="15" t="s">
        <v>145</v>
      </c>
      <c r="D10" s="216" t="s">
        <v>114</v>
      </c>
      <c r="E10" s="194">
        <v>2E-3</v>
      </c>
      <c r="F10" s="203">
        <v>98300</v>
      </c>
      <c r="G10" s="201" t="s">
        <v>90</v>
      </c>
      <c r="H10" s="204" t="s">
        <v>93</v>
      </c>
      <c r="I10" s="207">
        <v>26.7</v>
      </c>
      <c r="J10" s="206" t="s">
        <v>94</v>
      </c>
      <c r="K10" s="204" t="s">
        <v>96</v>
      </c>
      <c r="L10" s="204">
        <f>ROUND(F10*$I10/1000/1000,2)</f>
        <v>2.62</v>
      </c>
      <c r="M10" s="202" t="s">
        <v>97</v>
      </c>
      <c r="N10" s="306">
        <f>B28</f>
        <v>0.71699999999999997</v>
      </c>
      <c r="O10" s="306" t="s">
        <v>101</v>
      </c>
      <c r="P10" s="193"/>
      <c r="XFC10" s="4"/>
    </row>
    <row r="11" spans="1:16 16383:16384" ht="14.1" customHeight="1">
      <c r="A11" s="16" t="s">
        <v>345</v>
      </c>
      <c r="B11" s="198">
        <f>L11</f>
        <v>2.6699999999999998E-5</v>
      </c>
      <c r="C11" s="18" t="s">
        <v>146</v>
      </c>
      <c r="D11" s="216" t="s">
        <v>114</v>
      </c>
      <c r="E11" s="195">
        <v>2.051E-7</v>
      </c>
      <c r="F11" s="204">
        <v>1</v>
      </c>
      <c r="G11" s="201" t="s">
        <v>91</v>
      </c>
      <c r="H11" s="204"/>
      <c r="I11" s="207"/>
      <c r="K11" s="204"/>
      <c r="L11" s="205">
        <f>ROUND(F11*$I10/1000/1000,7)</f>
        <v>2.6699999999999998E-5</v>
      </c>
      <c r="M11" s="202" t="s">
        <v>98</v>
      </c>
      <c r="N11" s="306"/>
      <c r="O11" s="306"/>
      <c r="XFC11" s="4"/>
    </row>
    <row r="12" spans="1:16 16383:16384" ht="14.1" customHeight="1">
      <c r="A12" s="16" t="s">
        <v>346</v>
      </c>
      <c r="B12" s="198">
        <f>L12</f>
        <v>4.0099999999999999E-5</v>
      </c>
      <c r="C12" s="18" t="s">
        <v>146</v>
      </c>
      <c r="D12" s="216" t="s">
        <v>114</v>
      </c>
      <c r="E12" s="195">
        <v>4.1020000000000001E-9</v>
      </c>
      <c r="F12" s="204">
        <v>1.5</v>
      </c>
      <c r="G12" s="201" t="s">
        <v>92</v>
      </c>
      <c r="H12" s="204"/>
      <c r="I12" s="207"/>
      <c r="K12" s="204"/>
      <c r="L12" s="205">
        <f>ROUND(F12*$I10/1000/1000,7)</f>
        <v>4.0099999999999999E-5</v>
      </c>
      <c r="M12" s="202" t="s">
        <v>99</v>
      </c>
      <c r="N12" s="306"/>
      <c r="O12" s="306"/>
      <c r="XFC12" s="4"/>
    </row>
    <row r="13" spans="1:16 16383:16384" ht="14.1" customHeight="1">
      <c r="A13" s="16" t="s">
        <v>347</v>
      </c>
      <c r="B13" s="303">
        <v>2.0750000000000001E-8</v>
      </c>
      <c r="C13" s="18" t="s">
        <v>146</v>
      </c>
      <c r="D13" s="4" t="s">
        <v>32</v>
      </c>
      <c r="E13" s="196">
        <v>2.0750000000000001E-8</v>
      </c>
      <c r="F13" s="203"/>
      <c r="G13" s="204"/>
      <c r="H13" s="204"/>
      <c r="I13" s="207"/>
      <c r="K13" s="204"/>
      <c r="L13" s="204"/>
      <c r="M13" s="204"/>
      <c r="N13" s="306"/>
      <c r="O13" s="306"/>
      <c r="XFC13" s="4"/>
    </row>
    <row r="14" spans="1:16 16383:16384" ht="14.1" customHeight="1">
      <c r="A14" s="16" t="s">
        <v>348</v>
      </c>
      <c r="B14" s="303">
        <v>1.5719999999999999E-6</v>
      </c>
      <c r="C14" s="18" t="s">
        <v>146</v>
      </c>
      <c r="D14" s="4" t="s">
        <v>32</v>
      </c>
      <c r="E14" s="196">
        <v>1.5719999999999999E-6</v>
      </c>
      <c r="F14" s="203"/>
      <c r="G14" s="204"/>
      <c r="H14" s="204"/>
      <c r="I14" s="207"/>
      <c r="K14" s="204"/>
      <c r="L14" s="204"/>
      <c r="M14" s="204"/>
      <c r="N14" s="192"/>
      <c r="XFC14" s="4"/>
    </row>
    <row r="15" spans="1:16 16383:16384" ht="14.1" customHeight="1">
      <c r="A15" s="16" t="s">
        <v>349</v>
      </c>
      <c r="B15" s="200">
        <v>0</v>
      </c>
      <c r="C15" s="18" t="s">
        <v>12</v>
      </c>
      <c r="D15" s="216" t="s">
        <v>114</v>
      </c>
      <c r="E15" s="194">
        <v>0</v>
      </c>
      <c r="F15" s="203">
        <v>100000</v>
      </c>
      <c r="G15" s="201" t="s">
        <v>90</v>
      </c>
      <c r="H15" s="204" t="s">
        <v>93</v>
      </c>
      <c r="I15" s="207">
        <v>11.6</v>
      </c>
      <c r="J15" s="206" t="s">
        <v>94</v>
      </c>
      <c r="K15" s="204" t="s">
        <v>96</v>
      </c>
      <c r="L15" s="204">
        <f>ROUND(F15*$I15/1000/1000,2)</f>
        <v>1.1599999999999999</v>
      </c>
      <c r="M15" s="202" t="s">
        <v>97</v>
      </c>
      <c r="XFC15" s="4"/>
    </row>
    <row r="16" spans="1:16 16383:16384" ht="14.1" customHeight="1">
      <c r="A16" s="16" t="s">
        <v>350</v>
      </c>
      <c r="B16" s="198">
        <f>L16</f>
        <v>3.48E-4</v>
      </c>
      <c r="C16" s="18" t="s">
        <v>12</v>
      </c>
      <c r="D16" s="216" t="s">
        <v>114</v>
      </c>
      <c r="E16" s="195">
        <v>4.6800000000000001E-3</v>
      </c>
      <c r="F16" s="204">
        <v>30</v>
      </c>
      <c r="G16" s="201" t="s">
        <v>91</v>
      </c>
      <c r="H16" s="204"/>
      <c r="I16" s="204"/>
      <c r="K16" s="204"/>
      <c r="L16" s="205">
        <f>ROUND(F16*$I15/1000/1000,7)</f>
        <v>3.48E-4</v>
      </c>
      <c r="M16" s="202" t="s">
        <v>98</v>
      </c>
      <c r="N16" s="192"/>
      <c r="XFC16" s="4"/>
    </row>
    <row r="17" spans="1:14 16383:16384" ht="14.1" customHeight="1">
      <c r="A17" s="16" t="s">
        <v>351</v>
      </c>
      <c r="B17" s="198">
        <f>L17</f>
        <v>4.6400000000000003E-5</v>
      </c>
      <c r="C17" s="18" t="s">
        <v>12</v>
      </c>
      <c r="D17" s="216" t="s">
        <v>114</v>
      </c>
      <c r="E17" s="195">
        <v>6.2399999999999999E-5</v>
      </c>
      <c r="F17" s="204">
        <v>4</v>
      </c>
      <c r="G17" s="201" t="s">
        <v>92</v>
      </c>
      <c r="H17" s="204"/>
      <c r="I17" s="204"/>
      <c r="K17" s="204"/>
      <c r="L17" s="205">
        <f>ROUND(F17*$I15/1000/1000,7)</f>
        <v>4.6400000000000003E-5</v>
      </c>
      <c r="M17" s="202" t="s">
        <v>99</v>
      </c>
      <c r="N17" s="192"/>
      <c r="XFC17" s="4"/>
    </row>
    <row r="18" spans="1:14 16383:16384" ht="14.1" customHeight="1">
      <c r="A18" s="16" t="s">
        <v>352</v>
      </c>
      <c r="B18" s="17">
        <v>2.1229999999999999E-3</v>
      </c>
      <c r="C18" s="18" t="s">
        <v>12</v>
      </c>
      <c r="D18" s="4" t="s">
        <v>32</v>
      </c>
      <c r="E18" s="195">
        <v>2.1229999999999999E-3</v>
      </c>
      <c r="F18" s="192"/>
      <c r="G18" s="192"/>
      <c r="H18" s="192"/>
      <c r="I18" s="192"/>
      <c r="J18" s="192"/>
      <c r="K18" s="192"/>
      <c r="L18" s="192"/>
      <c r="M18" s="192"/>
      <c r="N18" s="192"/>
      <c r="XFC18" s="4"/>
    </row>
    <row r="19" spans="1:14 16383:16384" ht="14.1" customHeight="1">
      <c r="A19" s="19" t="s">
        <v>353</v>
      </c>
      <c r="B19" s="20">
        <v>1.0219999999999999E-3</v>
      </c>
      <c r="C19" s="21" t="s">
        <v>12</v>
      </c>
      <c r="D19" s="4" t="s">
        <v>32</v>
      </c>
      <c r="E19" s="195">
        <v>1.0219999999999999E-3</v>
      </c>
      <c r="F19" s="192"/>
      <c r="G19" s="192"/>
      <c r="H19" s="192"/>
      <c r="I19" s="192"/>
      <c r="J19" s="192"/>
      <c r="K19" s="192"/>
      <c r="L19" s="192"/>
      <c r="M19" s="192"/>
      <c r="N19" s="192"/>
      <c r="XFC19" s="4"/>
    </row>
    <row r="20" spans="1:14 16383:16384" ht="14.1" customHeight="1">
      <c r="A20" s="23" t="s">
        <v>354</v>
      </c>
      <c r="B20" s="222">
        <f>VLOOKUP(Questionnaire!A4,Default!A68:B74,2,FALSE)</f>
        <v>0.749</v>
      </c>
      <c r="C20" s="23" t="s">
        <v>16</v>
      </c>
      <c r="D20" s="4" t="s">
        <v>137</v>
      </c>
      <c r="E20" s="13"/>
      <c r="XFC20" s="4"/>
    </row>
    <row r="21" spans="1:14 16383:16384" ht="12.75">
      <c r="D21" s="4" t="s">
        <v>29</v>
      </c>
      <c r="XFC21" s="4"/>
    </row>
    <row r="22" spans="1:14 16383:16384" ht="12.75">
      <c r="D22" s="4" t="s">
        <v>30</v>
      </c>
      <c r="XFC22" s="4"/>
    </row>
    <row r="23" spans="1:14 16383:16384" ht="14.1" customHeight="1">
      <c r="D23" s="4" t="s">
        <v>31</v>
      </c>
      <c r="XFC23" s="4"/>
    </row>
    <row r="24" spans="1:14 16383:16384" ht="14.1" customHeight="1">
      <c r="D24" s="4" t="s">
        <v>138</v>
      </c>
      <c r="XFC24" s="4"/>
    </row>
    <row r="25" spans="1:14 16383:16384" ht="14.1" customHeight="1">
      <c r="XFC25" s="4"/>
    </row>
    <row r="26" spans="1:14 16383:16384" s="5" customFormat="1" ht="14.1" customHeight="1">
      <c r="A26" s="39" t="s">
        <v>355</v>
      </c>
      <c r="B26" s="40"/>
      <c r="C26" s="39"/>
      <c r="D26" s="39"/>
      <c r="E26" s="39"/>
      <c r="F26" s="39"/>
      <c r="G26" s="39"/>
      <c r="H26" s="39"/>
      <c r="I26" s="39"/>
      <c r="J26" s="39"/>
      <c r="XFC26" s="52"/>
      <c r="XFD26" s="52"/>
    </row>
    <row r="27" spans="1:14 16383:16384" s="52" customFormat="1" ht="14.1" customHeight="1">
      <c r="A27" s="59"/>
      <c r="B27" s="60"/>
      <c r="C27" s="59"/>
      <c r="D27" s="52" t="s">
        <v>28</v>
      </c>
      <c r="E27" s="59"/>
      <c r="F27" s="59"/>
      <c r="G27" s="59"/>
      <c r="H27" s="59"/>
      <c r="I27" s="59"/>
      <c r="J27" s="59"/>
    </row>
    <row r="28" spans="1:14 16383:16384" ht="14.1" customHeight="1">
      <c r="A28" s="14" t="s">
        <v>356</v>
      </c>
      <c r="B28" s="61">
        <v>0.71699999999999997</v>
      </c>
      <c r="C28" s="14" t="s">
        <v>19</v>
      </c>
      <c r="D28" s="4" t="s">
        <v>34</v>
      </c>
    </row>
    <row r="29" spans="1:14 16383:16384" ht="14.1" customHeight="1">
      <c r="A29" s="16" t="s">
        <v>357</v>
      </c>
      <c r="B29" s="260">
        <v>0.8</v>
      </c>
      <c r="C29" s="16" t="s">
        <v>14</v>
      </c>
      <c r="D29" s="4" t="s">
        <v>35</v>
      </c>
      <c r="E29" s="4" t="s">
        <v>64</v>
      </c>
    </row>
    <row r="30" spans="1:14 16383:16384" ht="14.1" customHeight="1">
      <c r="A30" s="16" t="s">
        <v>358</v>
      </c>
      <c r="B30" s="260">
        <v>0.25</v>
      </c>
      <c r="C30" s="16" t="s">
        <v>20</v>
      </c>
      <c r="D30" s="4" t="s">
        <v>36</v>
      </c>
    </row>
    <row r="31" spans="1:14 16383:16384" ht="14.1" customHeight="1">
      <c r="A31" s="16" t="s">
        <v>18</v>
      </c>
      <c r="B31" s="260">
        <v>1.1200000000000001</v>
      </c>
      <c r="C31" s="16" t="s">
        <v>14</v>
      </c>
      <c r="D31" s="4" t="s">
        <v>37</v>
      </c>
    </row>
    <row r="32" spans="1:14 16383:16384" ht="14.1" customHeight="1">
      <c r="A32" s="16" t="s">
        <v>359</v>
      </c>
      <c r="B32" s="22">
        <v>45.1</v>
      </c>
      <c r="C32" s="16" t="s">
        <v>21</v>
      </c>
      <c r="D32" s="4" t="s">
        <v>33</v>
      </c>
    </row>
    <row r="33" spans="1:10 16383:16384" ht="14.1" customHeight="1">
      <c r="A33" s="19" t="s">
        <v>360</v>
      </c>
      <c r="B33" s="24">
        <v>40</v>
      </c>
      <c r="C33" s="19" t="s">
        <v>15</v>
      </c>
      <c r="D33" s="4" t="s">
        <v>33</v>
      </c>
    </row>
    <row r="34" spans="1:10 16383:16384" ht="14.1" customHeight="1">
      <c r="D34" s="4" t="s">
        <v>38</v>
      </c>
    </row>
    <row r="35" spans="1:10 16383:16384" ht="14.1" customHeight="1">
      <c r="D35" s="4" t="s">
        <v>39</v>
      </c>
    </row>
    <row r="37" spans="1:10 16383:16384" s="5" customFormat="1" ht="14.1" customHeight="1">
      <c r="A37" s="39" t="s">
        <v>361</v>
      </c>
      <c r="B37" s="40"/>
      <c r="C37" s="39"/>
      <c r="D37" s="39"/>
      <c r="E37" s="39"/>
      <c r="F37" s="39"/>
      <c r="G37" s="39"/>
      <c r="H37" s="39"/>
      <c r="I37" s="39"/>
      <c r="J37" s="39"/>
      <c r="XFC37" s="52"/>
      <c r="XFD37" s="52"/>
    </row>
    <row r="38" spans="1:10 16383:16384" ht="14.1" customHeight="1">
      <c r="A38" s="83" t="s">
        <v>362</v>
      </c>
      <c r="B38" s="83">
        <v>0</v>
      </c>
      <c r="C38" s="308" t="s">
        <v>59</v>
      </c>
      <c r="D38" s="83" t="s">
        <v>122</v>
      </c>
    </row>
    <row r="39" spans="1:10 16383:16384" ht="14.1" customHeight="1">
      <c r="A39" s="4" t="s">
        <v>363</v>
      </c>
      <c r="B39" s="4">
        <v>0</v>
      </c>
      <c r="C39" s="2" t="s">
        <v>60</v>
      </c>
      <c r="D39" s="83" t="s">
        <v>122</v>
      </c>
    </row>
    <row r="40" spans="1:10 16383:16384" ht="14.1" customHeight="1">
      <c r="A40" s="4" t="s">
        <v>364</v>
      </c>
      <c r="B40" s="4">
        <v>2E-3</v>
      </c>
      <c r="C40" s="2" t="s">
        <v>61</v>
      </c>
      <c r="D40" s="83" t="s">
        <v>122</v>
      </c>
    </row>
    <row r="41" spans="1:10 16383:16384" ht="14.1" customHeight="1">
      <c r="A41" s="4" t="s">
        <v>365</v>
      </c>
      <c r="B41" s="4">
        <v>2.0000000000000001E-4</v>
      </c>
      <c r="C41" s="2" t="s">
        <v>62</v>
      </c>
      <c r="D41" s="83" t="s">
        <v>122</v>
      </c>
    </row>
    <row r="42" spans="1:10 16383:16384" ht="14.1" customHeight="1">
      <c r="C42" s="2"/>
    </row>
    <row r="43" spans="1:10 16383:16384" ht="14.1" customHeight="1">
      <c r="A43" s="4" t="s">
        <v>366</v>
      </c>
      <c r="B43" s="4">
        <v>0.6</v>
      </c>
      <c r="C43" s="2" t="s">
        <v>65</v>
      </c>
      <c r="D43" s="83" t="s">
        <v>123</v>
      </c>
    </row>
    <row r="44" spans="1:10 16383:16384" ht="14.1" customHeight="1">
      <c r="A44" s="4" t="s">
        <v>367</v>
      </c>
      <c r="B44" s="4">
        <v>6.7000000000000002E-4</v>
      </c>
      <c r="C44" s="2" t="s">
        <v>68</v>
      </c>
      <c r="D44" s="83" t="s">
        <v>123</v>
      </c>
      <c r="E44" s="4" t="s">
        <v>71</v>
      </c>
    </row>
    <row r="45" spans="1:10 16383:16384" ht="12.75">
      <c r="A45" s="1" t="s">
        <v>368</v>
      </c>
      <c r="B45" s="4">
        <v>0</v>
      </c>
      <c r="C45" s="2" t="s">
        <v>66</v>
      </c>
      <c r="D45" s="83" t="s">
        <v>123</v>
      </c>
      <c r="E45" s="4" t="s">
        <v>67</v>
      </c>
    </row>
    <row r="46" spans="1:10 16383:16384" ht="25.5">
      <c r="A46" s="1" t="s">
        <v>369</v>
      </c>
      <c r="B46" s="4">
        <v>2.8000000000000001E-2</v>
      </c>
      <c r="C46" s="2" t="s">
        <v>69</v>
      </c>
      <c r="D46" s="83" t="s">
        <v>123</v>
      </c>
      <c r="E46" s="4" t="s">
        <v>70</v>
      </c>
    </row>
    <row r="47" spans="1:10 16383:16384" ht="14.1" customHeight="1">
      <c r="A47" s="1"/>
      <c r="C47" s="2"/>
      <c r="D47" s="83" t="s">
        <v>126</v>
      </c>
    </row>
    <row r="48" spans="1:10 16383:16384" ht="14.1" customHeight="1">
      <c r="D48" s="4" t="s">
        <v>127</v>
      </c>
    </row>
    <row r="50" spans="1:10 16383:16384" s="5" customFormat="1" ht="14.1" customHeight="1">
      <c r="A50" s="39" t="s">
        <v>370</v>
      </c>
      <c r="B50" s="40"/>
      <c r="C50" s="39"/>
      <c r="D50" s="39"/>
      <c r="E50" s="39"/>
      <c r="F50" s="39"/>
      <c r="G50" s="39"/>
      <c r="H50" s="39"/>
      <c r="I50" s="39"/>
      <c r="J50" s="39"/>
      <c r="XFC50" s="52"/>
      <c r="XFD50" s="52"/>
    </row>
    <row r="51" spans="1:10 16383:16384" ht="14.1" customHeight="1">
      <c r="A51" s="13" t="s">
        <v>17</v>
      </c>
      <c r="B51" s="13"/>
      <c r="C51" s="13">
        <v>1</v>
      </c>
      <c r="D51" s="13">
        <v>25</v>
      </c>
      <c r="E51" s="13">
        <v>298</v>
      </c>
      <c r="F51" s="28">
        <v>1</v>
      </c>
      <c r="G51" s="28">
        <v>0.7</v>
      </c>
      <c r="H51" s="13">
        <v>0.42</v>
      </c>
      <c r="I51" s="29">
        <v>1</v>
      </c>
      <c r="J51" s="13">
        <v>0.02</v>
      </c>
    </row>
    <row r="52" spans="1:10 16383:16384" ht="14.1" customHeight="1">
      <c r="A52" s="13" t="s">
        <v>371</v>
      </c>
      <c r="B52" s="13"/>
      <c r="C52" s="13"/>
      <c r="D52" s="13"/>
      <c r="E52" s="13"/>
      <c r="F52" s="28"/>
      <c r="G52" s="28"/>
      <c r="H52" s="13"/>
      <c r="I52" s="29"/>
      <c r="J52" s="13"/>
    </row>
    <row r="54" spans="1:10 16383:16384" s="5" customFormat="1" ht="14.1" customHeight="1">
      <c r="A54" s="39" t="s">
        <v>372</v>
      </c>
      <c r="B54" s="40"/>
      <c r="C54" s="39"/>
      <c r="D54" s="39"/>
      <c r="E54" s="39"/>
      <c r="F54" s="39"/>
      <c r="G54" s="39"/>
      <c r="H54" s="39"/>
      <c r="I54" s="39"/>
      <c r="J54" s="39"/>
      <c r="XFC54" s="52"/>
      <c r="XFD54" s="52"/>
    </row>
    <row r="55" spans="1:10 16383:16384" ht="14.1" customHeight="1">
      <c r="A55" s="210" t="s">
        <v>373</v>
      </c>
      <c r="B55" s="208">
        <v>1</v>
      </c>
      <c r="C55" s="4" t="s">
        <v>110</v>
      </c>
    </row>
    <row r="56" spans="1:10 16383:16384" ht="14.1" customHeight="1">
      <c r="A56" s="212" t="s">
        <v>374</v>
      </c>
      <c r="B56" s="208">
        <v>0.5</v>
      </c>
      <c r="C56" s="4" t="s">
        <v>108</v>
      </c>
      <c r="D56" s="83" t="s">
        <v>124</v>
      </c>
    </row>
    <row r="57" spans="1:10 16383:16384" ht="14.1" customHeight="1">
      <c r="A57" s="212" t="s">
        <v>18</v>
      </c>
      <c r="B57" s="208">
        <v>0.75</v>
      </c>
      <c r="C57" s="4" t="s">
        <v>109</v>
      </c>
      <c r="D57" s="83" t="s">
        <v>124</v>
      </c>
    </row>
    <row r="58" spans="1:10 16383:16384" ht="12.75">
      <c r="A58" s="212" t="s">
        <v>375</v>
      </c>
      <c r="B58" s="209">
        <v>0.2</v>
      </c>
      <c r="C58" s="4" t="s">
        <v>110</v>
      </c>
      <c r="D58" s="83" t="s">
        <v>124</v>
      </c>
    </row>
    <row r="59" spans="1:10 16383:16384" ht="12.75">
      <c r="A59" s="213" t="s">
        <v>376</v>
      </c>
      <c r="B59" s="208">
        <v>0.5</v>
      </c>
      <c r="C59" s="4" t="s">
        <v>111</v>
      </c>
      <c r="D59" s="83" t="s">
        <v>124</v>
      </c>
    </row>
    <row r="60" spans="1:10 16383:16384" ht="25.5">
      <c r="A60" s="213" t="s">
        <v>377</v>
      </c>
      <c r="B60" s="208">
        <v>0.4</v>
      </c>
      <c r="C60" s="4" t="s">
        <v>112</v>
      </c>
      <c r="D60" s="83" t="s">
        <v>124</v>
      </c>
    </row>
    <row r="61" spans="1:10 16383:16384" ht="14.1" customHeight="1">
      <c r="A61" s="212" t="s">
        <v>378</v>
      </c>
      <c r="B61" s="208">
        <v>0.17</v>
      </c>
      <c r="C61" s="4" t="s">
        <v>113</v>
      </c>
      <c r="D61" s="83" t="s">
        <v>124</v>
      </c>
    </row>
    <row r="62" spans="1:10 16383:16384" ht="14.1" customHeight="1">
      <c r="A62" s="212" t="s">
        <v>379</v>
      </c>
      <c r="B62" s="208">
        <v>0.1</v>
      </c>
      <c r="C62" s="4" t="s">
        <v>108</v>
      </c>
      <c r="D62" s="83" t="s">
        <v>124</v>
      </c>
    </row>
    <row r="63" spans="1:10 16383:16384" ht="14.1" customHeight="1">
      <c r="A63" s="214" t="s">
        <v>380</v>
      </c>
      <c r="B63" s="215">
        <f>(1-EXP(-$B$61))*EXP(-$B$61*(B55-1))</f>
        <v>0.1563351834036163</v>
      </c>
      <c r="C63" s="4" t="s">
        <v>108</v>
      </c>
      <c r="D63" s="4" t="s">
        <v>107</v>
      </c>
    </row>
    <row r="64" spans="1:10 16383:16384" ht="14.1" customHeight="1">
      <c r="D64" s="83" t="s">
        <v>125</v>
      </c>
    </row>
    <row r="67" spans="1:10 16383:16383" ht="14.1" customHeight="1">
      <c r="A67" s="13" t="s">
        <v>147</v>
      </c>
      <c r="B67" s="13"/>
      <c r="C67" s="13"/>
      <c r="D67" s="13"/>
      <c r="E67" s="13"/>
      <c r="F67" s="13"/>
      <c r="G67" s="13"/>
      <c r="H67" s="13"/>
      <c r="I67" s="13"/>
      <c r="J67" s="13"/>
      <c r="XFC67" s="4"/>
    </row>
    <row r="68" spans="1:10 16383:16383" ht="14.1" customHeight="1">
      <c r="A68" s="235" t="s">
        <v>128</v>
      </c>
      <c r="B68" s="236">
        <v>0.749</v>
      </c>
      <c r="C68" s="13" t="s">
        <v>129</v>
      </c>
      <c r="D68" s="13"/>
      <c r="E68" s="13"/>
      <c r="F68" s="13"/>
      <c r="G68" s="13"/>
      <c r="H68" s="13"/>
      <c r="I68" s="13"/>
      <c r="J68" s="13"/>
      <c r="XFC68" s="4"/>
    </row>
    <row r="69" spans="1:10 16383:16383" ht="14.1" customHeight="1">
      <c r="A69" s="235" t="s">
        <v>130</v>
      </c>
      <c r="B69" s="236">
        <v>0.73299999999999998</v>
      </c>
      <c r="C69" s="13" t="s">
        <v>129</v>
      </c>
      <c r="D69" s="13"/>
      <c r="E69" s="13"/>
      <c r="F69" s="13"/>
      <c r="G69" s="13"/>
      <c r="H69" s="13"/>
      <c r="I69" s="13"/>
      <c r="J69" s="13"/>
    </row>
    <row r="70" spans="1:10 16383:16383" ht="14.1" customHeight="1">
      <c r="A70" s="235" t="s">
        <v>131</v>
      </c>
      <c r="B70" s="236">
        <v>0.96</v>
      </c>
      <c r="C70" s="13" t="s">
        <v>129</v>
      </c>
      <c r="D70" s="13"/>
      <c r="E70" s="13"/>
      <c r="F70" s="13"/>
      <c r="G70" s="13"/>
      <c r="H70" s="13"/>
      <c r="I70" s="13"/>
      <c r="J70" s="13"/>
    </row>
    <row r="71" spans="1:10 16383:16383" ht="14.1" customHeight="1">
      <c r="A71" s="235" t="s">
        <v>132</v>
      </c>
      <c r="B71" s="236">
        <v>0.86099999999999999</v>
      </c>
      <c r="C71" s="13" t="s">
        <v>129</v>
      </c>
      <c r="D71" s="13"/>
      <c r="E71" s="13"/>
      <c r="F71" s="13"/>
      <c r="G71" s="13"/>
      <c r="H71" s="13"/>
      <c r="I71" s="13"/>
      <c r="J71" s="13"/>
    </row>
    <row r="72" spans="1:10 16383:16383" ht="14.1" customHeight="1">
      <c r="A72" s="235" t="s">
        <v>133</v>
      </c>
      <c r="B72" s="236">
        <v>0.33200000000000002</v>
      </c>
      <c r="C72" s="13" t="s">
        <v>129</v>
      </c>
      <c r="D72" s="13"/>
      <c r="E72" s="13"/>
      <c r="F72" s="13"/>
      <c r="G72" s="13"/>
      <c r="H72" s="13"/>
      <c r="I72" s="13"/>
      <c r="J72" s="13"/>
    </row>
    <row r="73" spans="1:10 16383:16383" ht="14.1" customHeight="1">
      <c r="A73" s="235" t="s">
        <v>134</v>
      </c>
      <c r="B73" s="236">
        <v>0.60499999999999998</v>
      </c>
      <c r="C73" s="13" t="s">
        <v>129</v>
      </c>
      <c r="D73" s="13"/>
      <c r="E73" s="13"/>
      <c r="F73" s="13"/>
      <c r="G73" s="13"/>
      <c r="H73" s="13"/>
      <c r="I73" s="13"/>
      <c r="J73" s="13"/>
    </row>
    <row r="74" spans="1:10 16383:16383" ht="14.1" customHeight="1">
      <c r="A74" s="235" t="s">
        <v>135</v>
      </c>
      <c r="B74" s="236">
        <v>0.54900000000000004</v>
      </c>
      <c r="C74" s="13" t="s">
        <v>129</v>
      </c>
      <c r="D74" s="13"/>
      <c r="E74" s="13"/>
      <c r="F74" s="13"/>
      <c r="G74" s="13"/>
      <c r="H74" s="13"/>
      <c r="I74" s="13"/>
      <c r="J74" s="13"/>
    </row>
    <row r="75" spans="1:10 16383:16383" ht="14.1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 16383:16383" ht="14.1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 16383:16383" ht="14.1" customHeight="1">
      <c r="A77" s="4" t="s">
        <v>195</v>
      </c>
    </row>
    <row r="78" spans="1:10 16383:16383" ht="14.1" customHeight="1">
      <c r="A78" s="4" t="s">
        <v>175</v>
      </c>
    </row>
    <row r="79" spans="1:10 16383:16383" ht="14.1" customHeight="1">
      <c r="A79" s="4" t="s">
        <v>196</v>
      </c>
      <c r="B79" s="4">
        <f>(137+103+147+92)/4</f>
        <v>119.75</v>
      </c>
      <c r="D79" s="223"/>
    </row>
    <row r="80" spans="1:10 16383:16383" ht="14.1" customHeight="1">
      <c r="A80" s="4" t="s">
        <v>197</v>
      </c>
      <c r="B80" s="4">
        <f>(224+199+320+298)/4</f>
        <v>260.25</v>
      </c>
    </row>
    <row r="81" spans="1:7" ht="14.1" customHeight="1">
      <c r="A81" s="4" t="s">
        <v>198</v>
      </c>
      <c r="B81" s="4">
        <v>3.31</v>
      </c>
      <c r="C81" s="4" t="s">
        <v>199</v>
      </c>
    </row>
    <row r="82" spans="1:7" ht="14.1" customHeight="1">
      <c r="A82" s="4" t="s">
        <v>200</v>
      </c>
    </row>
    <row r="83" spans="1:7" ht="14.1" customHeight="1">
      <c r="A83" s="5" t="s">
        <v>201</v>
      </c>
      <c r="B83" s="225">
        <f>(16.3+687)/2000</f>
        <v>0.35164999999999996</v>
      </c>
      <c r="C83" s="4" t="s">
        <v>202</v>
      </c>
      <c r="D83" s="86" t="s">
        <v>203</v>
      </c>
    </row>
    <row r="84" spans="1:7" ht="14.1" customHeight="1">
      <c r="A84" s="5" t="s">
        <v>204</v>
      </c>
      <c r="B84" s="226">
        <f>3.31*0.823</f>
        <v>2.7241299999999997</v>
      </c>
      <c r="C84" s="4" t="s">
        <v>202</v>
      </c>
      <c r="D84" s="86" t="s">
        <v>205</v>
      </c>
    </row>
    <row r="85" spans="1:7" ht="14.1" customHeight="1">
      <c r="B85" s="13"/>
      <c r="C85" s="13"/>
      <c r="D85" s="13"/>
    </row>
    <row r="86" spans="1:7" ht="14.1" customHeight="1">
      <c r="A86" s="4" t="s">
        <v>206</v>
      </c>
      <c r="E86" s="13"/>
      <c r="F86" s="13"/>
    </row>
    <row r="87" spans="1:7" ht="14.1" customHeight="1">
      <c r="A87" s="4" t="s">
        <v>207</v>
      </c>
      <c r="B87" s="4">
        <f>(21+12+15+15)/4</f>
        <v>15.75</v>
      </c>
      <c r="D87" s="223"/>
      <c r="E87" s="239"/>
      <c r="F87" s="237"/>
    </row>
    <row r="88" spans="1:7" ht="14.1" customHeight="1">
      <c r="A88" s="4" t="s">
        <v>208</v>
      </c>
      <c r="B88" s="4">
        <f>(173+102+126+122)/4</f>
        <v>130.75</v>
      </c>
      <c r="D88" s="223"/>
      <c r="E88" s="13"/>
      <c r="F88" s="237"/>
    </row>
    <row r="89" spans="1:7" ht="14.1" customHeight="1">
      <c r="A89" s="4" t="s">
        <v>209</v>
      </c>
      <c r="B89" s="4">
        <v>1.01</v>
      </c>
      <c r="C89" s="4" t="s">
        <v>210</v>
      </c>
      <c r="D89" s="223"/>
      <c r="E89" s="13"/>
      <c r="F89" s="237"/>
    </row>
    <row r="90" spans="1:7" ht="14.1" customHeight="1">
      <c r="A90" s="4" t="s">
        <v>200</v>
      </c>
      <c r="D90" s="223"/>
      <c r="E90" s="13"/>
      <c r="F90" s="237"/>
    </row>
    <row r="91" spans="1:7" ht="14.1" customHeight="1">
      <c r="A91" s="5" t="s">
        <v>211</v>
      </c>
      <c r="B91" s="309">
        <f>(16.3+687)/2000</f>
        <v>0.35164999999999996</v>
      </c>
      <c r="C91" s="4" t="s">
        <v>212</v>
      </c>
      <c r="D91" s="223"/>
      <c r="E91" s="13"/>
      <c r="F91" s="237"/>
    </row>
    <row r="92" spans="1:7" ht="14.1" customHeight="1">
      <c r="A92" s="5" t="s">
        <v>213</v>
      </c>
      <c r="B92" s="238">
        <v>0</v>
      </c>
      <c r="C92" s="4" t="s">
        <v>212</v>
      </c>
      <c r="D92" s="223"/>
      <c r="E92" s="237"/>
      <c r="F92" s="237"/>
    </row>
    <row r="93" spans="1:7" ht="14.1" customHeight="1">
      <c r="E93" s="13"/>
      <c r="F93" s="13"/>
    </row>
    <row r="94" spans="1:7" ht="14.1" customHeight="1">
      <c r="A94" s="4" t="s">
        <v>150</v>
      </c>
      <c r="E94" s="223"/>
      <c r="F94" s="240"/>
      <c r="G94" s="223"/>
    </row>
    <row r="95" spans="1:7" ht="14.1" customHeight="1">
      <c r="A95" s="4" t="s">
        <v>151</v>
      </c>
      <c r="B95" s="4">
        <f>(112+75+226+96)/4</f>
        <v>127.25</v>
      </c>
      <c r="D95" s="223"/>
      <c r="E95" s="223"/>
      <c r="G95" s="223"/>
    </row>
    <row r="96" spans="1:7" ht="14.1" customHeight="1">
      <c r="A96" s="4" t="s">
        <v>152</v>
      </c>
      <c r="B96" s="4">
        <f>(226+150+454+192)/4</f>
        <v>255.5</v>
      </c>
      <c r="D96" s="223"/>
      <c r="E96" s="223"/>
      <c r="G96" s="223"/>
    </row>
    <row r="97" spans="1:7" ht="14.1" customHeight="1">
      <c r="A97" s="4" t="s">
        <v>153</v>
      </c>
      <c r="B97" s="4">
        <v>0.56999999999999995</v>
      </c>
      <c r="C97" s="4" t="s">
        <v>154</v>
      </c>
      <c r="D97" s="223"/>
      <c r="E97" s="223"/>
      <c r="G97" s="223"/>
    </row>
    <row r="98" spans="1:7" ht="14.1" customHeight="1">
      <c r="A98" s="4" t="s">
        <v>149</v>
      </c>
      <c r="D98" s="223"/>
      <c r="E98" s="223"/>
      <c r="G98" s="223"/>
    </row>
    <row r="99" spans="1:7" ht="14.1" customHeight="1">
      <c r="A99" s="5" t="s">
        <v>155</v>
      </c>
      <c r="B99" s="309">
        <f>(16.3+687)/2000</f>
        <v>0.35164999999999996</v>
      </c>
      <c r="C99" s="4" t="s">
        <v>156</v>
      </c>
      <c r="D99" s="237"/>
      <c r="E99" s="237"/>
      <c r="F99" s="237"/>
      <c r="G99" s="237"/>
    </row>
    <row r="100" spans="1:7" ht="14.1" customHeight="1">
      <c r="A100" s="5" t="s">
        <v>157</v>
      </c>
      <c r="B100" s="238">
        <v>0</v>
      </c>
      <c r="C100" s="4" t="s">
        <v>156</v>
      </c>
      <c r="D100" s="237"/>
      <c r="E100" s="237"/>
      <c r="F100" s="237"/>
      <c r="G100" s="13"/>
    </row>
    <row r="101" spans="1:7" ht="14.1" customHeight="1">
      <c r="D101" s="13"/>
      <c r="E101" s="13"/>
      <c r="F101" s="13"/>
      <c r="G101" s="13"/>
    </row>
  </sheetData>
  <phoneticPr fontId="4"/>
  <pageMargins left="0.39370078740157483" right="0.39370078740157483" top="0.78740157480314965" bottom="0.39370078740157483" header="0.51" footer="0.51"/>
  <pageSetup paperSize="8" scale="6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Questionnaire</vt:lpstr>
      <vt:lpstr>Data</vt:lpstr>
      <vt:lpstr>Cal</vt:lpstr>
      <vt:lpstr>Results</vt:lpstr>
      <vt:lpstr>Results_fertilizer</vt:lpstr>
      <vt:lpstr>Graphs</vt:lpstr>
      <vt:lpstr>Default</vt:lpstr>
      <vt:lpstr>Cal!Print_Area</vt:lpstr>
      <vt:lpstr>Data!Print_Area</vt:lpstr>
      <vt:lpstr>Default!Print_Area</vt:lpstr>
      <vt:lpstr>Questionnaire!Print_Area</vt:lpstr>
      <vt:lpstr>Results!Print_Area</vt:lpstr>
      <vt:lpstr>Results_fertilizer!Print_Area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2014-03-27T05:02:50Z</dcterms:created>
  <dcterms:modified xsi:type="dcterms:W3CDTF">2014-03-27T05:16:48Z</dcterms:modified>
</cp:coreProperties>
</file>