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0" windowWidth="14385" windowHeight="11760" tabRatio="581" activeTab="2"/>
  </bookViews>
  <sheets>
    <sheet name="水質測定結果" sheetId="1" r:id="rId1"/>
    <sheet name="底質測定結果" sheetId="2" r:id="rId2"/>
    <sheet name="水生生物測定結果" sheetId="3" r:id="rId3"/>
  </sheets>
  <definedNames>
    <definedName name="_xlnm.Print_Area" localSheetId="0">'水質測定結果'!$A$1:$P$59</definedName>
    <definedName name="_xlnm.Print_Area" localSheetId="2">'水生生物測定結果'!$A$1:$Q$293</definedName>
    <definedName name="_xlnm.Print_Area" localSheetId="1">'底質測定結果'!$A$1:$U$56</definedName>
    <definedName name="_xlnm.Print_Titles" localSheetId="0">'水質測定結果'!$1:$4</definedName>
  </definedNames>
  <calcPr fullCalcOnLoad="1"/>
</workbook>
</file>

<file path=xl/sharedStrings.xml><?xml version="1.0" encoding="utf-8"?>
<sst xmlns="http://schemas.openxmlformats.org/spreadsheetml/2006/main" count="2908" uniqueCount="765">
  <si>
    <t>IL</t>
  </si>
  <si>
    <t>地点</t>
  </si>
  <si>
    <t>緯度</t>
  </si>
  <si>
    <t>経度</t>
  </si>
  <si>
    <t>粒度組成</t>
  </si>
  <si>
    <t>pH</t>
  </si>
  <si>
    <t>酸化還元電位</t>
  </si>
  <si>
    <t>含水率</t>
  </si>
  <si>
    <t>TOC</t>
  </si>
  <si>
    <t>土粒子の密度</t>
  </si>
  <si>
    <t>礫</t>
  </si>
  <si>
    <t>粗砂</t>
  </si>
  <si>
    <t>中砂</t>
  </si>
  <si>
    <t>細砂</t>
  </si>
  <si>
    <t>シルト</t>
  </si>
  <si>
    <t>粘土</t>
  </si>
  <si>
    <t>中央粒径</t>
  </si>
  <si>
    <t>最大粒径</t>
  </si>
  <si>
    <t>Cs-134</t>
  </si>
  <si>
    <t>Cs-137</t>
  </si>
  <si>
    <t>Sr-90</t>
  </si>
  <si>
    <r>
      <t>E</t>
    </r>
    <r>
      <rPr>
        <vertAlign val="subscript"/>
        <sz val="10"/>
        <rFont val="ＭＳ 明朝"/>
        <family val="1"/>
      </rPr>
      <t>N.H.E</t>
    </r>
  </si>
  <si>
    <t>(2～75mm)</t>
  </si>
  <si>
    <t>(0.85～2mm)</t>
  </si>
  <si>
    <t>(0.25～0.85mm)</t>
  </si>
  <si>
    <t>(0.075～0.25mm)</t>
  </si>
  <si>
    <t>(0.005～0.075mm)</t>
  </si>
  <si>
    <t>(0.005mm未満)</t>
  </si>
  <si>
    <t>（mV）</t>
  </si>
  <si>
    <t>（％）</t>
  </si>
  <si>
    <r>
      <t>（g/cm</t>
    </r>
    <r>
      <rPr>
        <vertAlign val="superscript"/>
        <sz val="10"/>
        <rFont val="ＭＳ 明朝"/>
        <family val="1"/>
      </rPr>
      <t>3</t>
    </r>
    <r>
      <rPr>
        <sz val="10"/>
        <rFont val="ＭＳ 明朝"/>
        <family val="1"/>
      </rPr>
      <t>）</t>
    </r>
  </si>
  <si>
    <t>（mm）</t>
  </si>
  <si>
    <t>A-1</t>
  </si>
  <si>
    <t>新田川</t>
  </si>
  <si>
    <t>B-1</t>
  </si>
  <si>
    <t>B-3</t>
  </si>
  <si>
    <t>真野川</t>
  </si>
  <si>
    <t>太田川</t>
  </si>
  <si>
    <t>宇多川</t>
  </si>
  <si>
    <t>秋元湖</t>
  </si>
  <si>
    <t>猪苗代湖</t>
  </si>
  <si>
    <t>pH</t>
  </si>
  <si>
    <t>BOD</t>
  </si>
  <si>
    <t>COD</t>
  </si>
  <si>
    <t>DO</t>
  </si>
  <si>
    <t>TOC</t>
  </si>
  <si>
    <t>SS</t>
  </si>
  <si>
    <t>電気伝導率</t>
  </si>
  <si>
    <t>塩分</t>
  </si>
  <si>
    <t>濁度</t>
  </si>
  <si>
    <t>Sr-90</t>
  </si>
  <si>
    <t>（mg/L）</t>
  </si>
  <si>
    <t>（mS/m）</t>
  </si>
  <si>
    <t>（度）</t>
  </si>
  <si>
    <t>Cs-134</t>
  </si>
  <si>
    <t>Cs-137</t>
  </si>
  <si>
    <t>A-1(表層)</t>
  </si>
  <si>
    <t>D-2</t>
  </si>
  <si>
    <t>阿武隈川水系</t>
  </si>
  <si>
    <t>○ 水質測定結果</t>
  </si>
  <si>
    <t>○ 底質測定結果</t>
  </si>
  <si>
    <t>A-2</t>
  </si>
  <si>
    <t>B-1</t>
  </si>
  <si>
    <t>B-2</t>
  </si>
  <si>
    <t>B-3</t>
  </si>
  <si>
    <t>C-1</t>
  </si>
  <si>
    <t>C-2</t>
  </si>
  <si>
    <t>D-1</t>
  </si>
  <si>
    <t>D-2</t>
  </si>
  <si>
    <t>D-3</t>
  </si>
  <si>
    <t>D-4 a</t>
  </si>
  <si>
    <t>D-5</t>
  </si>
  <si>
    <t>G-1</t>
  </si>
  <si>
    <t>G-2</t>
  </si>
  <si>
    <t>G-3</t>
  </si>
  <si>
    <t>G-4</t>
  </si>
  <si>
    <t>G-5</t>
  </si>
  <si>
    <t>E-1</t>
  </si>
  <si>
    <t>E-2 a</t>
  </si>
  <si>
    <t>E-3</t>
  </si>
  <si>
    <t>E-4</t>
  </si>
  <si>
    <t>E-5</t>
  </si>
  <si>
    <t>F-1</t>
  </si>
  <si>
    <t>F-2</t>
  </si>
  <si>
    <t>F-3</t>
  </si>
  <si>
    <t>F-4</t>
  </si>
  <si>
    <t>F-5</t>
  </si>
  <si>
    <t>H-1</t>
  </si>
  <si>
    <t>H-2</t>
  </si>
  <si>
    <t>H-3</t>
  </si>
  <si>
    <t>H-5</t>
  </si>
  <si>
    <t>I-1</t>
  </si>
  <si>
    <t>I-2</t>
  </si>
  <si>
    <t>J-1</t>
  </si>
  <si>
    <t>L-1</t>
  </si>
  <si>
    <t>L-2</t>
  </si>
  <si>
    <t>L-3</t>
  </si>
  <si>
    <t>H-4</t>
  </si>
  <si>
    <t>I-3</t>
  </si>
  <si>
    <t>I-4</t>
  </si>
  <si>
    <t>A-2</t>
  </si>
  <si>
    <t>B-2</t>
  </si>
  <si>
    <t>C-1</t>
  </si>
  <si>
    <t>C-2</t>
  </si>
  <si>
    <t>C-3</t>
  </si>
  <si>
    <t>C-4</t>
  </si>
  <si>
    <t>C-5</t>
  </si>
  <si>
    <t>C-6</t>
  </si>
  <si>
    <t>D-1</t>
  </si>
  <si>
    <t>D-3</t>
  </si>
  <si>
    <t>D-4 a</t>
  </si>
  <si>
    <t>D-4 b</t>
  </si>
  <si>
    <t>D-5</t>
  </si>
  <si>
    <t>L-2</t>
  </si>
  <si>
    <t>L-3</t>
  </si>
  <si>
    <t>E-1</t>
  </si>
  <si>
    <t>E-2 a</t>
  </si>
  <si>
    <t>E-2 b</t>
  </si>
  <si>
    <t>E-3</t>
  </si>
  <si>
    <t>E-4</t>
  </si>
  <si>
    <t>E-5</t>
  </si>
  <si>
    <t>F-1</t>
  </si>
  <si>
    <t>F-2</t>
  </si>
  <si>
    <t>F-3</t>
  </si>
  <si>
    <t>F-4</t>
  </si>
  <si>
    <t>F-5</t>
  </si>
  <si>
    <t>F-6</t>
  </si>
  <si>
    <t>H-1(表層)</t>
  </si>
  <si>
    <t>H-1(下層)</t>
  </si>
  <si>
    <t>H-3(表層)</t>
  </si>
  <si>
    <t>H-5(表層)</t>
  </si>
  <si>
    <t>H-5(下層)</t>
  </si>
  <si>
    <t>I-1(表層)</t>
  </si>
  <si>
    <t>I-1(下層)</t>
  </si>
  <si>
    <t>J-1(表層)</t>
  </si>
  <si>
    <t>J-1(下層)</t>
  </si>
  <si>
    <t>I-3(表層)</t>
  </si>
  <si>
    <t>I-3(下層)</t>
  </si>
  <si>
    <t>G-1(表層)</t>
  </si>
  <si>
    <t>G-1(下層)</t>
  </si>
  <si>
    <t>G-3(下層)</t>
  </si>
  <si>
    <t>G-3(表層)</t>
  </si>
  <si>
    <t>G-5(表層)</t>
  </si>
  <si>
    <t>G-5(下層)</t>
  </si>
  <si>
    <t>H-3(下層)</t>
  </si>
  <si>
    <t>A-1(下層)</t>
  </si>
  <si>
    <t>C-5</t>
  </si>
  <si>
    <t>C-6</t>
  </si>
  <si>
    <t>はやま湖
（真野ダム）</t>
  </si>
  <si>
    <t>いわき市沖
（久之浜）</t>
  </si>
  <si>
    <t>相馬市沖
（松川浦）</t>
  </si>
  <si>
    <t>阿武隈川河口沖
（亘理町沖）</t>
  </si>
  <si>
    <t>相馬市沖
（松川浦）</t>
  </si>
  <si>
    <t>K-2(表層）</t>
  </si>
  <si>
    <t>K-2(下層）</t>
  </si>
  <si>
    <t>M-2(表層)</t>
  </si>
  <si>
    <t>M-2(下層)</t>
  </si>
  <si>
    <t>K-1</t>
  </si>
  <si>
    <t>K-2</t>
  </si>
  <si>
    <t>K-3</t>
  </si>
  <si>
    <t>M-1</t>
  </si>
  <si>
    <t>M-2</t>
  </si>
  <si>
    <t>M-3</t>
  </si>
  <si>
    <t>&lt;0.5</t>
  </si>
  <si>
    <t>&lt;1</t>
  </si>
  <si>
    <t>140.394567°</t>
  </si>
  <si>
    <t xml:space="preserve"> 37.733217°</t>
  </si>
  <si>
    <t>140.962117°</t>
  </si>
  <si>
    <t xml:space="preserve"> 37.604483°</t>
  </si>
  <si>
    <t xml:space="preserve"> 37.652333°</t>
  </si>
  <si>
    <t>140.156833°</t>
  </si>
  <si>
    <t xml:space="preserve"> 37.507700°</t>
  </si>
  <si>
    <t>140.026250°</t>
  </si>
  <si>
    <t xml:space="preserve"> 37.420333°</t>
  </si>
  <si>
    <t>140.100833°</t>
  </si>
  <si>
    <t>－</t>
  </si>
  <si>
    <t>－</t>
  </si>
  <si>
    <t xml:space="preserve"> 37.620733°</t>
  </si>
  <si>
    <t>140.522083°</t>
  </si>
  <si>
    <t xml:space="preserve"> 37.567300°</t>
  </si>
  <si>
    <t xml:space="preserve"> 37.784467°</t>
  </si>
  <si>
    <t xml:space="preserve"> 37.812017°</t>
  </si>
  <si>
    <t>140.492183°</t>
  </si>
  <si>
    <t>140.505800°</t>
  </si>
  <si>
    <t xml:space="preserve"> 37.816583°</t>
  </si>
  <si>
    <t>140.471500°</t>
  </si>
  <si>
    <t xml:space="preserve"> 37.795533°</t>
  </si>
  <si>
    <t>140.745617°</t>
  </si>
  <si>
    <t xml:space="preserve"> 37.771033°</t>
  </si>
  <si>
    <t>140.727750°</t>
  </si>
  <si>
    <t xml:space="preserve"> 37.769133°</t>
  </si>
  <si>
    <t>140.844283°</t>
  </si>
  <si>
    <t xml:space="preserve"> 37.764450°</t>
  </si>
  <si>
    <t>140.860267°</t>
  </si>
  <si>
    <t xml:space="preserve"> 37.776433°</t>
  </si>
  <si>
    <t>140.887550°</t>
  </si>
  <si>
    <t>140.925267°</t>
  </si>
  <si>
    <t xml:space="preserve"> 37.709500°</t>
  </si>
  <si>
    <t>140.956550°</t>
  </si>
  <si>
    <t xml:space="preserve"> 37.704983°</t>
  </si>
  <si>
    <t xml:space="preserve"> 37.730867°</t>
  </si>
  <si>
    <t>140.907883°</t>
  </si>
  <si>
    <t xml:space="preserve"> 37.721600°</t>
  </si>
  <si>
    <t>140.889583°</t>
  </si>
  <si>
    <t xml:space="preserve"> 37.661533°</t>
  </si>
  <si>
    <t>140.911450°</t>
  </si>
  <si>
    <t xml:space="preserve"> 37.664350°</t>
  </si>
  <si>
    <t>140.945200°</t>
  </si>
  <si>
    <t xml:space="preserve"> 37.644833°</t>
  </si>
  <si>
    <t>141.001300°</t>
  </si>
  <si>
    <t xml:space="preserve"> 37.646283°</t>
  </si>
  <si>
    <t>140.965767°</t>
  </si>
  <si>
    <t xml:space="preserve"> 37.665083°</t>
  </si>
  <si>
    <t>140.917533°</t>
  </si>
  <si>
    <t xml:space="preserve"> 37.597500°</t>
  </si>
  <si>
    <t>140.925083°</t>
  </si>
  <si>
    <t xml:space="preserve"> 37.601500°</t>
  </si>
  <si>
    <t>140.943633°</t>
  </si>
  <si>
    <t>140.964133°</t>
  </si>
  <si>
    <t xml:space="preserve"> 37.607000°</t>
  </si>
  <si>
    <t>140.972117°</t>
  </si>
  <si>
    <t xml:space="preserve"> 37.602283°</t>
  </si>
  <si>
    <t>140.987367°</t>
  </si>
  <si>
    <t xml:space="preserve"> 37.734340°</t>
  </si>
  <si>
    <t>140.809690°</t>
  </si>
  <si>
    <t xml:space="preserve"> 37.725833°</t>
  </si>
  <si>
    <t>140.821383°</t>
  </si>
  <si>
    <t xml:space="preserve"> 37.729433°</t>
  </si>
  <si>
    <t>140.831667°</t>
  </si>
  <si>
    <t xml:space="preserve"> 37.738200°</t>
  </si>
  <si>
    <t>140.803450°</t>
  </si>
  <si>
    <t xml:space="preserve"> 37.733880°</t>
  </si>
  <si>
    <t>140.808300°</t>
  </si>
  <si>
    <t xml:space="preserve"> 37.657533°</t>
  </si>
  <si>
    <t>140.126433°</t>
  </si>
  <si>
    <t xml:space="preserve"> 37.661550°</t>
  </si>
  <si>
    <t>140.122550°</t>
  </si>
  <si>
    <t xml:space="preserve"> 37.665333°</t>
  </si>
  <si>
    <t>140.132933°</t>
  </si>
  <si>
    <t xml:space="preserve"> 37.655067°</t>
  </si>
  <si>
    <t>140.118050°</t>
  </si>
  <si>
    <t xml:space="preserve"> 37.652333°</t>
  </si>
  <si>
    <t>140.156833°</t>
  </si>
  <si>
    <t xml:space="preserve"> 37.504683°</t>
  </si>
  <si>
    <t xml:space="preserve"> 37.499467°</t>
  </si>
  <si>
    <t>140.114333°</t>
  </si>
  <si>
    <t>140.140883°</t>
  </si>
  <si>
    <t xml:space="preserve"> 37.507700°</t>
  </si>
  <si>
    <t xml:space="preserve"> 37.515967°</t>
  </si>
  <si>
    <t>140.026250°</t>
  </si>
  <si>
    <t>140.109167°</t>
  </si>
  <si>
    <t xml:space="preserve"> 38.045617°</t>
  </si>
  <si>
    <t>140.928150°</t>
  </si>
  <si>
    <t xml:space="preserve"> 38.045467°</t>
  </si>
  <si>
    <t>140.940000°</t>
  </si>
  <si>
    <t xml:space="preserve"> 38.045767°</t>
  </si>
  <si>
    <t>140.952033°</t>
  </si>
  <si>
    <t xml:space="preserve"> 37.820933°</t>
  </si>
  <si>
    <t>140.960917°</t>
  </si>
  <si>
    <t xml:space="preserve"> 37.816067°</t>
  </si>
  <si>
    <t>140.976333°</t>
  </si>
  <si>
    <t xml:space="preserve"> 37.821500°</t>
  </si>
  <si>
    <t>140.976050°</t>
  </si>
  <si>
    <t xml:space="preserve"> 37.173883°</t>
  </si>
  <si>
    <t>141.078817°</t>
  </si>
  <si>
    <t xml:space="preserve"> 37.199633°</t>
  </si>
  <si>
    <t>141.084750°</t>
  </si>
  <si>
    <t xml:space="preserve"> 37.232417°</t>
  </si>
  <si>
    <t>141.093383°</t>
  </si>
  <si>
    <t xml:space="preserve"> 37.779000°</t>
  </si>
  <si>
    <t>140.803833°</t>
  </si>
  <si>
    <t xml:space="preserve"> 37.731167°</t>
  </si>
  <si>
    <t>140.909483°</t>
  </si>
  <si>
    <t xml:space="preserve"> 37.664033°</t>
  </si>
  <si>
    <t>140.945700°</t>
  </si>
  <si>
    <t xml:space="preserve"> 37.595333°</t>
  </si>
  <si>
    <t>141.012583°</t>
  </si>
  <si>
    <t xml:space="preserve"> 37.729433°</t>
  </si>
  <si>
    <t>140.831667°</t>
  </si>
  <si>
    <t xml:space="preserve"> 37.733880°</t>
  </si>
  <si>
    <t>140.808300°</t>
  </si>
  <si>
    <t xml:space="preserve"> 37.734340°</t>
  </si>
  <si>
    <t>140.809690°</t>
  </si>
  <si>
    <t xml:space="preserve"> 37.665333°</t>
  </si>
  <si>
    <t>140.132933°</t>
  </si>
  <si>
    <t xml:space="preserve"> 37.657533°</t>
  </si>
  <si>
    <t>140.126433°</t>
  </si>
  <si>
    <t xml:space="preserve"> 37.504683°</t>
  </si>
  <si>
    <t>140.114333°</t>
  </si>
  <si>
    <t xml:space="preserve"> 37.620733°</t>
  </si>
  <si>
    <t>140.522083°</t>
  </si>
  <si>
    <t>採取日</t>
  </si>
  <si>
    <t>個体数</t>
  </si>
  <si>
    <t>採取重量
(kg-wet)</t>
  </si>
  <si>
    <t>成長段階</t>
  </si>
  <si>
    <t>放射性セシウム(Bq/kg-wet)</t>
  </si>
  <si>
    <t>胃内容物</t>
  </si>
  <si>
    <t>計</t>
  </si>
  <si>
    <t>付着藻類等</t>
  </si>
  <si>
    <t>Anax nigrofasciatus nigrofasciatus</t>
  </si>
  <si>
    <t>幼虫</t>
  </si>
  <si>
    <t>Anax parthenope julius</t>
  </si>
  <si>
    <t>Boyeria maclachlani</t>
  </si>
  <si>
    <t>Planaeschna milnei</t>
  </si>
  <si>
    <t>Asiagomphus melaenops</t>
  </si>
  <si>
    <t>Davidius nanus</t>
  </si>
  <si>
    <t>ﾀﾞﾋﾞﾄﾞｻﾅｴ</t>
  </si>
  <si>
    <t>Onychogomphus viridicostus</t>
  </si>
  <si>
    <t>Sieboldius albardae</t>
  </si>
  <si>
    <t>Anotogaster sieboldii</t>
  </si>
  <si>
    <t>Macromia amphigena amphigena</t>
  </si>
  <si>
    <t>ｱｶﾈ属</t>
  </si>
  <si>
    <t>ｶﾜﾘﾇﾏｴﾋﾞ属</t>
  </si>
  <si>
    <t>成体</t>
  </si>
  <si>
    <t>Misgurnus anguillicaudatus</t>
  </si>
  <si>
    <t>ﾄﾞｼﾞｮｳ</t>
  </si>
  <si>
    <t>当歳魚</t>
  </si>
  <si>
    <t>1歳以上</t>
  </si>
  <si>
    <t>内容物あり（詳細は不明）</t>
  </si>
  <si>
    <t>ｳｸﾞｲ</t>
  </si>
  <si>
    <t>2歳魚</t>
  </si>
  <si>
    <t>昆虫類、小型ｴﾋﾞ類</t>
  </si>
  <si>
    <t>ｶｴﾙ類(ｵﾀﾏｼﾞｬｸｼ)</t>
  </si>
  <si>
    <t>幼生</t>
  </si>
  <si>
    <t>Rana porosa porosa</t>
  </si>
  <si>
    <t>ﾄｳｷｮｳﾀﾞﾙﾏｶﾞｴﾙ</t>
  </si>
  <si>
    <t>ｱｶﾊﾗｲﾓﾘ</t>
  </si>
  <si>
    <t>A-1</t>
  </si>
  <si>
    <t>成魚</t>
  </si>
  <si>
    <t>Protohermes grandis</t>
  </si>
  <si>
    <t>ﾍﾋﾞﾄﾝﾎﾞ</t>
  </si>
  <si>
    <t>ｱﾒﾘｶｻﾞﾘｶﾞﾆ</t>
  </si>
  <si>
    <t xml:space="preserve">Tribolodon hakonensis </t>
  </si>
  <si>
    <t>ｳｸﾞｲ(小型個体)</t>
  </si>
  <si>
    <t>ﾔﾏﾒ(小型個体)</t>
  </si>
  <si>
    <t>ﾔﾏﾒ(中型個体)</t>
  </si>
  <si>
    <t>昆虫類</t>
  </si>
  <si>
    <t>Plecoglossus altivelis</t>
  </si>
  <si>
    <t>ｱﾕ(天然遡上)</t>
  </si>
  <si>
    <t>成体</t>
  </si>
  <si>
    <t>CPOM(水底落葉等)</t>
  </si>
  <si>
    <t>ｵｲｶﾜ</t>
  </si>
  <si>
    <t>ｺｸﾁﾊﾞｽ(小型個体)</t>
  </si>
  <si>
    <t>未成魚</t>
  </si>
  <si>
    <t xml:space="preserve">Micropterus dolomieu </t>
  </si>
  <si>
    <t>ｺｸﾁﾊﾞｽ(中型個体)</t>
  </si>
  <si>
    <t>ｺｸﾁﾊﾞｽ(大型個体)</t>
  </si>
  <si>
    <t>7歳魚</t>
  </si>
  <si>
    <t>水生昆虫、小型魚類</t>
  </si>
  <si>
    <t>小型魚類</t>
  </si>
  <si>
    <t>12歳魚</t>
  </si>
  <si>
    <t>5歳魚</t>
  </si>
  <si>
    <t>ｳｸﾞｲ(中型個体)</t>
  </si>
  <si>
    <t>新田川</t>
  </si>
  <si>
    <t>ﾆｺﾞｲ(大型個体)</t>
  </si>
  <si>
    <t>付着藻類等</t>
  </si>
  <si>
    <t>ｻﾔﾐﾄﾞﾛ属</t>
  </si>
  <si>
    <t>ﾀﾞﾋﾞﾄﾞｻﾅｴ属</t>
  </si>
  <si>
    <t>Stylogomphus suzukii</t>
  </si>
  <si>
    <t>ｺｶﾞﾈｸﾞﾓ科</t>
  </si>
  <si>
    <t>ﾓｸｽﾞｶﾞﾆ</t>
  </si>
  <si>
    <t>ﾖｼﾉﾎﾞﾘ属</t>
  </si>
  <si>
    <t>1歳魚</t>
  </si>
  <si>
    <t>1歳魚</t>
  </si>
  <si>
    <t>ﾆｺﾞｲ(小型個体)</t>
  </si>
  <si>
    <t>Rana catesbeiana</t>
  </si>
  <si>
    <t>真野川</t>
  </si>
  <si>
    <t>ﾐｽﾞｺﾞｹ属</t>
  </si>
  <si>
    <t>Sinogomphus flavolimbatus</t>
  </si>
  <si>
    <t>Atyidae</t>
  </si>
  <si>
    <t>ﾇﾏｴﾋﾞ科</t>
  </si>
  <si>
    <t>Procambarus clarkii</t>
  </si>
  <si>
    <t>Semisulcospira libertina</t>
  </si>
  <si>
    <t>ｶﾜﾆﾅ</t>
  </si>
  <si>
    <t>ｱﾕ(放流)</t>
  </si>
  <si>
    <t>ｱﾕ(天然遡上)</t>
  </si>
  <si>
    <t>太田川</t>
  </si>
  <si>
    <t>ｱｵﾐﾄﾞﾛ属</t>
  </si>
  <si>
    <t>Nihonogomphus viridis</t>
  </si>
  <si>
    <t>未成体</t>
  </si>
  <si>
    <t>3歳魚</t>
  </si>
  <si>
    <t>ｳｸﾞｲ(大型個体)</t>
  </si>
  <si>
    <t>ｳｸﾞｲ属(ﾏﾙﾀｳｸﾞｲ)</t>
  </si>
  <si>
    <t>4歳魚</t>
  </si>
  <si>
    <t>Anguilla japonica</t>
  </si>
  <si>
    <t>宇多川</t>
  </si>
  <si>
    <t>Stenopsyche marmorata</t>
  </si>
  <si>
    <t>Stenopsyche sauteri</t>
  </si>
  <si>
    <t>Epiophlebia superstes</t>
  </si>
  <si>
    <t>2歳魚</t>
  </si>
  <si>
    <t>秋元湖</t>
  </si>
  <si>
    <t>浮遊藻類等</t>
  </si>
  <si>
    <t>ｱｵﾐﾄﾞﾛ属</t>
  </si>
  <si>
    <t>ｳｸﾞｲ(大型個体)</t>
  </si>
  <si>
    <t>ｲﾜﾅ(大型個体)</t>
  </si>
  <si>
    <t>6歳魚</t>
  </si>
  <si>
    <t>ｲﾜﾅ(小型個体)</t>
  </si>
  <si>
    <t>ﾌﾅ属(小型個体)</t>
  </si>
  <si>
    <t>ﾌﾅ属(大型個体)</t>
  </si>
  <si>
    <t>ﾆｺﾞｲ(大型個体)</t>
  </si>
  <si>
    <t>ﾄﾞｼﾞｮｳ(小型個体)</t>
  </si>
  <si>
    <t>浮遊藻類等</t>
  </si>
  <si>
    <t>ﾄﾞｼﾞｮｳ(大型個体)</t>
  </si>
  <si>
    <t>1歳以上</t>
  </si>
  <si>
    <t>4歳魚</t>
  </si>
  <si>
    <t>甲殻類片</t>
  </si>
  <si>
    <t>はやま湖</t>
  </si>
  <si>
    <t>ﾇﾏｴﾋﾞ科</t>
  </si>
  <si>
    <t>昆虫類（水生昆虫）</t>
  </si>
  <si>
    <t xml:space="preserve">Oncorhynchus masou </t>
  </si>
  <si>
    <t>ﾔﾏﾒ</t>
  </si>
  <si>
    <t>いわき市沖</t>
  </si>
  <si>
    <t>ｱﾜﾋﾞ(貝殻)</t>
  </si>
  <si>
    <t>ｱﾜﾋﾞ(軟体部)</t>
  </si>
  <si>
    <t>小型ｴﾋﾞ類、ｲｶ類</t>
  </si>
  <si>
    <t>小型ｴﾋﾞ類</t>
  </si>
  <si>
    <t>甲殻類片（小型ｶﾆ類）</t>
  </si>
  <si>
    <t>相馬市沖</t>
  </si>
  <si>
    <t>ｱﾏﾓ</t>
  </si>
  <si>
    <t>多毛綱</t>
  </si>
  <si>
    <t>ｽｼﾞｴﾋﾞ属</t>
  </si>
  <si>
    <t>ﾃｯﾎﾟｳｴﾋﾞ属</t>
  </si>
  <si>
    <t>ﾏｶﾞｷ(貝殻)</t>
  </si>
  <si>
    <t>ﾏｶﾞｷ(軟体部)</t>
  </si>
  <si>
    <t>ｱｻﾘ(貝殻)</t>
  </si>
  <si>
    <t>ｱｻﾘ(軟体部)</t>
  </si>
  <si>
    <t>ﾊｾﾞ科</t>
  </si>
  <si>
    <t>未成魚</t>
  </si>
  <si>
    <t>ﾒﾊﾞﾙ属</t>
  </si>
  <si>
    <t>小型魚類、甲殻類片</t>
  </si>
  <si>
    <t>門</t>
  </si>
  <si>
    <t>綱</t>
  </si>
  <si>
    <t>目</t>
  </si>
  <si>
    <t>科</t>
  </si>
  <si>
    <t>種名</t>
  </si>
  <si>
    <t>和名</t>
  </si>
  <si>
    <t>特記事項</t>
  </si>
  <si>
    <t>Sr-90
(Bq/kg-wet)</t>
  </si>
  <si>
    <t>Cs-134</t>
  </si>
  <si>
    <t>Cs-137</t>
  </si>
  <si>
    <t>藻類・植物</t>
  </si>
  <si>
    <t>節足動物</t>
  </si>
  <si>
    <t>昆虫</t>
  </si>
  <si>
    <t>軟甲</t>
  </si>
  <si>
    <t>十脚</t>
  </si>
  <si>
    <t>軟体動物</t>
  </si>
  <si>
    <t>腹足</t>
  </si>
  <si>
    <t>吸腔</t>
  </si>
  <si>
    <t>脊椎動物</t>
  </si>
  <si>
    <t>硬骨魚</t>
  </si>
  <si>
    <t>両生</t>
  </si>
  <si>
    <t>無尾</t>
  </si>
  <si>
    <t>有尾</t>
  </si>
  <si>
    <t>粗粒状有機物</t>
  </si>
  <si>
    <t>硬骨魚</t>
  </si>
  <si>
    <t>両生類</t>
  </si>
  <si>
    <t>ﾏｺﾞｹ植物</t>
  </si>
  <si>
    <t>被子植物</t>
  </si>
  <si>
    <t>単子葉植物</t>
  </si>
  <si>
    <t>ｽﾄﾚﾌﾟﾄ植物</t>
  </si>
  <si>
    <t>接合藻</t>
  </si>
  <si>
    <t>節足動物</t>
  </si>
  <si>
    <t>双子葉植物</t>
  </si>
  <si>
    <t>軟体動物</t>
  </si>
  <si>
    <t>原始紐舌</t>
  </si>
  <si>
    <t>褐藻植物</t>
  </si>
  <si>
    <t>褐藻</t>
  </si>
  <si>
    <t>棘皮動物</t>
  </si>
  <si>
    <t>腹足</t>
  </si>
  <si>
    <t>原始腹足</t>
  </si>
  <si>
    <t>軟骨魚</t>
  </si>
  <si>
    <t>緑藻植物</t>
  </si>
  <si>
    <t>ｱｵｻ藻</t>
  </si>
  <si>
    <t>被子植物</t>
  </si>
  <si>
    <t>環形動物</t>
  </si>
  <si>
    <t>多毛</t>
  </si>
  <si>
    <t>二枚貝</t>
  </si>
  <si>
    <t>緑藻</t>
  </si>
  <si>
    <t>ｽｽﾞｷ</t>
  </si>
  <si>
    <t>ﾊｾﾞ</t>
  </si>
  <si>
    <t>A-2
(原瀬川)</t>
  </si>
  <si>
    <t xml:space="preserve">B-2
</t>
  </si>
  <si>
    <t>B-3
(摺上川)</t>
  </si>
  <si>
    <t>C-6</t>
  </si>
  <si>
    <t>D-1
D-2</t>
  </si>
  <si>
    <t>D-4a
D-4b</t>
  </si>
  <si>
    <t>E-1
E-2a
E-2b</t>
  </si>
  <si>
    <t>G-1
G-2
G-3</t>
  </si>
  <si>
    <t>F-3
F-4
F-5</t>
  </si>
  <si>
    <t>H-1
H-2
H-3</t>
  </si>
  <si>
    <t>I-1
I-2
(北岸)</t>
  </si>
  <si>
    <t>J-3
(南岸)</t>
  </si>
  <si>
    <t>阿武隈川河口沖(亘理町沖)</t>
  </si>
  <si>
    <t xml:space="preserve">
阿武隈川河口
周辺海域</t>
  </si>
  <si>
    <t>L-1
L-2
L-3
(松川浦)</t>
  </si>
  <si>
    <t>M-4
(久之浜)</t>
  </si>
  <si>
    <t>M-1
M-2
M-3
(久之浜)</t>
  </si>
  <si>
    <t>平成25年度8～9月調査</t>
  </si>
  <si>
    <t>平成25年度8～9月調査</t>
  </si>
  <si>
    <t>(Bq/L)</t>
  </si>
  <si>
    <t>(mg/gｰdry)</t>
  </si>
  <si>
    <t>(Bq/kg-dry)</t>
  </si>
  <si>
    <t>注）N.D.は、検出下限値未満であることを示す。</t>
  </si>
  <si>
    <t>N.D.(&lt;0.18)</t>
  </si>
  <si>
    <t>N.D.(&lt;0.33)</t>
  </si>
  <si>
    <t>N.D.(&lt;0.24)</t>
  </si>
  <si>
    <t>N.D.(&lt;0.21)</t>
  </si>
  <si>
    <t>ﾄﾋﾞｹﾗ</t>
  </si>
  <si>
    <t>ﾋｹﾞﾅｶﾞｶﾜﾄﾋﾞｹﾗ</t>
  </si>
  <si>
    <t>Stenopsyche marmorata</t>
  </si>
  <si>
    <t>－</t>
  </si>
  <si>
    <t>Stenopsyche sauteri</t>
  </si>
  <si>
    <t>ﾁｬﾊﾞﾈﾋｹﾞﾅｶﾞｶﾜﾄﾋﾞｹﾗ</t>
  </si>
  <si>
    <t>ﾄﾝﾎﾞ</t>
  </si>
  <si>
    <t>ｴｿﾞﾄﾝﾎﾞ</t>
  </si>
  <si>
    <t>ｺﾔﾏﾄﾝﾎﾞ</t>
  </si>
  <si>
    <t>－</t>
  </si>
  <si>
    <t>ｵﾆﾔﾝﾏ</t>
  </si>
  <si>
    <t>ｻﾅｴﾄﾝﾎﾞ</t>
  </si>
  <si>
    <t>ﾔﾏｻﾅｴ</t>
  </si>
  <si>
    <r>
      <t xml:space="preserve">Davidius </t>
    </r>
    <r>
      <rPr>
        <sz val="10"/>
        <rFont val="ＭＳ 明朝"/>
        <family val="1"/>
      </rPr>
      <t>sp.</t>
    </r>
  </si>
  <si>
    <t>ﾀﾞﾋﾞﾄﾞｻﾅｴ属</t>
  </si>
  <si>
    <t>ｵﾅｶﾞｻﾅｴ</t>
  </si>
  <si>
    <t>ｺｵﾆﾔﾝﾏ</t>
  </si>
  <si>
    <t>ﾔﾝﾏ</t>
  </si>
  <si>
    <t>ｸﾛｽｼﾞｷﾞﾝﾔﾝﾏ</t>
  </si>
  <si>
    <t>ｷﾞﾝﾔﾝﾏ</t>
  </si>
  <si>
    <t>ｺｼﾎﾞｿﾔﾝﾏ</t>
  </si>
  <si>
    <t>ﾐﾙﾝﾔﾝﾏ</t>
  </si>
  <si>
    <r>
      <t xml:space="preserve">Sympetrum </t>
    </r>
    <r>
      <rPr>
        <sz val="10"/>
        <rFont val="ＭＳ 明朝"/>
        <family val="1"/>
      </rPr>
      <t>sp.</t>
    </r>
  </si>
  <si>
    <t>ﾇﾏｴﾋﾞ</t>
  </si>
  <si>
    <r>
      <t xml:space="preserve">Neocaridina </t>
    </r>
    <r>
      <rPr>
        <sz val="10"/>
        <rFont val="ＭＳ 明朝"/>
        <family val="1"/>
      </rPr>
      <t>sp.</t>
    </r>
  </si>
  <si>
    <t>－</t>
  </si>
  <si>
    <t>ｶﾜﾆﾅ</t>
  </si>
  <si>
    <t>Semisulcospira libertina</t>
  </si>
  <si>
    <t>ｺｲ</t>
  </si>
  <si>
    <t>Phoxinus lagowskii steindachneri</t>
  </si>
  <si>
    <t>ｱﾌﾞﾗﾊﾔ</t>
  </si>
  <si>
    <t>－</t>
  </si>
  <si>
    <t xml:space="preserve">Tribolodon hakonensis </t>
  </si>
  <si>
    <t>ﾄﾞｼﾞｮｳ</t>
  </si>
  <si>
    <t>－</t>
  </si>
  <si>
    <t>ｻｹ</t>
  </si>
  <si>
    <t xml:space="preserve">Oncorhynchus masou </t>
  </si>
  <si>
    <t>ﾔﾏﾒ</t>
  </si>
  <si>
    <t>ｱｶｶﾞｴﾙ</t>
  </si>
  <si>
    <t>－</t>
  </si>
  <si>
    <t>ｲﾓﾘ</t>
  </si>
  <si>
    <t>Cynops pyrrhogaster</t>
  </si>
  <si>
    <t xml:space="preserve">Hemibarbus barbus </t>
  </si>
  <si>
    <t>ﾆｺﾞｲ</t>
  </si>
  <si>
    <t>－</t>
  </si>
  <si>
    <t>Zacco platypus</t>
  </si>
  <si>
    <t>ｵｲｶﾜ</t>
  </si>
  <si>
    <t>ｽｽﾞｷ</t>
  </si>
  <si>
    <t>ｻﾝﾌｨｯｼｭ</t>
  </si>
  <si>
    <t>Micropterus dolomieu</t>
  </si>
  <si>
    <t>ｺｸﾁﾊﾞｽ</t>
  </si>
  <si>
    <t>－</t>
  </si>
  <si>
    <t xml:space="preserve">Micropterus dolomieu </t>
  </si>
  <si>
    <t>－</t>
  </si>
  <si>
    <t>ﾅﾏｽﾞ</t>
  </si>
  <si>
    <t>Silurus asotus</t>
  </si>
  <si>
    <t>Cyprinus carpio</t>
  </si>
  <si>
    <t>ｱﾒﾘｶﾅﾏｽﾞ</t>
  </si>
  <si>
    <t>Ictalurus punctatus</t>
  </si>
  <si>
    <t>ｷｭｳﾘｳｵ</t>
  </si>
  <si>
    <t>Plecoglossus altivelis</t>
  </si>
  <si>
    <t>ﾍﾋﾞﾄﾝﾎﾞ</t>
  </si>
  <si>
    <t>ｱﾒﾘｶｻﾞﾘｶﾞﾆ</t>
  </si>
  <si>
    <t>Procambarus clarkii</t>
  </si>
  <si>
    <t>Misgurnus anguillicaudatus</t>
  </si>
  <si>
    <t>Rana rugosa</t>
  </si>
  <si>
    <t>ﾂﾁｶﾞｴﾙ</t>
  </si>
  <si>
    <t>－</t>
  </si>
  <si>
    <t>ｻﾔﾐﾄﾞﾛ</t>
  </si>
  <si>
    <r>
      <t>Oedogonium</t>
    </r>
    <r>
      <rPr>
        <sz val="10"/>
        <rFont val="ＭＳ 明朝"/>
        <family val="1"/>
      </rPr>
      <t xml:space="preserve"> sp.</t>
    </r>
  </si>
  <si>
    <t>ｻﾔﾐﾄﾞﾛ属</t>
  </si>
  <si>
    <t>ｵｼﾞﾛｻﾅｴ</t>
  </si>
  <si>
    <t>ﾑｶｼﾄﾝﾎﾞ</t>
  </si>
  <si>
    <t>ﾓｸｽﾞｶﾞﾆ</t>
  </si>
  <si>
    <t>Eriocheir japonica</t>
  </si>
  <si>
    <t>Nipponocypris temminckii</t>
  </si>
  <si>
    <t>ｶﾜﾑﾂ</t>
  </si>
  <si>
    <t>Pseudogobio esocinus</t>
  </si>
  <si>
    <t>ｶﾏﾂｶ</t>
  </si>
  <si>
    <t xml:space="preserve">Zacco platypus </t>
  </si>
  <si>
    <t>ﾊｾﾞ</t>
  </si>
  <si>
    <t>Rhinogobius fluviatilis</t>
  </si>
  <si>
    <t>ｵｵﾖｼﾉﾎﾞﾘ</t>
  </si>
  <si>
    <r>
      <t xml:space="preserve">Rhinogobius </t>
    </r>
    <r>
      <rPr>
        <sz val="10"/>
        <rFont val="ＭＳ 明朝"/>
        <family val="1"/>
      </rPr>
      <t>sp.</t>
    </r>
  </si>
  <si>
    <t>ｼﾏﾖｼﾉﾎﾞﾘ</t>
  </si>
  <si>
    <t>Rana ornativentris</t>
  </si>
  <si>
    <t>ﾔﾏｱｶｶﾞｴﾙ</t>
  </si>
  <si>
    <t>なし</t>
  </si>
  <si>
    <t>ｲﾊﾞﾗﾓ</t>
  </si>
  <si>
    <t>ﾋﾙﾑｼﾛ</t>
  </si>
  <si>
    <t xml:space="preserve">Potamogeton pusillus </t>
  </si>
  <si>
    <t>ｲﾄﾓ</t>
  </si>
  <si>
    <t>N.D.(&lt;4.1)</t>
  </si>
  <si>
    <t>－</t>
  </si>
  <si>
    <t>ﾐｽﾞｺﾞｹ</t>
  </si>
  <si>
    <r>
      <t xml:space="preserve">Sphagnum </t>
    </r>
    <r>
      <rPr>
        <sz val="10"/>
        <rFont val="ＭＳ 明朝"/>
        <family val="1"/>
      </rPr>
      <t>sp.</t>
    </r>
  </si>
  <si>
    <t>－</t>
  </si>
  <si>
    <t>ｼｵｸﾞｻ</t>
  </si>
  <si>
    <r>
      <t xml:space="preserve">Cladophora </t>
    </r>
    <r>
      <rPr>
        <sz val="10"/>
        <rFont val="ＭＳ 明朝"/>
        <family val="1"/>
      </rPr>
      <t>sp.</t>
    </r>
  </si>
  <si>
    <t>ｼｵｸﾞｻ属</t>
  </si>
  <si>
    <t>－</t>
  </si>
  <si>
    <t>Parachauliodes continentalis</t>
  </si>
  <si>
    <t>ﾀｲﾘｸｸﾛｽｼﾞﾍﾋﾞﾄﾝﾎﾞ</t>
  </si>
  <si>
    <t>Protohermes grandis</t>
  </si>
  <si>
    <t>ﾀﾞﾋﾞﾄﾞｻﾅｴ</t>
  </si>
  <si>
    <r>
      <t>Davidius</t>
    </r>
    <r>
      <rPr>
        <sz val="10"/>
        <rFont val="ＭＳ 明朝"/>
        <family val="1"/>
      </rPr>
      <t xml:space="preserve"> sp.</t>
    </r>
  </si>
  <si>
    <t>ﾋﾒｻﾅｴ</t>
  </si>
  <si>
    <t>Rana catesbeiana</t>
  </si>
  <si>
    <t>ｳｼｶﾞｴﾙ(ｵﾀﾏｼﾞｬｸｼ)</t>
  </si>
  <si>
    <t>－</t>
  </si>
  <si>
    <r>
      <t xml:space="preserve">Oedogonium </t>
    </r>
    <r>
      <rPr>
        <sz val="10"/>
        <rFont val="ＭＳ 明朝"/>
        <family val="1"/>
      </rPr>
      <t>sp.</t>
    </r>
  </si>
  <si>
    <t>ｸﾓ</t>
  </si>
  <si>
    <t>ｺｶﾞﾈｸﾞﾓ</t>
  </si>
  <si>
    <t>Araneidae</t>
  </si>
  <si>
    <t xml:space="preserve">Carassius auratus </t>
  </si>
  <si>
    <t>ｷﾞﾝﾌﾞﾅ</t>
  </si>
  <si>
    <t>Cyprinus carpio</t>
  </si>
  <si>
    <t>なし</t>
  </si>
  <si>
    <t>ｳｸﾞｲ</t>
  </si>
  <si>
    <r>
      <t>Rhinogobius</t>
    </r>
    <r>
      <rPr>
        <sz val="10"/>
        <rFont val="ＭＳ 明朝"/>
        <family val="1"/>
      </rPr>
      <t xml:space="preserve"> sp.</t>
    </r>
  </si>
  <si>
    <t>ｳｼｶﾞｴﾙ(ｵﾀﾏｼﾞｬｸｼ)</t>
  </si>
  <si>
    <t>ｳﾅｷﾞ</t>
  </si>
  <si>
    <t>Anguilla japonica</t>
  </si>
  <si>
    <t>ﾆﾎﾝｳﾅｷﾞ</t>
  </si>
  <si>
    <t>なし</t>
  </si>
  <si>
    <t>ﾎｼﾐﾄﾞﾛ</t>
  </si>
  <si>
    <r>
      <t xml:space="preserve">Spirogyra </t>
    </r>
    <r>
      <rPr>
        <sz val="10"/>
        <rFont val="ＭＳ 明朝"/>
        <family val="1"/>
      </rPr>
      <t>sp.</t>
    </r>
  </si>
  <si>
    <r>
      <t>Sphagnum</t>
    </r>
    <r>
      <rPr>
        <sz val="10"/>
        <rFont val="ＭＳ 明朝"/>
        <family val="1"/>
      </rPr>
      <t xml:space="preserve"> sp.</t>
    </r>
  </si>
  <si>
    <t>ｱｵｻﾅｴ</t>
  </si>
  <si>
    <t>Cobitis biwae</t>
  </si>
  <si>
    <t>ｼﾏﾄﾞｼﾞｮｳ</t>
  </si>
  <si>
    <t>ｵｵﾖｼﾉﾎﾞﾘ</t>
  </si>
  <si>
    <r>
      <t>Tribolodon</t>
    </r>
    <r>
      <rPr>
        <sz val="10"/>
        <rFont val="ＭＳ 明朝"/>
        <family val="1"/>
      </rPr>
      <t xml:space="preserve"> sp.</t>
    </r>
  </si>
  <si>
    <t>ｱﾒﾘｶｻﾞﾘｶﾞﾆ</t>
  </si>
  <si>
    <t>Oncorhynchus mykiss</t>
  </si>
  <si>
    <t>ﾆｼﾞﾏｽ</t>
  </si>
  <si>
    <t>Rhinogobius flumineus</t>
  </si>
  <si>
    <t>ｶﾜﾖｼﾉﾎﾞﾘ</t>
  </si>
  <si>
    <t xml:space="preserve">Tribolodon hakonensis </t>
  </si>
  <si>
    <t>ｳｸﾞｲ</t>
  </si>
  <si>
    <t>ﾄﾁｶｶﾞﾐ</t>
  </si>
  <si>
    <t>Elodea nuttallii</t>
  </si>
  <si>
    <t>ｺｶﾅﾀﾞﾓ</t>
  </si>
  <si>
    <t>ﾀﾆﾉﾎﾞﾘ</t>
  </si>
  <si>
    <t>Lefua echigonia</t>
  </si>
  <si>
    <t>ﾎﾄｹﾄﾞｼﾞｮｳ</t>
  </si>
  <si>
    <t>ｶｻｺﾞ</t>
  </si>
  <si>
    <t>ｶｼﾞｶ</t>
  </si>
  <si>
    <t>Cottus pollux</t>
  </si>
  <si>
    <t>ﾋｷｶﾞｴﾙ</t>
  </si>
  <si>
    <t>Bufo japonicus formosus</t>
  </si>
  <si>
    <t>ｱｽﾞﾏﾋｷｶﾞｴﾙ</t>
  </si>
  <si>
    <t>ｶｴﾙ類(ｵﾀﾏｼﾞｬｸｼ)</t>
  </si>
  <si>
    <t>Cynops pyrrhogaster</t>
  </si>
  <si>
    <t>ｱｶﾊﾗｲﾓﾘ</t>
  </si>
  <si>
    <t xml:space="preserve">Hypomesus nipponensis </t>
  </si>
  <si>
    <t>ﾜｶｻｷﾞ</t>
  </si>
  <si>
    <t>Salvelinus leucomaenis</t>
  </si>
  <si>
    <t>ｻﾞﾘｶﾞﾆ</t>
  </si>
  <si>
    <t>Pacifastacus leniusculus trowbridgii</t>
  </si>
  <si>
    <t>ｳﾁﾀﾞｻﾞﾘｶﾞﾆ</t>
  </si>
  <si>
    <t>ﾃﾅｶﾞｴﾋﾞ</t>
  </si>
  <si>
    <t>Palaemon paucidens</t>
  </si>
  <si>
    <t>ｽｼﾞｴﾋﾞ</t>
  </si>
  <si>
    <t>Tribolodon hakonensis</t>
  </si>
  <si>
    <t>Oncorhynchus masou</t>
  </si>
  <si>
    <t>ｻｸﾗﾏｽ</t>
  </si>
  <si>
    <t>Elodea nuttallii</t>
  </si>
  <si>
    <t>N.D.</t>
  </si>
  <si>
    <t>N.D.(&lt;0.81)</t>
  </si>
  <si>
    <t>N.D.(&lt;0.67)</t>
  </si>
  <si>
    <t>ｽｲﾚﾝ</t>
  </si>
  <si>
    <t>Nuphar japonicum</t>
  </si>
  <si>
    <t>ｺｳﾎﾈ</t>
  </si>
  <si>
    <t>ﾀﾆｼ</t>
  </si>
  <si>
    <t xml:space="preserve">Bellamya japonica </t>
  </si>
  <si>
    <t>ｵｵﾀﾆｼ</t>
  </si>
  <si>
    <t>Rana rugosa</t>
  </si>
  <si>
    <t>ﾂﾁｶﾞｴﾙ</t>
  </si>
  <si>
    <r>
      <t>Carassius</t>
    </r>
    <r>
      <rPr>
        <sz val="10"/>
        <rFont val="ＭＳ 明朝"/>
        <family val="1"/>
      </rPr>
      <t xml:space="preserve"> sp.</t>
    </r>
  </si>
  <si>
    <t>内容物あり（詳細は不明）</t>
  </si>
  <si>
    <t>ｲﾜﾅ</t>
  </si>
  <si>
    <t>ﾜﾀﾘｶﾞﾆ</t>
  </si>
  <si>
    <t>Portunus trituberculatus</t>
  </si>
  <si>
    <t>ｶﾞｻﾞﾐ</t>
  </si>
  <si>
    <t xml:space="preserve">Ovalipes punctatus </t>
  </si>
  <si>
    <t>ﾋﾗﾂﾒｶﾞﾆ</t>
  </si>
  <si>
    <t>N.D.(&lt;0.85)</t>
  </si>
  <si>
    <t>ｱｲﾅﾒ</t>
  </si>
  <si>
    <t xml:space="preserve">Hexagrammos otakii </t>
  </si>
  <si>
    <t>ﾎｳﾎﾞｳ</t>
  </si>
  <si>
    <t xml:space="preserve">Chelidonichthys spinosus </t>
  </si>
  <si>
    <t>ﾒﾊﾞﾙ</t>
  </si>
  <si>
    <r>
      <t xml:space="preserve">Sebastes </t>
    </r>
    <r>
      <rPr>
        <sz val="10"/>
        <rFont val="ＭＳ 明朝"/>
        <family val="1"/>
      </rPr>
      <t>sp.</t>
    </r>
  </si>
  <si>
    <t>ｶﾚｲ</t>
  </si>
  <si>
    <t>ﾋﾗﾒ</t>
  </si>
  <si>
    <t>Paralichthys olivaceus</t>
  </si>
  <si>
    <t>ﾀｲ</t>
  </si>
  <si>
    <t xml:space="preserve">Evynnis japonica </t>
  </si>
  <si>
    <t>ﾁﾀﾞｲ</t>
  </si>
  <si>
    <t>ｱｵｻ</t>
  </si>
  <si>
    <t>Ulva pertusa</t>
  </si>
  <si>
    <t>ｱﾅｱｵｻ</t>
  </si>
  <si>
    <t>N.D.(&lt;0.32)</t>
  </si>
  <si>
    <t>ｱﾏﾓ</t>
  </si>
  <si>
    <t>Zostera marina</t>
  </si>
  <si>
    <t>N.D.(&lt;0.29)</t>
  </si>
  <si>
    <t>N.D.(&lt;0.28)</t>
  </si>
  <si>
    <t>Polychaeta</t>
  </si>
  <si>
    <t>N.D.(&lt;3.1)</t>
  </si>
  <si>
    <t>ﾃｯﾎﾟｳｴﾋﾞ</t>
  </si>
  <si>
    <r>
      <t xml:space="preserve">Alpheus </t>
    </r>
    <r>
      <rPr>
        <sz val="10"/>
        <rFont val="ＭＳ 明朝"/>
        <family val="1"/>
      </rPr>
      <t>sp.</t>
    </r>
  </si>
  <si>
    <r>
      <t xml:space="preserve">Palaemon </t>
    </r>
    <r>
      <rPr>
        <sz val="10"/>
        <rFont val="ＭＳ 明朝"/>
        <family val="1"/>
      </rPr>
      <t>sp.</t>
    </r>
  </si>
  <si>
    <t>Charybdis japonica</t>
  </si>
  <si>
    <t>ｲｼｶﾞﾆ</t>
  </si>
  <si>
    <t>ｳｸﾞｲｽｶﾞｲ</t>
  </si>
  <si>
    <t>ｲﾀﾎﾞｶﾞｷ</t>
  </si>
  <si>
    <t>Crassostrea gigas</t>
  </si>
  <si>
    <t>ﾏﾙｽﾀﾞﾚｶﾞｲ</t>
  </si>
  <si>
    <t>Ruditapes philippinarum</t>
  </si>
  <si>
    <t>Pleuronectidae</t>
  </si>
  <si>
    <t>ｶﾚｲ科</t>
  </si>
  <si>
    <t xml:space="preserve">Gobiidae </t>
  </si>
  <si>
    <t>ﾎﾞﾗ</t>
  </si>
  <si>
    <t>Liza haematocheilus</t>
  </si>
  <si>
    <t>ﾒﾅﾀﾞ</t>
  </si>
  <si>
    <t>ｳﾆ</t>
  </si>
  <si>
    <t>ﾎﾝｳﾆﾓﾄﾞｷ</t>
  </si>
  <si>
    <t>Glyptocidaris crenularis</t>
  </si>
  <si>
    <t>ﾂｶﾞﾙｳﾆ</t>
  </si>
  <si>
    <t>Pleuronectes yokohamae</t>
  </si>
  <si>
    <t>ﾏｺｶﾞﾚｲ</t>
  </si>
  <si>
    <t>ｶﾞﾝｷﾞｴｲ</t>
  </si>
  <si>
    <t xml:space="preserve">Okamejei kenojei </t>
  </si>
  <si>
    <t>ｺﾓﾝｶｽﾍﾞ</t>
  </si>
  <si>
    <t>ﾏﾄｳﾀﾞｲ</t>
  </si>
  <si>
    <t xml:space="preserve">Zeus faber </t>
  </si>
  <si>
    <t>ﾒｼﾞﾛｻﾞﾒ</t>
  </si>
  <si>
    <t>ﾄﾞﾁｻﾞﾒ</t>
  </si>
  <si>
    <t xml:space="preserve">Mustelus manazo </t>
  </si>
  <si>
    <t>ﾎｼｻﾞﾒ</t>
  </si>
  <si>
    <t>ｺﾝﾌﾞ</t>
  </si>
  <si>
    <t>Eisenia bicyclis</t>
  </si>
  <si>
    <t>ｱﾗﾒ</t>
  </si>
  <si>
    <t>－</t>
  </si>
  <si>
    <t>ﾎﾝｳﾆ</t>
  </si>
  <si>
    <t>ｵｵﾊﾞﾌﾝｳﾆ</t>
  </si>
  <si>
    <t xml:space="preserve">Strongylocentrotus nudus  </t>
  </si>
  <si>
    <t>ｷﾀﾑﾗｻｷｳﾆ</t>
  </si>
  <si>
    <t>ﾐﾐｶﾞｲ</t>
  </si>
  <si>
    <t>Haliotis discus</t>
  </si>
  <si>
    <r>
      <t xml:space="preserve">Carassius </t>
    </r>
    <r>
      <rPr>
        <sz val="10"/>
        <rFont val="ＭＳ 明朝"/>
        <family val="1"/>
      </rPr>
      <t>sp.</t>
    </r>
  </si>
  <si>
    <r>
      <t>Carassius</t>
    </r>
    <r>
      <rPr>
        <sz val="10"/>
        <rFont val="ＭＳ 明朝"/>
        <family val="1"/>
      </rPr>
      <t xml:space="preserve"> sp.</t>
    </r>
  </si>
  <si>
    <t>N.D.(&lt;1.7)</t>
  </si>
  <si>
    <t>N.D.(&lt;1.8)</t>
  </si>
  <si>
    <t>N.D.(&lt;0.95)</t>
  </si>
  <si>
    <t>注）N.D.は、検出下限値未満であることを示す。</t>
  </si>
  <si>
    <t>N.D.(&lt;0.019)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</si>
</sst>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#,##0_ "/>
    <numFmt numFmtId="178" formatCode="#,##0.00_ "/>
    <numFmt numFmtId="179" formatCode="#,##0.0_ "/>
    <numFmt numFmtId="180" formatCode="#,##0.000_ "/>
    <numFmt numFmtId="181" formatCode="0.00_ "/>
    <numFmt numFmtId="182" formatCode="0.0_ "/>
    <numFmt numFmtId="183" formatCode="0_ "/>
    <numFmt numFmtId="184" formatCode="0.000_ "/>
    <numFmt numFmtId="185" formatCode="0.00_);[Red]\(0.00\)"/>
    <numFmt numFmtId="186" formatCode="0.0_);[Red]\(0.0\)"/>
    <numFmt numFmtId="187" formatCode="#,##0_);[Red]\(#,##0\)"/>
    <numFmt numFmtId="188" formatCode="#,##0.00_);[Red]\(#,##0.00\)"/>
    <numFmt numFmtId="189" formatCode="0.000_);[Red]\(0.000\)"/>
    <numFmt numFmtId="190" formatCode="0.0000_);[Red]\(0.0000\)"/>
    <numFmt numFmtId="191" formatCode="0_);[Red]\(0\)"/>
    <numFmt numFmtId="192" formatCode="#,##0.0000_ "/>
    <numFmt numFmtId="193" formatCode="#,##0.0_);[Red]\(#,##0.0\)"/>
    <numFmt numFmtId="194" formatCode="#,##0.000_);[Red]\(#,##0.000\)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0.0000_ "/>
    <numFmt numFmtId="200" formatCode="m/d"/>
    <numFmt numFmtId="201" formatCode="m/d;@"/>
    <numFmt numFmtId="202" formatCode="0;_耄"/>
    <numFmt numFmtId="203" formatCode="0;_怄"/>
    <numFmt numFmtId="204" formatCode="0.0;_怄"/>
    <numFmt numFmtId="205" formatCode="0.00;_怄"/>
    <numFmt numFmtId="206" formatCode="0.0;_䐀"/>
    <numFmt numFmtId="207" formatCode="0.0;_ࠀ"/>
    <numFmt numFmtId="208" formatCode="0.0"/>
    <numFmt numFmtId="209" formatCode="0.000"/>
    <numFmt numFmtId="210" formatCode="hh:mm\ AM/PM"/>
    <numFmt numFmtId="211" formatCode="0.0%"/>
    <numFmt numFmtId="212" formatCode="m&quot;月&quot;d&quot;日&quot;;@"/>
    <numFmt numFmtId="213" formatCode="0.000000"/>
    <numFmt numFmtId="214" formatCode="\&lt;0.0"/>
    <numFmt numFmtId="215" formatCode="\&lt;0"/>
    <numFmt numFmtId="216" formatCode="yyyy&quot;年&quot;m&quot;月&quot;d&quot;日&quot;;@"/>
    <numFmt numFmtId="217" formatCode="[$-F800]dddd\,\ mmmm\ dd\,\ yyyy"/>
    <numFmt numFmtId="218" formatCode="mmm\-yyyy"/>
    <numFmt numFmtId="219" formatCode="0.00000_ "/>
    <numFmt numFmtId="220" formatCode="[&lt;=999]0.000;[&lt;=9999]000\-00;000\-0000"/>
    <numFmt numFmtId="221" formatCode="[&lt;=999]0.0;[&lt;=9999]000\-00;000\-0000"/>
    <numFmt numFmtId="222" formatCode="[&lt;=999]00.0;[&lt;=9999]000\-00;000\-0000"/>
    <numFmt numFmtId="223" formatCode="0.0000"/>
    <numFmt numFmtId="224" formatCode="m/d\ h:mm"/>
    <numFmt numFmtId="225" formatCode="#,##0.0000_);[Red]\(#,##0.0000\)"/>
    <numFmt numFmtId="226" formatCode="#,##0.00000_ "/>
    <numFmt numFmtId="227" formatCode="0.00000_);[Red]\(0.00000\)"/>
    <numFmt numFmtId="228" formatCode="0.000000_ "/>
    <numFmt numFmtId="229" formatCode="0_ ;[Red]\-0\ "/>
    <numFmt numFmtId="230" formatCode="#,##0_ ;[Red]\-#,##0\ "/>
  </numFmts>
  <fonts count="3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.9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4"/>
      <name val="ＭＳ 明朝"/>
      <family val="1"/>
    </font>
    <font>
      <u val="single"/>
      <sz val="9.9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7"/>
      <name val="ＭＳ 明朝"/>
      <family val="1"/>
    </font>
    <font>
      <vertAlign val="subscript"/>
      <sz val="10"/>
      <name val="ＭＳ 明朝"/>
      <family val="1"/>
    </font>
    <font>
      <vertAlign val="superscript"/>
      <sz val="10"/>
      <name val="ＭＳ 明朝"/>
      <family val="1"/>
    </font>
    <font>
      <sz val="11"/>
      <name val="ＭＳ 明朝"/>
      <family val="1"/>
    </font>
    <font>
      <u val="single"/>
      <sz val="10"/>
      <name val="ＭＳ 明朝"/>
      <family val="1"/>
    </font>
    <font>
      <i/>
      <sz val="10"/>
      <name val="ＭＳ 明朝"/>
      <family val="1"/>
    </font>
    <font>
      <sz val="10"/>
      <color indexed="8"/>
      <name val="ＭＳ 明朝"/>
      <family val="1"/>
    </font>
    <font>
      <sz val="10"/>
      <name val="ＭＳ Ｐゴシック"/>
      <family val="3"/>
    </font>
    <font>
      <sz val="10"/>
      <color indexed="10"/>
      <name val="ＭＳ 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8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hair"/>
      <right style="hair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1185">
    <xf numFmtId="0" fontId="0" fillId="0" borderId="0" xfId="0" applyAlignment="1">
      <alignment vertical="center"/>
    </xf>
    <xf numFmtId="0" fontId="22" fillId="0" borderId="10" xfId="0" applyFont="1" applyBorder="1" applyAlignment="1">
      <alignment vertical="center"/>
    </xf>
    <xf numFmtId="0" fontId="22" fillId="0" borderId="10" xfId="62" applyFont="1" applyBorder="1">
      <alignment/>
      <protection/>
    </xf>
    <xf numFmtId="185" fontId="22" fillId="0" borderId="0" xfId="0" applyNumberFormat="1" applyFont="1" applyFill="1" applyAlignment="1">
      <alignment vertical="center"/>
    </xf>
    <xf numFmtId="0" fontId="22" fillId="0" borderId="0" xfId="63" applyFont="1">
      <alignment/>
      <protection/>
    </xf>
    <xf numFmtId="0" fontId="22" fillId="0" borderId="11" xfId="63" applyFont="1" applyFill="1" applyBorder="1" applyAlignment="1">
      <alignment horizontal="center" vertical="center"/>
      <protection/>
    </xf>
    <xf numFmtId="0" fontId="22" fillId="0" borderId="11" xfId="61" applyFont="1" applyFill="1" applyBorder="1" applyAlignment="1">
      <alignment horizontal="center" vertical="center" shrinkToFit="1"/>
      <protection/>
    </xf>
    <xf numFmtId="0" fontId="22" fillId="0" borderId="12" xfId="61" applyFont="1" applyFill="1" applyBorder="1" applyAlignment="1">
      <alignment horizontal="center" vertical="center"/>
      <protection/>
    </xf>
    <xf numFmtId="0" fontId="22" fillId="0" borderId="13" xfId="61" applyFont="1" applyFill="1" applyBorder="1" applyAlignment="1">
      <alignment horizontal="center" vertical="center"/>
      <protection/>
    </xf>
    <xf numFmtId="0" fontId="22" fillId="0" borderId="14" xfId="61" applyFont="1" applyFill="1" applyBorder="1" applyAlignment="1">
      <alignment horizontal="center" vertical="center"/>
      <protection/>
    </xf>
    <xf numFmtId="0" fontId="22" fillId="0" borderId="15" xfId="61" applyFont="1" applyFill="1" applyBorder="1" applyAlignment="1">
      <alignment horizontal="center" vertical="center"/>
      <protection/>
    </xf>
    <xf numFmtId="0" fontId="22" fillId="0" borderId="16" xfId="61" applyFont="1" applyFill="1" applyBorder="1" applyAlignment="1">
      <alignment horizontal="center" vertical="center"/>
      <protection/>
    </xf>
    <xf numFmtId="0" fontId="22" fillId="0" borderId="17" xfId="61" applyFont="1" applyFill="1" applyBorder="1" applyAlignment="1">
      <alignment horizontal="center" vertical="center" shrinkToFit="1"/>
      <protection/>
    </xf>
    <xf numFmtId="0" fontId="22" fillId="0" borderId="18" xfId="61" applyFont="1" applyFill="1" applyBorder="1" applyAlignment="1">
      <alignment horizontal="center" vertical="center" shrinkToFit="1"/>
      <protection/>
    </xf>
    <xf numFmtId="0" fontId="22" fillId="0" borderId="19" xfId="61" applyFont="1" applyFill="1" applyBorder="1" applyAlignment="1">
      <alignment horizontal="center" vertical="center" shrinkToFit="1"/>
      <protection/>
    </xf>
    <xf numFmtId="0" fontId="22" fillId="0" borderId="11" xfId="61" applyFont="1" applyFill="1" applyBorder="1" applyAlignment="1">
      <alignment horizontal="center" vertical="center"/>
      <protection/>
    </xf>
    <xf numFmtId="0" fontId="22" fillId="0" borderId="0" xfId="61" applyFont="1" applyFill="1" applyBorder="1" applyAlignment="1">
      <alignment horizontal="center" vertical="center"/>
      <protection/>
    </xf>
    <xf numFmtId="185" fontId="22" fillId="0" borderId="11" xfId="62" applyNumberFormat="1" applyFont="1" applyFill="1" applyBorder="1" applyAlignment="1">
      <alignment horizontal="center" vertical="center"/>
      <protection/>
    </xf>
    <xf numFmtId="0" fontId="22" fillId="0" borderId="20" xfId="63" applyFont="1" applyFill="1" applyBorder="1" applyAlignment="1">
      <alignment horizontal="center" vertical="center"/>
      <protection/>
    </xf>
    <xf numFmtId="185" fontId="22" fillId="0" borderId="21" xfId="62" applyNumberFormat="1" applyFont="1" applyFill="1" applyBorder="1" applyAlignment="1">
      <alignment horizontal="center" vertical="center"/>
      <protection/>
    </xf>
    <xf numFmtId="0" fontId="22" fillId="0" borderId="22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186" fontId="22" fillId="0" borderId="22" xfId="0" applyNumberFormat="1" applyFont="1" applyBorder="1" applyAlignment="1">
      <alignment vertical="center"/>
    </xf>
    <xf numFmtId="193" fontId="22" fillId="0" borderId="23" xfId="0" applyNumberFormat="1" applyFont="1" applyFill="1" applyBorder="1" applyAlignment="1">
      <alignment vertical="center"/>
    </xf>
    <xf numFmtId="0" fontId="22" fillId="0" borderId="24" xfId="0" applyFont="1" applyBorder="1" applyAlignment="1">
      <alignment horizontal="center" vertical="center"/>
    </xf>
    <xf numFmtId="186" fontId="22" fillId="0" borderId="24" xfId="0" applyNumberFormat="1" applyFont="1" applyBorder="1" applyAlignment="1">
      <alignment vertical="center"/>
    </xf>
    <xf numFmtId="193" fontId="22" fillId="0" borderId="24" xfId="0" applyNumberFormat="1" applyFont="1" applyFill="1" applyBorder="1" applyAlignment="1">
      <alignment vertical="center"/>
    </xf>
    <xf numFmtId="193" fontId="22" fillId="0" borderId="24" xfId="0" applyNumberFormat="1" applyFont="1" applyBorder="1" applyAlignment="1">
      <alignment vertical="center"/>
    </xf>
    <xf numFmtId="185" fontId="22" fillId="0" borderId="24" xfId="62" applyNumberFormat="1" applyFont="1" applyFill="1" applyBorder="1" applyAlignment="1">
      <alignment horizontal="center"/>
      <protection/>
    </xf>
    <xf numFmtId="185" fontId="22" fillId="0" borderId="25" xfId="62" applyNumberFormat="1" applyFont="1" applyFill="1" applyBorder="1" applyAlignment="1">
      <alignment horizontal="center"/>
      <protection/>
    </xf>
    <xf numFmtId="0" fontId="22" fillId="0" borderId="23" xfId="0" applyFont="1" applyFill="1" applyBorder="1" applyAlignment="1">
      <alignment horizontal="center" vertical="center"/>
    </xf>
    <xf numFmtId="186" fontId="22" fillId="0" borderId="23" xfId="0" applyNumberFormat="1" applyFont="1" applyBorder="1" applyAlignment="1">
      <alignment vertical="center"/>
    </xf>
    <xf numFmtId="193" fontId="22" fillId="0" borderId="26" xfId="0" applyNumberFormat="1" applyFont="1" applyFill="1" applyBorder="1" applyAlignment="1">
      <alignment vertical="center"/>
    </xf>
    <xf numFmtId="0" fontId="22" fillId="0" borderId="24" xfId="0" applyFont="1" applyFill="1" applyBorder="1" applyAlignment="1">
      <alignment horizontal="center" vertical="center"/>
    </xf>
    <xf numFmtId="0" fontId="22" fillId="0" borderId="27" xfId="0" applyFont="1" applyFill="1" applyBorder="1" applyAlignment="1">
      <alignment horizontal="center" vertical="center"/>
    </xf>
    <xf numFmtId="186" fontId="22" fillId="0" borderId="27" xfId="0" applyNumberFormat="1" applyFont="1" applyBorder="1" applyAlignment="1">
      <alignment vertical="center"/>
    </xf>
    <xf numFmtId="193" fontId="22" fillId="0" borderId="27" xfId="0" applyNumberFormat="1" applyFont="1" applyFill="1" applyBorder="1" applyAlignment="1">
      <alignment vertical="center"/>
    </xf>
    <xf numFmtId="185" fontId="22" fillId="0" borderId="27" xfId="62" applyNumberFormat="1" applyFont="1" applyFill="1" applyBorder="1" applyAlignment="1">
      <alignment horizontal="center"/>
      <protection/>
    </xf>
    <xf numFmtId="0" fontId="22" fillId="0" borderId="22" xfId="0" applyFont="1" applyFill="1" applyBorder="1" applyAlignment="1">
      <alignment horizontal="center" vertical="center"/>
    </xf>
    <xf numFmtId="193" fontId="22" fillId="0" borderId="22" xfId="0" applyNumberFormat="1" applyFont="1" applyFill="1" applyBorder="1" applyAlignment="1">
      <alignment vertical="center"/>
    </xf>
    <xf numFmtId="186" fontId="22" fillId="0" borderId="23" xfId="62" applyNumberFormat="1" applyFont="1" applyFill="1" applyBorder="1" applyAlignment="1">
      <alignment horizontal="right"/>
      <protection/>
    </xf>
    <xf numFmtId="185" fontId="22" fillId="0" borderId="23" xfId="62" applyNumberFormat="1" applyFont="1" applyFill="1" applyBorder="1" applyAlignment="1">
      <alignment horizontal="center"/>
      <protection/>
    </xf>
    <xf numFmtId="186" fontId="22" fillId="0" borderId="24" xfId="62" applyNumberFormat="1" applyFont="1" applyFill="1" applyBorder="1" applyAlignment="1">
      <alignment/>
      <protection/>
    </xf>
    <xf numFmtId="0" fontId="22" fillId="0" borderId="11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/>
    </xf>
    <xf numFmtId="177" fontId="22" fillId="0" borderId="24" xfId="62" applyNumberFormat="1" applyFont="1" applyFill="1" applyBorder="1" applyAlignment="1">
      <alignment horizontal="center"/>
      <protection/>
    </xf>
    <xf numFmtId="177" fontId="22" fillId="0" borderId="23" xfId="62" applyNumberFormat="1" applyFont="1" applyFill="1" applyBorder="1" applyAlignment="1">
      <alignment horizontal="center"/>
      <protection/>
    </xf>
    <xf numFmtId="177" fontId="22" fillId="0" borderId="27" xfId="62" applyNumberFormat="1" applyFont="1" applyFill="1" applyBorder="1" applyAlignment="1">
      <alignment horizontal="center"/>
      <protection/>
    </xf>
    <xf numFmtId="0" fontId="22" fillId="0" borderId="0" xfId="0" applyFont="1" applyFill="1" applyBorder="1" applyAlignment="1">
      <alignment horizontal="center" vertical="center"/>
    </xf>
    <xf numFmtId="0" fontId="22" fillId="0" borderId="0" xfId="62" applyFont="1">
      <alignment/>
      <protection/>
    </xf>
    <xf numFmtId="0" fontId="22" fillId="0" borderId="0" xfId="63" applyFont="1" applyFill="1">
      <alignment/>
      <protection/>
    </xf>
    <xf numFmtId="177" fontId="22" fillId="0" borderId="0" xfId="0" applyNumberFormat="1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185" fontId="22" fillId="0" borderId="0" xfId="0" applyNumberFormat="1" applyFont="1" applyFill="1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15" xfId="62" applyFont="1" applyFill="1" applyBorder="1" applyAlignment="1">
      <alignment horizontal="center" vertical="center"/>
      <protection/>
    </xf>
    <xf numFmtId="0" fontId="22" fillId="0" borderId="15" xfId="62" applyFont="1" applyFill="1" applyBorder="1" applyAlignment="1">
      <alignment horizontal="center" vertical="center" shrinkToFit="1"/>
      <protection/>
    </xf>
    <xf numFmtId="190" fontId="22" fillId="0" borderId="15" xfId="62" applyNumberFormat="1" applyFont="1" applyFill="1" applyBorder="1" applyAlignment="1">
      <alignment horizontal="center" vertical="center"/>
      <protection/>
    </xf>
    <xf numFmtId="0" fontId="22" fillId="0" borderId="21" xfId="62" applyFont="1" applyFill="1" applyBorder="1" applyAlignment="1">
      <alignment horizontal="center" vertical="center"/>
      <protection/>
    </xf>
    <xf numFmtId="190" fontId="22" fillId="0" borderId="21" xfId="62" applyNumberFormat="1" applyFont="1" applyFill="1" applyBorder="1" applyAlignment="1">
      <alignment horizontal="center" vertical="center"/>
      <protection/>
    </xf>
    <xf numFmtId="193" fontId="22" fillId="0" borderId="23" xfId="62" applyNumberFormat="1" applyFont="1" applyFill="1" applyBorder="1" applyAlignment="1">
      <alignment horizontal="right"/>
      <protection/>
    </xf>
    <xf numFmtId="181" fontId="22" fillId="0" borderId="23" xfId="62" applyNumberFormat="1" applyFont="1" applyFill="1" applyBorder="1" applyAlignment="1">
      <alignment horizontal="right"/>
      <protection/>
    </xf>
    <xf numFmtId="183" fontId="22" fillId="0" borderId="23" xfId="62" applyNumberFormat="1" applyFont="1" applyFill="1" applyBorder="1" applyAlignment="1">
      <alignment horizontal="right"/>
      <protection/>
    </xf>
    <xf numFmtId="193" fontId="22" fillId="0" borderId="22" xfId="62" applyNumberFormat="1" applyFont="1" applyFill="1" applyBorder="1" applyAlignment="1">
      <alignment horizontal="right"/>
      <protection/>
    </xf>
    <xf numFmtId="181" fontId="22" fillId="0" borderId="22" xfId="62" applyNumberFormat="1" applyFont="1" applyFill="1" applyBorder="1" applyAlignment="1">
      <alignment horizontal="right"/>
      <protection/>
    </xf>
    <xf numFmtId="186" fontId="22" fillId="0" borderId="22" xfId="62" applyNumberFormat="1" applyFont="1" applyFill="1" applyBorder="1" applyAlignment="1">
      <alignment horizontal="right"/>
      <protection/>
    </xf>
    <xf numFmtId="183" fontId="22" fillId="0" borderId="22" xfId="62" applyNumberFormat="1" applyFont="1" applyFill="1" applyBorder="1" applyAlignment="1">
      <alignment horizontal="right"/>
      <protection/>
    </xf>
    <xf numFmtId="189" fontId="22" fillId="0" borderId="24" xfId="62" applyNumberFormat="1" applyFont="1" applyFill="1" applyBorder="1" applyAlignment="1">
      <alignment/>
      <protection/>
    </xf>
    <xf numFmtId="190" fontId="22" fillId="0" borderId="24" xfId="62" applyNumberFormat="1" applyFont="1" applyFill="1" applyBorder="1" applyAlignment="1">
      <alignment horizontal="center"/>
      <protection/>
    </xf>
    <xf numFmtId="193" fontId="22" fillId="0" borderId="24" xfId="62" applyNumberFormat="1" applyFont="1" applyFill="1" applyBorder="1" applyAlignment="1">
      <alignment horizontal="right"/>
      <protection/>
    </xf>
    <xf numFmtId="181" fontId="22" fillId="0" borderId="24" xfId="62" applyNumberFormat="1" applyFont="1" applyFill="1" applyBorder="1" applyAlignment="1">
      <alignment horizontal="right"/>
      <protection/>
    </xf>
    <xf numFmtId="186" fontId="22" fillId="0" borderId="24" xfId="62" applyNumberFormat="1" applyFont="1" applyFill="1" applyBorder="1" applyAlignment="1">
      <alignment horizontal="right"/>
      <protection/>
    </xf>
    <xf numFmtId="183" fontId="22" fillId="0" borderId="24" xfId="62" applyNumberFormat="1" applyFont="1" applyFill="1" applyBorder="1" applyAlignment="1">
      <alignment horizontal="right"/>
      <protection/>
    </xf>
    <xf numFmtId="193" fontId="22" fillId="0" borderId="27" xfId="62" applyNumberFormat="1" applyFont="1" applyFill="1" applyBorder="1" applyAlignment="1">
      <alignment horizontal="right"/>
      <protection/>
    </xf>
    <xf numFmtId="181" fontId="22" fillId="0" borderId="27" xfId="62" applyNumberFormat="1" applyFont="1" applyFill="1" applyBorder="1" applyAlignment="1">
      <alignment horizontal="right"/>
      <protection/>
    </xf>
    <xf numFmtId="186" fontId="22" fillId="0" borderId="27" xfId="62" applyNumberFormat="1" applyFont="1" applyFill="1" applyBorder="1" applyAlignment="1">
      <alignment horizontal="right"/>
      <protection/>
    </xf>
    <xf numFmtId="183" fontId="22" fillId="0" borderId="27" xfId="62" applyNumberFormat="1" applyFont="1" applyFill="1" applyBorder="1" applyAlignment="1">
      <alignment horizontal="right"/>
      <protection/>
    </xf>
    <xf numFmtId="189" fontId="22" fillId="0" borderId="27" xfId="62" applyNumberFormat="1" applyFont="1" applyFill="1" applyBorder="1" applyAlignment="1">
      <alignment/>
      <protection/>
    </xf>
    <xf numFmtId="190" fontId="22" fillId="0" borderId="27" xfId="62" applyNumberFormat="1" applyFont="1" applyFill="1" applyBorder="1" applyAlignment="1">
      <alignment horizontal="center"/>
      <protection/>
    </xf>
    <xf numFmtId="193" fontId="22" fillId="0" borderId="23" xfId="62" applyNumberFormat="1" applyFont="1" applyFill="1" applyBorder="1" applyAlignment="1">
      <alignment/>
      <protection/>
    </xf>
    <xf numFmtId="186" fontId="22" fillId="0" borderId="23" xfId="62" applyNumberFormat="1" applyFont="1" applyFill="1" applyBorder="1" applyAlignment="1">
      <alignment/>
      <protection/>
    </xf>
    <xf numFmtId="193" fontId="22" fillId="0" borderId="24" xfId="62" applyNumberFormat="1" applyFont="1" applyFill="1" applyBorder="1" applyAlignment="1">
      <alignment/>
      <protection/>
    </xf>
    <xf numFmtId="181" fontId="22" fillId="0" borderId="24" xfId="62" applyNumberFormat="1" applyFont="1" applyFill="1" applyBorder="1" applyAlignment="1">
      <alignment/>
      <protection/>
    </xf>
    <xf numFmtId="193" fontId="22" fillId="0" borderId="27" xfId="62" applyNumberFormat="1" applyFont="1" applyFill="1" applyBorder="1" applyAlignment="1">
      <alignment/>
      <protection/>
    </xf>
    <xf numFmtId="181" fontId="22" fillId="0" borderId="27" xfId="62" applyNumberFormat="1" applyFont="1" applyFill="1" applyBorder="1" applyAlignment="1">
      <alignment/>
      <protection/>
    </xf>
    <xf numFmtId="186" fontId="22" fillId="0" borderId="27" xfId="62" applyNumberFormat="1" applyFont="1" applyFill="1" applyBorder="1" applyAlignment="1">
      <alignment/>
      <protection/>
    </xf>
    <xf numFmtId="189" fontId="22" fillId="0" borderId="23" xfId="62" applyNumberFormat="1" applyFont="1" applyFill="1" applyBorder="1" applyAlignment="1">
      <alignment/>
      <protection/>
    </xf>
    <xf numFmtId="193" fontId="22" fillId="0" borderId="15" xfId="62" applyNumberFormat="1" applyFont="1" applyFill="1" applyBorder="1" applyAlignment="1">
      <alignment horizontal="right"/>
      <protection/>
    </xf>
    <xf numFmtId="190" fontId="22" fillId="0" borderId="23" xfId="62" applyNumberFormat="1" applyFont="1" applyFill="1" applyBorder="1" applyAlignment="1">
      <alignment horizontal="center"/>
      <protection/>
    </xf>
    <xf numFmtId="190" fontId="22" fillId="0" borderId="22" xfId="62" applyNumberFormat="1" applyFont="1" applyFill="1" applyBorder="1" applyAlignment="1">
      <alignment horizontal="center"/>
      <protection/>
    </xf>
    <xf numFmtId="183" fontId="22" fillId="0" borderId="24" xfId="62" applyNumberFormat="1" applyFont="1" applyFill="1" applyBorder="1" applyAlignment="1">
      <alignment/>
      <protection/>
    </xf>
    <xf numFmtId="193" fontId="22" fillId="0" borderId="25" xfId="62" applyNumberFormat="1" applyFont="1" applyFill="1" applyBorder="1" applyAlignment="1">
      <alignment horizontal="right"/>
      <protection/>
    </xf>
    <xf numFmtId="181" fontId="22" fillId="0" borderId="25" xfId="62" applyNumberFormat="1" applyFont="1" applyFill="1" applyBorder="1" applyAlignment="1">
      <alignment horizontal="right"/>
      <protection/>
    </xf>
    <xf numFmtId="186" fontId="22" fillId="0" borderId="25" xfId="62" applyNumberFormat="1" applyFont="1" applyFill="1" applyBorder="1" applyAlignment="1">
      <alignment horizontal="right"/>
      <protection/>
    </xf>
    <xf numFmtId="183" fontId="22" fillId="0" borderId="25" xfId="62" applyNumberFormat="1" applyFont="1" applyFill="1" applyBorder="1" applyAlignment="1">
      <alignment horizontal="right"/>
      <protection/>
    </xf>
    <xf numFmtId="190" fontId="22" fillId="0" borderId="25" xfId="62" applyNumberFormat="1" applyFont="1" applyFill="1" applyBorder="1" applyAlignment="1">
      <alignment horizontal="center"/>
      <protection/>
    </xf>
    <xf numFmtId="0" fontId="22" fillId="0" borderId="21" xfId="0" applyFont="1" applyFill="1" applyBorder="1" applyAlignment="1">
      <alignment horizontal="center" vertical="center"/>
    </xf>
    <xf numFmtId="181" fontId="22" fillId="0" borderId="23" xfId="62" applyNumberFormat="1" applyFont="1" applyFill="1" applyBorder="1" applyAlignment="1">
      <alignment/>
      <protection/>
    </xf>
    <xf numFmtId="183" fontId="22" fillId="0" borderId="23" xfId="62" applyNumberFormat="1" applyFont="1" applyFill="1" applyBorder="1" applyAlignment="1">
      <alignment/>
      <protection/>
    </xf>
    <xf numFmtId="183" fontId="22" fillId="0" borderId="27" xfId="62" applyNumberFormat="1" applyFont="1" applyFill="1" applyBorder="1" applyAlignment="1">
      <alignment/>
      <protection/>
    </xf>
    <xf numFmtId="0" fontId="22" fillId="0" borderId="0" xfId="62" applyFont="1" applyFill="1" applyAlignment="1">
      <alignment/>
      <protection/>
    </xf>
    <xf numFmtId="190" fontId="22" fillId="0" borderId="0" xfId="62" applyNumberFormat="1" applyFont="1">
      <alignment/>
      <protection/>
    </xf>
    <xf numFmtId="0" fontId="22" fillId="0" borderId="0" xfId="62" applyFont="1" applyAlignment="1">
      <alignment/>
      <protection/>
    </xf>
    <xf numFmtId="191" fontId="22" fillId="0" borderId="24" xfId="0" applyNumberFormat="1" applyFont="1" applyBorder="1" applyAlignment="1">
      <alignment vertical="center"/>
    </xf>
    <xf numFmtId="185" fontId="22" fillId="0" borderId="24" xfId="0" applyNumberFormat="1" applyFont="1" applyBorder="1" applyAlignment="1">
      <alignment vertical="center"/>
    </xf>
    <xf numFmtId="187" fontId="22" fillId="0" borderId="28" xfId="0" applyNumberFormat="1" applyFont="1" applyBorder="1" applyAlignment="1">
      <alignment vertical="center"/>
    </xf>
    <xf numFmtId="187" fontId="22" fillId="0" borderId="27" xfId="0" applyNumberFormat="1" applyFont="1" applyFill="1" applyBorder="1" applyAlignment="1">
      <alignment vertical="center"/>
    </xf>
    <xf numFmtId="189" fontId="22" fillId="0" borderId="24" xfId="0" applyNumberFormat="1" applyFont="1" applyBorder="1" applyAlignment="1">
      <alignment vertical="center"/>
    </xf>
    <xf numFmtId="193" fontId="22" fillId="0" borderId="19" xfId="0" applyNumberFormat="1" applyFont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187" fontId="22" fillId="0" borderId="0" xfId="0" applyNumberFormat="1" applyFont="1" applyFill="1" applyBorder="1" applyAlignment="1">
      <alignment vertical="center"/>
    </xf>
    <xf numFmtId="191" fontId="22" fillId="0" borderId="23" xfId="0" applyNumberFormat="1" applyFont="1" applyBorder="1" applyAlignment="1">
      <alignment vertical="center"/>
    </xf>
    <xf numFmtId="186" fontId="22" fillId="0" borderId="28" xfId="0" applyNumberFormat="1" applyFont="1" applyBorder="1" applyAlignment="1">
      <alignment vertical="center"/>
    </xf>
    <xf numFmtId="186" fontId="22" fillId="0" borderId="19" xfId="0" applyNumberFormat="1" applyFont="1" applyBorder="1" applyAlignment="1">
      <alignment vertical="center"/>
    </xf>
    <xf numFmtId="191" fontId="22" fillId="0" borderId="27" xfId="0" applyNumberFormat="1" applyFont="1" applyBorder="1" applyAlignment="1">
      <alignment vertical="center"/>
    </xf>
    <xf numFmtId="191" fontId="22" fillId="0" borderId="22" xfId="0" applyNumberFormat="1" applyFont="1" applyBorder="1" applyAlignment="1">
      <alignment vertical="center"/>
    </xf>
    <xf numFmtId="193" fontId="22" fillId="0" borderId="29" xfId="0" applyNumberFormat="1" applyFont="1" applyBorder="1" applyAlignment="1">
      <alignment vertical="center"/>
    </xf>
    <xf numFmtId="0" fontId="22" fillId="0" borderId="0" xfId="0" applyFont="1" applyAlignment="1">
      <alignment horizontal="center" vertical="center"/>
    </xf>
    <xf numFmtId="176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vertical="center"/>
    </xf>
    <xf numFmtId="191" fontId="22" fillId="0" borderId="0" xfId="0" applyNumberFormat="1" applyFont="1" applyAlignment="1">
      <alignment vertical="center"/>
    </xf>
    <xf numFmtId="178" fontId="22" fillId="0" borderId="0" xfId="0" applyNumberFormat="1" applyFont="1" applyAlignment="1">
      <alignment vertical="center"/>
    </xf>
    <xf numFmtId="178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 horizontal="left" vertical="center"/>
    </xf>
    <xf numFmtId="185" fontId="22" fillId="0" borderId="10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26" fillId="0" borderId="0" xfId="62" applyFont="1">
      <alignment/>
      <protection/>
    </xf>
    <xf numFmtId="0" fontId="22" fillId="0" borderId="30" xfId="62" applyFont="1" applyFill="1" applyBorder="1" applyAlignment="1">
      <alignment horizontal="center" vertical="center"/>
      <protection/>
    </xf>
    <xf numFmtId="0" fontId="22" fillId="0" borderId="15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/>
    </xf>
    <xf numFmtId="190" fontId="22" fillId="0" borderId="31" xfId="62" applyNumberFormat="1" applyFont="1" applyFill="1" applyBorder="1" applyAlignment="1">
      <alignment horizontal="center" vertical="center"/>
      <protection/>
    </xf>
    <xf numFmtId="189" fontId="22" fillId="0" borderId="32" xfId="62" applyNumberFormat="1" applyFont="1" applyFill="1" applyBorder="1" applyAlignment="1">
      <alignment/>
      <protection/>
    </xf>
    <xf numFmtId="189" fontId="22" fillId="0" borderId="28" xfId="62" applyNumberFormat="1" applyFont="1" applyFill="1" applyBorder="1" applyAlignment="1">
      <alignment/>
      <protection/>
    </xf>
    <xf numFmtId="189" fontId="22" fillId="0" borderId="33" xfId="62" applyNumberFormat="1" applyFont="1" applyFill="1" applyBorder="1" applyAlignment="1">
      <alignment/>
      <protection/>
    </xf>
    <xf numFmtId="189" fontId="22" fillId="0" borderId="34" xfId="62" applyNumberFormat="1" applyFont="1" applyFill="1" applyBorder="1" applyAlignment="1">
      <alignment/>
      <protection/>
    </xf>
    <xf numFmtId="187" fontId="22" fillId="0" borderId="30" xfId="62" applyNumberFormat="1" applyFont="1" applyFill="1" applyBorder="1" applyAlignment="1">
      <alignment horizontal="center" vertical="center"/>
      <protection/>
    </xf>
    <xf numFmtId="187" fontId="22" fillId="0" borderId="35" xfId="62" applyNumberFormat="1" applyFont="1" applyFill="1" applyBorder="1" applyAlignment="1">
      <alignment horizontal="center" vertical="center"/>
      <protection/>
    </xf>
    <xf numFmtId="187" fontId="0" fillId="0" borderId="35" xfId="0" applyNumberFormat="1" applyBorder="1" applyAlignment="1">
      <alignment horizontal="center" vertical="center"/>
    </xf>
    <xf numFmtId="185" fontId="22" fillId="0" borderId="31" xfId="62" applyNumberFormat="1" applyFont="1" applyFill="1" applyBorder="1" applyAlignment="1">
      <alignment horizontal="center" vertical="center"/>
      <protection/>
    </xf>
    <xf numFmtId="0" fontId="0" fillId="0" borderId="1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86" fontId="22" fillId="0" borderId="22" xfId="62" applyNumberFormat="1" applyFont="1" applyFill="1" applyBorder="1" applyAlignment="1">
      <alignment/>
      <protection/>
    </xf>
    <xf numFmtId="187" fontId="22" fillId="0" borderId="27" xfId="49" applyNumberFormat="1" applyFont="1" applyFill="1" applyBorder="1" applyAlignment="1">
      <alignment/>
    </xf>
    <xf numFmtId="0" fontId="22" fillId="0" borderId="0" xfId="0" applyFont="1" applyBorder="1" applyAlignment="1">
      <alignment horizontal="left" vertical="center"/>
    </xf>
    <xf numFmtId="0" fontId="22" fillId="0" borderId="10" xfId="62" applyFont="1" applyFill="1" applyBorder="1">
      <alignment/>
      <protection/>
    </xf>
    <xf numFmtId="186" fontId="22" fillId="0" borderId="10" xfId="0" applyNumberFormat="1" applyFont="1" applyFill="1" applyBorder="1" applyAlignment="1">
      <alignment vertical="center"/>
    </xf>
    <xf numFmtId="186" fontId="22" fillId="0" borderId="10" xfId="0" applyNumberFormat="1" applyFont="1" applyFill="1" applyBorder="1" applyAlignment="1">
      <alignment vertical="center"/>
    </xf>
    <xf numFmtId="0" fontId="22" fillId="0" borderId="10" xfId="63" applyFont="1" applyFill="1" applyBorder="1">
      <alignment/>
      <protection/>
    </xf>
    <xf numFmtId="0" fontId="0" fillId="0" borderId="10" xfId="0" applyFill="1" applyBorder="1" applyAlignment="1">
      <alignment vertical="center"/>
    </xf>
    <xf numFmtId="186" fontId="22" fillId="0" borderId="11" xfId="63" applyNumberFormat="1" applyFont="1" applyFill="1" applyBorder="1" applyAlignment="1">
      <alignment vertical="center"/>
      <protection/>
    </xf>
    <xf numFmtId="186" fontId="22" fillId="0" borderId="36" xfId="63" applyNumberFormat="1" applyFont="1" applyFill="1" applyBorder="1" applyAlignment="1">
      <alignment horizontal="center" vertical="center"/>
      <protection/>
    </xf>
    <xf numFmtId="186" fontId="22" fillId="0" borderId="11" xfId="63" applyNumberFormat="1" applyFont="1" applyFill="1" applyBorder="1" applyAlignment="1">
      <alignment horizontal="center" vertical="center"/>
      <protection/>
    </xf>
    <xf numFmtId="186" fontId="22" fillId="0" borderId="36" xfId="63" applyNumberFormat="1" applyFont="1" applyFill="1" applyBorder="1" applyAlignment="1">
      <alignment horizontal="center" vertical="center" shrinkToFit="1"/>
      <protection/>
    </xf>
    <xf numFmtId="187" fontId="0" fillId="0" borderId="35" xfId="0" applyNumberFormat="1" applyFill="1" applyBorder="1" applyAlignment="1">
      <alignment horizontal="center" vertical="center"/>
    </xf>
    <xf numFmtId="186" fontId="22" fillId="0" borderId="21" xfId="63" applyNumberFormat="1" applyFont="1" applyFill="1" applyBorder="1" applyAlignment="1">
      <alignment vertical="center"/>
      <protection/>
    </xf>
    <xf numFmtId="186" fontId="22" fillId="0" borderId="20" xfId="63" applyNumberFormat="1" applyFont="1" applyFill="1" applyBorder="1" applyAlignment="1">
      <alignment horizontal="center" vertical="center"/>
      <protection/>
    </xf>
    <xf numFmtId="0" fontId="22" fillId="0" borderId="21" xfId="61" applyFont="1" applyFill="1" applyBorder="1" applyAlignment="1">
      <alignment horizontal="center" vertical="center"/>
      <protection/>
    </xf>
    <xf numFmtId="0" fontId="22" fillId="0" borderId="37" xfId="63" applyFont="1" applyFill="1" applyBorder="1" applyAlignment="1">
      <alignment horizontal="center" vertical="center"/>
      <protection/>
    </xf>
    <xf numFmtId="0" fontId="22" fillId="0" borderId="38" xfId="63" applyFont="1" applyFill="1" applyBorder="1" applyAlignment="1">
      <alignment horizontal="center" vertical="center"/>
      <protection/>
    </xf>
    <xf numFmtId="0" fontId="22" fillId="0" borderId="39" xfId="63" applyFont="1" applyFill="1" applyBorder="1" applyAlignment="1">
      <alignment horizontal="center" vertical="center"/>
      <protection/>
    </xf>
    <xf numFmtId="0" fontId="22" fillId="0" borderId="10" xfId="61" applyFont="1" applyFill="1" applyBorder="1" applyAlignment="1">
      <alignment horizontal="center" vertical="center"/>
      <protection/>
    </xf>
    <xf numFmtId="187" fontId="22" fillId="0" borderId="23" xfId="0" applyNumberFormat="1" applyFont="1" applyFill="1" applyBorder="1" applyAlignment="1">
      <alignment horizontal="right" vertical="center"/>
    </xf>
    <xf numFmtId="0" fontId="22" fillId="0" borderId="0" xfId="62" applyFont="1" applyFill="1">
      <alignment/>
      <protection/>
    </xf>
    <xf numFmtId="186" fontId="22" fillId="0" borderId="0" xfId="0" applyNumberFormat="1" applyFont="1" applyFill="1" applyBorder="1" applyAlignment="1">
      <alignment vertical="center"/>
    </xf>
    <xf numFmtId="186" fontId="22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93" fontId="22" fillId="0" borderId="0" xfId="63" applyNumberFormat="1" applyFont="1" applyFill="1">
      <alignment/>
      <protection/>
    </xf>
    <xf numFmtId="186" fontId="22" fillId="0" borderId="0" xfId="63" applyNumberFormat="1" applyFont="1" applyFill="1" applyAlignment="1">
      <alignment/>
      <protection/>
    </xf>
    <xf numFmtId="186" fontId="22" fillId="0" borderId="0" xfId="63" applyNumberFormat="1" applyFont="1" applyFill="1">
      <alignment/>
      <protection/>
    </xf>
    <xf numFmtId="186" fontId="22" fillId="0" borderId="0" xfId="0" applyNumberFormat="1" applyFont="1" applyFill="1" applyBorder="1" applyAlignment="1">
      <alignment vertical="center"/>
    </xf>
    <xf numFmtId="186" fontId="22" fillId="0" borderId="0" xfId="0" applyNumberFormat="1" applyFont="1" applyFill="1" applyAlignment="1">
      <alignment vertical="center"/>
    </xf>
    <xf numFmtId="0" fontId="22" fillId="0" borderId="0" xfId="63" applyFont="1" applyAlignment="1">
      <alignment horizontal="left"/>
      <protection/>
    </xf>
    <xf numFmtId="193" fontId="22" fillId="0" borderId="22" xfId="62" applyNumberFormat="1" applyFont="1" applyFill="1" applyBorder="1" applyAlignment="1">
      <alignment/>
      <protection/>
    </xf>
    <xf numFmtId="187" fontId="22" fillId="0" borderId="22" xfId="49" applyNumberFormat="1" applyFont="1" applyFill="1" applyBorder="1" applyAlignment="1">
      <alignment/>
    </xf>
    <xf numFmtId="181" fontId="22" fillId="0" borderId="22" xfId="62" applyNumberFormat="1" applyFont="1" applyFill="1" applyBorder="1" applyAlignment="1">
      <alignment/>
      <protection/>
    </xf>
    <xf numFmtId="183" fontId="22" fillId="0" borderId="22" xfId="62" applyNumberFormat="1" applyFont="1" applyFill="1" applyBorder="1" applyAlignment="1">
      <alignment/>
      <protection/>
    </xf>
    <xf numFmtId="189" fontId="22" fillId="0" borderId="22" xfId="62" applyNumberFormat="1" applyFont="1" applyFill="1" applyBorder="1" applyAlignment="1">
      <alignment/>
      <protection/>
    </xf>
    <xf numFmtId="190" fontId="22" fillId="0" borderId="22" xfId="62" applyNumberFormat="1" applyFont="1" applyFill="1" applyBorder="1" applyAlignment="1">
      <alignment horizontal="right"/>
      <protection/>
    </xf>
    <xf numFmtId="187" fontId="22" fillId="0" borderId="23" xfId="49" applyNumberFormat="1" applyFont="1" applyFill="1" applyBorder="1" applyAlignment="1">
      <alignment/>
    </xf>
    <xf numFmtId="190" fontId="22" fillId="0" borderId="32" xfId="62" applyNumberFormat="1" applyFont="1" applyFill="1" applyBorder="1" applyAlignment="1">
      <alignment/>
      <protection/>
    </xf>
    <xf numFmtId="56" fontId="22" fillId="0" borderId="23" xfId="0" applyNumberFormat="1" applyFont="1" applyFill="1" applyBorder="1" applyAlignment="1">
      <alignment horizontal="center" vertical="center"/>
    </xf>
    <xf numFmtId="193" fontId="22" fillId="0" borderId="27" xfId="0" applyNumberFormat="1" applyFont="1" applyBorder="1" applyAlignment="1">
      <alignment vertical="center"/>
    </xf>
    <xf numFmtId="193" fontId="22" fillId="0" borderId="40" xfId="0" applyNumberFormat="1" applyFont="1" applyBorder="1" applyAlignment="1">
      <alignment vertical="center"/>
    </xf>
    <xf numFmtId="193" fontId="22" fillId="0" borderId="22" xfId="0" applyNumberFormat="1" applyFont="1" applyBorder="1" applyAlignment="1">
      <alignment vertical="center"/>
    </xf>
    <xf numFmtId="0" fontId="22" fillId="0" borderId="0" xfId="62" applyFont="1" applyAlignment="1">
      <alignment horizontal="center"/>
      <protection/>
    </xf>
    <xf numFmtId="177" fontId="22" fillId="0" borderId="22" xfId="62" applyNumberFormat="1" applyFont="1" applyFill="1" applyBorder="1" applyAlignment="1">
      <alignment horizontal="center"/>
      <protection/>
    </xf>
    <xf numFmtId="0" fontId="18" fillId="0" borderId="0" xfId="62" applyFont="1" applyAlignment="1">
      <alignment horizontal="left"/>
      <protection/>
    </xf>
    <xf numFmtId="185" fontId="22" fillId="0" borderId="32" xfId="62" applyNumberFormat="1" applyFont="1" applyFill="1" applyBorder="1" applyAlignment="1">
      <alignment vertical="center"/>
      <protection/>
    </xf>
    <xf numFmtId="185" fontId="22" fillId="0" borderId="28" xfId="62" applyNumberFormat="1" applyFont="1" applyFill="1" applyBorder="1" applyAlignment="1">
      <alignment vertical="center"/>
      <protection/>
    </xf>
    <xf numFmtId="189" fontId="22" fillId="0" borderId="28" xfId="62" applyNumberFormat="1" applyFont="1" applyFill="1" applyBorder="1" applyAlignment="1">
      <alignment vertical="center"/>
      <protection/>
    </xf>
    <xf numFmtId="185" fontId="22" fillId="0" borderId="33" xfId="62" applyNumberFormat="1" applyFont="1" applyFill="1" applyBorder="1" applyAlignment="1">
      <alignment vertical="center"/>
      <protection/>
    </xf>
    <xf numFmtId="189" fontId="22" fillId="0" borderId="32" xfId="62" applyNumberFormat="1" applyFont="1" applyFill="1" applyBorder="1" applyAlignment="1">
      <alignment vertical="center"/>
      <protection/>
    </xf>
    <xf numFmtId="189" fontId="22" fillId="0" borderId="33" xfId="62" applyNumberFormat="1" applyFont="1" applyFill="1" applyBorder="1" applyAlignment="1">
      <alignment vertical="center"/>
      <protection/>
    </xf>
    <xf numFmtId="189" fontId="22" fillId="0" borderId="41" xfId="62" applyNumberFormat="1" applyFont="1" applyFill="1" applyBorder="1" applyAlignment="1">
      <alignment vertical="center"/>
      <protection/>
    </xf>
    <xf numFmtId="190" fontId="22" fillId="0" borderId="34" xfId="62" applyNumberFormat="1" applyFont="1" applyFill="1" applyBorder="1" applyAlignment="1">
      <alignment vertical="center"/>
      <protection/>
    </xf>
    <xf numFmtId="189" fontId="22" fillId="0" borderId="34" xfId="62" applyNumberFormat="1" applyFont="1" applyFill="1" applyBorder="1" applyAlignment="1">
      <alignment vertical="center"/>
      <protection/>
    </xf>
    <xf numFmtId="190" fontId="22" fillId="0" borderId="28" xfId="62" applyNumberFormat="1" applyFont="1" applyFill="1" applyBorder="1" applyAlignment="1">
      <alignment vertical="center"/>
      <protection/>
    </xf>
    <xf numFmtId="199" fontId="22" fillId="0" borderId="23" xfId="62" applyNumberFormat="1" applyFont="1" applyFill="1" applyBorder="1" applyAlignment="1">
      <alignment vertical="center"/>
      <protection/>
    </xf>
    <xf numFmtId="199" fontId="22" fillId="0" borderId="23" xfId="62" applyNumberFormat="1" applyFont="1" applyFill="1" applyBorder="1" applyAlignment="1">
      <alignment horizontal="right" vertical="center"/>
      <protection/>
    </xf>
    <xf numFmtId="190" fontId="22" fillId="0" borderId="15" xfId="62" applyNumberFormat="1" applyFont="1" applyFill="1" applyBorder="1" applyAlignment="1">
      <alignment horizontal="center"/>
      <protection/>
    </xf>
    <xf numFmtId="199" fontId="22" fillId="0" borderId="24" xfId="62" applyNumberFormat="1" applyFont="1" applyFill="1" applyBorder="1" applyAlignment="1">
      <alignment vertical="center"/>
      <protection/>
    </xf>
    <xf numFmtId="199" fontId="22" fillId="0" borderId="24" xfId="62" applyNumberFormat="1" applyFont="1" applyFill="1" applyBorder="1" applyAlignment="1">
      <alignment horizontal="right" vertical="center"/>
      <protection/>
    </xf>
    <xf numFmtId="190" fontId="22" fillId="0" borderId="11" xfId="62" applyNumberFormat="1" applyFont="1" applyFill="1" applyBorder="1" applyAlignment="1">
      <alignment horizontal="center"/>
      <protection/>
    </xf>
    <xf numFmtId="193" fontId="22" fillId="0" borderId="23" xfId="0" applyNumberFormat="1" applyFont="1" applyBorder="1" applyAlignment="1">
      <alignment vertical="center"/>
    </xf>
    <xf numFmtId="194" fontId="22" fillId="0" borderId="23" xfId="0" applyNumberFormat="1" applyFont="1" applyBorder="1" applyAlignment="1">
      <alignment vertical="center"/>
    </xf>
    <xf numFmtId="191" fontId="22" fillId="0" borderId="32" xfId="0" applyNumberFormat="1" applyFont="1" applyBorder="1" applyAlignment="1">
      <alignment vertical="center"/>
    </xf>
    <xf numFmtId="186" fontId="22" fillId="0" borderId="26" xfId="0" applyNumberFormat="1" applyFont="1" applyBorder="1" applyAlignment="1">
      <alignment vertical="center"/>
    </xf>
    <xf numFmtId="186" fontId="22" fillId="0" borderId="42" xfId="0" applyNumberFormat="1" applyFont="1" applyBorder="1" applyAlignment="1">
      <alignment vertical="center"/>
    </xf>
    <xf numFmtId="185" fontId="22" fillId="0" borderId="23" xfId="0" applyNumberFormat="1" applyFont="1" applyBorder="1" applyAlignment="1">
      <alignment vertical="center"/>
    </xf>
    <xf numFmtId="183" fontId="22" fillId="0" borderId="23" xfId="0" applyNumberFormat="1" applyFont="1" applyBorder="1" applyAlignment="1">
      <alignment vertical="center"/>
    </xf>
    <xf numFmtId="194" fontId="22" fillId="0" borderId="28" xfId="0" applyNumberFormat="1" applyFont="1" applyBorder="1" applyAlignment="1">
      <alignment vertical="center"/>
    </xf>
    <xf numFmtId="186" fontId="22" fillId="0" borderId="18" xfId="0" applyNumberFormat="1" applyFont="1" applyBorder="1" applyAlignment="1">
      <alignment vertical="center"/>
    </xf>
    <xf numFmtId="186" fontId="22" fillId="0" borderId="43" xfId="0" applyNumberFormat="1" applyFont="1" applyBorder="1" applyAlignment="1">
      <alignment vertical="center"/>
    </xf>
    <xf numFmtId="183" fontId="22" fillId="0" borderId="24" xfId="0" applyNumberFormat="1" applyFont="1" applyBorder="1" applyAlignment="1">
      <alignment vertical="center"/>
    </xf>
    <xf numFmtId="194" fontId="22" fillId="0" borderId="24" xfId="0" applyNumberFormat="1" applyFont="1" applyBorder="1" applyAlignment="1">
      <alignment vertical="center"/>
    </xf>
    <xf numFmtId="181" fontId="22" fillId="0" borderId="24" xfId="0" applyNumberFormat="1" applyFont="1" applyBorder="1" applyAlignment="1">
      <alignment vertical="center"/>
    </xf>
    <xf numFmtId="191" fontId="22" fillId="0" borderId="24" xfId="0" applyNumberFormat="1" applyFont="1" applyBorder="1" applyAlignment="1">
      <alignment horizontal="right" vertical="center"/>
    </xf>
    <xf numFmtId="186" fontId="22" fillId="0" borderId="32" xfId="0" applyNumberFormat="1" applyFont="1" applyBorder="1" applyAlignment="1">
      <alignment vertical="center"/>
    </xf>
    <xf numFmtId="186" fontId="22" fillId="0" borderId="26" xfId="0" applyNumberFormat="1" applyFont="1" applyFill="1" applyBorder="1" applyAlignment="1">
      <alignment vertical="center"/>
    </xf>
    <xf numFmtId="182" fontId="22" fillId="0" borderId="44" xfId="0" applyNumberFormat="1" applyFont="1" applyFill="1" applyBorder="1" applyAlignment="1">
      <alignment vertical="center"/>
    </xf>
    <xf numFmtId="186" fontId="22" fillId="0" borderId="18" xfId="0" applyNumberFormat="1" applyFont="1" applyFill="1" applyBorder="1" applyAlignment="1">
      <alignment vertical="center"/>
    </xf>
    <xf numFmtId="186" fontId="22" fillId="0" borderId="19" xfId="0" applyNumberFormat="1" applyFont="1" applyFill="1" applyBorder="1" applyAlignment="1">
      <alignment vertical="center"/>
    </xf>
    <xf numFmtId="182" fontId="22" fillId="0" borderId="19" xfId="0" applyNumberFormat="1" applyFont="1" applyFill="1" applyBorder="1" applyAlignment="1">
      <alignment vertical="center"/>
    </xf>
    <xf numFmtId="182" fontId="22" fillId="0" borderId="24" xfId="0" applyNumberFormat="1" applyFont="1" applyBorder="1" applyAlignment="1">
      <alignment vertical="center"/>
    </xf>
    <xf numFmtId="191" fontId="22" fillId="0" borderId="27" xfId="0" applyNumberFormat="1" applyFont="1" applyBorder="1" applyAlignment="1">
      <alignment horizontal="right" vertical="center"/>
    </xf>
    <xf numFmtId="194" fontId="22" fillId="0" borderId="27" xfId="0" applyNumberFormat="1" applyFont="1" applyBorder="1" applyAlignment="1">
      <alignment vertical="center"/>
    </xf>
    <xf numFmtId="186" fontId="22" fillId="0" borderId="33" xfId="0" applyNumberFormat="1" applyFont="1" applyBorder="1" applyAlignment="1">
      <alignment vertical="center"/>
    </xf>
    <xf numFmtId="186" fontId="22" fillId="0" borderId="45" xfId="0" applyNumberFormat="1" applyFont="1" applyBorder="1" applyAlignment="1">
      <alignment vertical="center"/>
    </xf>
    <xf numFmtId="186" fontId="22" fillId="0" borderId="45" xfId="0" applyNumberFormat="1" applyFont="1" applyFill="1" applyBorder="1" applyAlignment="1">
      <alignment vertical="center"/>
    </xf>
    <xf numFmtId="182" fontId="22" fillId="0" borderId="40" xfId="0" applyNumberFormat="1" applyFont="1" applyFill="1" applyBorder="1" applyAlignment="1">
      <alignment vertical="center"/>
    </xf>
    <xf numFmtId="185" fontId="22" fillId="0" borderId="27" xfId="0" applyNumberFormat="1" applyFont="1" applyBorder="1" applyAlignment="1">
      <alignment vertical="center"/>
    </xf>
    <xf numFmtId="182" fontId="22" fillId="0" borderId="27" xfId="0" applyNumberFormat="1" applyFont="1" applyBorder="1" applyAlignment="1">
      <alignment vertical="center"/>
    </xf>
    <xf numFmtId="194" fontId="22" fillId="0" borderId="22" xfId="0" applyNumberFormat="1" applyFont="1" applyBorder="1" applyAlignment="1">
      <alignment vertical="center"/>
    </xf>
    <xf numFmtId="186" fontId="22" fillId="0" borderId="34" xfId="0" applyNumberFormat="1" applyFont="1" applyBorder="1" applyAlignment="1">
      <alignment vertical="center"/>
    </xf>
    <xf numFmtId="186" fontId="22" fillId="0" borderId="46" xfId="0" applyNumberFormat="1" applyFont="1" applyBorder="1" applyAlignment="1">
      <alignment vertical="center"/>
    </xf>
    <xf numFmtId="186" fontId="22" fillId="0" borderId="29" xfId="0" applyNumberFormat="1" applyFont="1" applyBorder="1" applyAlignment="1">
      <alignment vertical="center"/>
    </xf>
    <xf numFmtId="183" fontId="22" fillId="0" borderId="22" xfId="0" applyNumberFormat="1" applyFont="1" applyBorder="1" applyAlignment="1">
      <alignment vertical="center"/>
    </xf>
    <xf numFmtId="186" fontId="22" fillId="0" borderId="40" xfId="0" applyNumberFormat="1" applyFont="1" applyBorder="1" applyAlignment="1">
      <alignment vertical="center"/>
    </xf>
    <xf numFmtId="183" fontId="22" fillId="0" borderId="27" xfId="0" applyNumberFormat="1" applyFont="1" applyBorder="1" applyAlignment="1">
      <alignment vertical="center"/>
    </xf>
    <xf numFmtId="186" fontId="22" fillId="0" borderId="44" xfId="0" applyNumberFormat="1" applyFont="1" applyFill="1" applyBorder="1" applyAlignment="1">
      <alignment vertical="center"/>
    </xf>
    <xf numFmtId="191" fontId="22" fillId="0" borderId="23" xfId="0" applyNumberFormat="1" applyFont="1" applyBorder="1" applyAlignment="1">
      <alignment horizontal="right" vertical="center"/>
    </xf>
    <xf numFmtId="186" fontId="22" fillId="0" borderId="44" xfId="0" applyNumberFormat="1" applyFont="1" applyBorder="1" applyAlignment="1">
      <alignment vertical="center"/>
    </xf>
    <xf numFmtId="191" fontId="22" fillId="0" borderId="28" xfId="0" applyNumberFormat="1" applyFont="1" applyBorder="1" applyAlignment="1">
      <alignment vertical="center"/>
    </xf>
    <xf numFmtId="190" fontId="22" fillId="0" borderId="24" xfId="0" applyNumberFormat="1" applyFont="1" applyBorder="1" applyAlignment="1">
      <alignment vertical="center"/>
    </xf>
    <xf numFmtId="191" fontId="22" fillId="0" borderId="33" xfId="0" applyNumberFormat="1" applyFont="1" applyBorder="1" applyAlignment="1">
      <alignment vertical="center"/>
    </xf>
    <xf numFmtId="186" fontId="22" fillId="0" borderId="40" xfId="0" applyNumberFormat="1" applyFont="1" applyFill="1" applyBorder="1" applyAlignment="1">
      <alignment vertical="center"/>
    </xf>
    <xf numFmtId="189" fontId="22" fillId="0" borderId="27" xfId="0" applyNumberFormat="1" applyFont="1" applyBorder="1" applyAlignment="1">
      <alignment vertical="center"/>
    </xf>
    <xf numFmtId="191" fontId="22" fillId="0" borderId="26" xfId="0" applyNumberFormat="1" applyFont="1" applyBorder="1" applyAlignment="1">
      <alignment vertical="center"/>
    </xf>
    <xf numFmtId="190" fontId="22" fillId="0" borderId="23" xfId="0" applyNumberFormat="1" applyFont="1" applyBorder="1" applyAlignment="1">
      <alignment vertical="center"/>
    </xf>
    <xf numFmtId="182" fontId="22" fillId="0" borderId="23" xfId="0" applyNumberFormat="1" applyFont="1" applyBorder="1" applyAlignment="1">
      <alignment vertical="center"/>
    </xf>
    <xf numFmtId="193" fontId="22" fillId="0" borderId="25" xfId="0" applyNumberFormat="1" applyFont="1" applyBorder="1" applyAlignment="1">
      <alignment vertical="center"/>
    </xf>
    <xf numFmtId="191" fontId="22" fillId="0" borderId="25" xfId="0" applyNumberFormat="1" applyFont="1" applyBorder="1" applyAlignment="1">
      <alignment vertical="center"/>
    </xf>
    <xf numFmtId="193" fontId="22" fillId="0" borderId="25" xfId="0" applyNumberFormat="1" applyFont="1" applyFill="1" applyBorder="1" applyAlignment="1">
      <alignment vertical="center"/>
    </xf>
    <xf numFmtId="194" fontId="22" fillId="0" borderId="25" xfId="0" applyNumberFormat="1" applyFont="1" applyBorder="1" applyAlignment="1">
      <alignment vertical="center"/>
    </xf>
    <xf numFmtId="186" fontId="22" fillId="0" borderId="41" xfId="0" applyNumberFormat="1" applyFont="1" applyBorder="1" applyAlignment="1">
      <alignment vertical="center"/>
    </xf>
    <xf numFmtId="186" fontId="22" fillId="0" borderId="47" xfId="0" applyNumberFormat="1" applyFont="1" applyBorder="1" applyAlignment="1">
      <alignment vertical="center"/>
    </xf>
    <xf numFmtId="186" fontId="22" fillId="0" borderId="47" xfId="0" applyNumberFormat="1" applyFont="1" applyFill="1" applyBorder="1" applyAlignment="1">
      <alignment vertical="center"/>
    </xf>
    <xf numFmtId="186" fontId="22" fillId="0" borderId="48" xfId="0" applyNumberFormat="1" applyFont="1" applyFill="1" applyBorder="1" applyAlignment="1">
      <alignment vertical="center"/>
    </xf>
    <xf numFmtId="183" fontId="22" fillId="0" borderId="25" xfId="0" applyNumberFormat="1" applyFont="1" applyBorder="1" applyAlignment="1">
      <alignment vertical="center"/>
    </xf>
    <xf numFmtId="187" fontId="22" fillId="0" borderId="22" xfId="0" applyNumberFormat="1" applyFont="1" applyBorder="1" applyAlignment="1">
      <alignment horizontal="right" vertical="center"/>
    </xf>
    <xf numFmtId="187" fontId="22" fillId="0" borderId="34" xfId="0" applyNumberFormat="1" applyFont="1" applyBorder="1" applyAlignment="1">
      <alignment vertical="center"/>
    </xf>
    <xf numFmtId="193" fontId="22" fillId="0" borderId="46" xfId="0" applyNumberFormat="1" applyFont="1" applyBorder="1" applyAlignment="1">
      <alignment vertical="center"/>
    </xf>
    <xf numFmtId="185" fontId="22" fillId="0" borderId="22" xfId="0" applyNumberFormat="1" applyFont="1" applyBorder="1" applyAlignment="1">
      <alignment vertical="center"/>
    </xf>
    <xf numFmtId="187" fontId="22" fillId="0" borderId="24" xfId="0" applyNumberFormat="1" applyFont="1" applyBorder="1" applyAlignment="1">
      <alignment horizontal="right" vertical="center"/>
    </xf>
    <xf numFmtId="193" fontId="22" fillId="0" borderId="18" xfId="0" applyNumberFormat="1" applyFont="1" applyBorder="1" applyAlignment="1">
      <alignment vertical="center"/>
    </xf>
    <xf numFmtId="187" fontId="22" fillId="0" borderId="27" xfId="0" applyNumberFormat="1" applyFont="1" applyBorder="1" applyAlignment="1">
      <alignment vertical="center"/>
    </xf>
    <xf numFmtId="187" fontId="22" fillId="0" borderId="33" xfId="0" applyNumberFormat="1" applyFont="1" applyBorder="1" applyAlignment="1">
      <alignment vertical="center"/>
    </xf>
    <xf numFmtId="193" fontId="22" fillId="0" borderId="45" xfId="0" applyNumberFormat="1" applyFont="1" applyBorder="1" applyAlignment="1">
      <alignment vertical="center"/>
    </xf>
    <xf numFmtId="190" fontId="22" fillId="0" borderId="27" xfId="0" applyNumberFormat="1" applyFont="1" applyBorder="1" applyAlignment="1">
      <alignment vertical="center"/>
    </xf>
    <xf numFmtId="187" fontId="22" fillId="0" borderId="23" xfId="0" applyNumberFormat="1" applyFont="1" applyBorder="1" applyAlignment="1">
      <alignment vertical="center"/>
    </xf>
    <xf numFmtId="193" fontId="22" fillId="0" borderId="32" xfId="0" applyNumberFormat="1" applyFont="1" applyBorder="1" applyAlignment="1">
      <alignment vertical="center"/>
    </xf>
    <xf numFmtId="193" fontId="22" fillId="0" borderId="26" xfId="0" applyNumberFormat="1" applyFont="1" applyBorder="1" applyAlignment="1">
      <alignment vertical="center"/>
    </xf>
    <xf numFmtId="193" fontId="22" fillId="0" borderId="44" xfId="0" applyNumberFormat="1" applyFont="1" applyFill="1" applyBorder="1" applyAlignment="1">
      <alignment vertical="center"/>
    </xf>
    <xf numFmtId="191" fontId="22" fillId="0" borderId="24" xfId="0" applyNumberFormat="1" applyFont="1" applyFill="1" applyBorder="1" applyAlignment="1" quotePrefix="1">
      <alignment vertical="center"/>
    </xf>
    <xf numFmtId="187" fontId="22" fillId="0" borderId="27" xfId="0" applyNumberFormat="1" applyFont="1" applyBorder="1" applyAlignment="1">
      <alignment horizontal="right" vertical="center"/>
    </xf>
    <xf numFmtId="187" fontId="22" fillId="0" borderId="32" xfId="62" applyNumberFormat="1" applyFont="1" applyFill="1" applyBorder="1" applyAlignment="1">
      <alignment vertical="center"/>
      <protection/>
    </xf>
    <xf numFmtId="187" fontId="22" fillId="0" borderId="28" xfId="62" applyNumberFormat="1" applyFont="1" applyFill="1" applyBorder="1" applyAlignment="1">
      <alignment vertical="center"/>
      <protection/>
    </xf>
    <xf numFmtId="187" fontId="22" fillId="0" borderId="41" xfId="62" applyNumberFormat="1" applyFont="1" applyFill="1" applyBorder="1" applyAlignment="1">
      <alignment vertical="center"/>
      <protection/>
    </xf>
    <xf numFmtId="187" fontId="22" fillId="0" borderId="33" xfId="62" applyNumberFormat="1" applyFont="1" applyFill="1" applyBorder="1" applyAlignment="1">
      <alignment vertical="center"/>
      <protection/>
    </xf>
    <xf numFmtId="187" fontId="22" fillId="0" borderId="27" xfId="62" applyNumberFormat="1" applyFont="1" applyFill="1" applyBorder="1" applyAlignment="1">
      <alignment vertical="center"/>
      <protection/>
    </xf>
    <xf numFmtId="185" fontId="22" fillId="0" borderId="23" xfId="62" applyNumberFormat="1" applyFont="1" applyFill="1" applyBorder="1" applyAlignment="1">
      <alignment horizontal="center" vertical="center"/>
      <protection/>
    </xf>
    <xf numFmtId="228" fontId="22" fillId="0" borderId="28" xfId="0" applyNumberFormat="1" applyFont="1" applyFill="1" applyBorder="1" applyAlignment="1">
      <alignment horizontal="center" vertical="center"/>
    </xf>
    <xf numFmtId="228" fontId="22" fillId="0" borderId="33" xfId="0" applyNumberFormat="1" applyFont="1" applyFill="1" applyBorder="1" applyAlignment="1">
      <alignment horizontal="center" vertical="center"/>
    </xf>
    <xf numFmtId="0" fontId="22" fillId="0" borderId="32" xfId="0" applyFont="1" applyFill="1" applyBorder="1" applyAlignment="1">
      <alignment horizontal="center" vertical="center"/>
    </xf>
    <xf numFmtId="0" fontId="22" fillId="0" borderId="34" xfId="0" applyFont="1" applyFill="1" applyBorder="1" applyAlignment="1">
      <alignment horizontal="center" vertical="center"/>
    </xf>
    <xf numFmtId="0" fontId="22" fillId="0" borderId="28" xfId="0" applyFont="1" applyFill="1" applyBorder="1" applyAlignment="1">
      <alignment horizontal="center" vertical="center"/>
    </xf>
    <xf numFmtId="0" fontId="22" fillId="0" borderId="33" xfId="0" applyFont="1" applyFill="1" applyBorder="1" applyAlignment="1">
      <alignment horizontal="center" vertical="center"/>
    </xf>
    <xf numFmtId="228" fontId="22" fillId="0" borderId="32" xfId="0" applyNumberFormat="1" applyFont="1" applyFill="1" applyBorder="1" applyAlignment="1">
      <alignment horizontal="center" vertical="center"/>
    </xf>
    <xf numFmtId="0" fontId="22" fillId="0" borderId="31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0" fontId="22" fillId="0" borderId="41" xfId="0" applyFont="1" applyFill="1" applyBorder="1" applyAlignment="1">
      <alignment horizontal="center" vertical="center"/>
    </xf>
    <xf numFmtId="0" fontId="29" fillId="0" borderId="34" xfId="0" applyFont="1" applyFill="1" applyBorder="1" applyAlignment="1">
      <alignment horizontal="center" vertical="center"/>
    </xf>
    <xf numFmtId="185" fontId="22" fillId="0" borderId="22" xfId="62" applyNumberFormat="1" applyFont="1" applyFill="1" applyBorder="1" applyAlignment="1">
      <alignment horizontal="center"/>
      <protection/>
    </xf>
    <xf numFmtId="178" fontId="22" fillId="0" borderId="24" xfId="62" applyNumberFormat="1" applyFont="1" applyFill="1" applyBorder="1" applyAlignment="1">
      <alignment vertical="center"/>
      <protection/>
    </xf>
    <xf numFmtId="178" fontId="22" fillId="0" borderId="15" xfId="62" applyNumberFormat="1" applyFont="1" applyFill="1" applyBorder="1" applyAlignment="1">
      <alignment horizontal="right" vertical="center"/>
      <protection/>
    </xf>
    <xf numFmtId="178" fontId="22" fillId="0" borderId="15" xfId="62" applyNumberFormat="1" applyFont="1" applyFill="1" applyBorder="1" applyAlignment="1">
      <alignment vertical="center"/>
      <protection/>
    </xf>
    <xf numFmtId="185" fontId="22" fillId="0" borderId="15" xfId="62" applyNumberFormat="1" applyFont="1" applyFill="1" applyBorder="1" applyAlignment="1">
      <alignment horizontal="center"/>
      <protection/>
    </xf>
    <xf numFmtId="178" fontId="22" fillId="0" borderId="24" xfId="62" applyNumberFormat="1" applyFont="1" applyFill="1" applyBorder="1" applyAlignment="1">
      <alignment horizontal="right" vertical="center"/>
      <protection/>
    </xf>
    <xf numFmtId="179" fontId="22" fillId="0" borderId="15" xfId="62" applyNumberFormat="1" applyFont="1" applyFill="1" applyBorder="1" applyAlignment="1">
      <alignment vertical="center"/>
      <protection/>
    </xf>
    <xf numFmtId="179" fontId="22" fillId="0" borderId="24" xfId="62" applyNumberFormat="1" applyFont="1" applyFill="1" applyBorder="1" applyAlignment="1">
      <alignment vertical="center"/>
      <protection/>
    </xf>
    <xf numFmtId="0" fontId="22" fillId="0" borderId="0" xfId="0" applyFont="1" applyFill="1" applyBorder="1" applyAlignment="1">
      <alignment vertical="center" shrinkToFit="1"/>
    </xf>
    <xf numFmtId="0" fontId="28" fillId="0" borderId="0" xfId="0" applyFont="1" applyFill="1" applyBorder="1" applyAlignment="1">
      <alignment vertical="center" shrinkToFit="1"/>
    </xf>
    <xf numFmtId="181" fontId="22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6" fontId="0" fillId="0" borderId="0" xfId="0" applyNumberFormat="1" applyFill="1" applyBorder="1" applyAlignment="1">
      <alignment horizontal="center" vertical="center"/>
    </xf>
    <xf numFmtId="219" fontId="22" fillId="0" borderId="27" xfId="62" applyNumberFormat="1" applyFont="1" applyFill="1" applyBorder="1" applyAlignment="1">
      <alignment vertical="center"/>
      <protection/>
    </xf>
    <xf numFmtId="227" fontId="22" fillId="0" borderId="23" xfId="62" applyNumberFormat="1" applyFont="1" applyFill="1" applyBorder="1" applyAlignment="1">
      <alignment horizontal="center"/>
      <protection/>
    </xf>
    <xf numFmtId="227" fontId="22" fillId="0" borderId="11" xfId="62" applyNumberFormat="1" applyFont="1" applyFill="1" applyBorder="1" applyAlignment="1">
      <alignment horizontal="right"/>
      <protection/>
    </xf>
    <xf numFmtId="190" fontId="22" fillId="0" borderId="27" xfId="62" applyNumberFormat="1" applyFont="1" applyFill="1" applyBorder="1" applyAlignment="1">
      <alignment horizontal="right"/>
      <protection/>
    </xf>
    <xf numFmtId="0" fontId="29" fillId="0" borderId="33" xfId="0" applyFont="1" applyFill="1" applyBorder="1" applyAlignment="1">
      <alignment horizontal="center" vertical="center"/>
    </xf>
    <xf numFmtId="187" fontId="22" fillId="0" borderId="24" xfId="0" applyNumberFormat="1" applyFont="1" applyFill="1" applyBorder="1" applyAlignment="1">
      <alignment horizontal="right" vertical="center"/>
    </xf>
    <xf numFmtId="229" fontId="22" fillId="0" borderId="27" xfId="62" applyNumberFormat="1" applyFont="1" applyFill="1" applyBorder="1" applyAlignment="1">
      <alignment horizontal="right"/>
      <protection/>
    </xf>
    <xf numFmtId="193" fontId="22" fillId="0" borderId="28" xfId="0" applyNumberFormat="1" applyFont="1" applyBorder="1" applyAlignment="1">
      <alignment vertical="center"/>
    </xf>
    <xf numFmtId="181" fontId="22" fillId="0" borderId="23" xfId="0" applyNumberFormat="1" applyFont="1" applyBorder="1" applyAlignment="1">
      <alignment vertical="center"/>
    </xf>
    <xf numFmtId="185" fontId="22" fillId="0" borderId="25" xfId="0" applyNumberFormat="1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4" borderId="15" xfId="0" applyFont="1" applyFill="1" applyBorder="1" applyAlignment="1">
      <alignment horizontal="center" vertical="center"/>
    </xf>
    <xf numFmtId="0" fontId="22" fillId="0" borderId="49" xfId="0" applyFont="1" applyBorder="1" applyAlignment="1">
      <alignment horizontal="center" vertical="center" wrapText="1"/>
    </xf>
    <xf numFmtId="0" fontId="22" fillId="0" borderId="0" xfId="0" applyFont="1" applyAlignment="1">
      <alignment horizontal="right" vertical="center"/>
    </xf>
    <xf numFmtId="0" fontId="22" fillId="4" borderId="32" xfId="0" applyFont="1" applyFill="1" applyBorder="1" applyAlignment="1">
      <alignment vertical="center" shrinkToFit="1"/>
    </xf>
    <xf numFmtId="0" fontId="22" fillId="4" borderId="32" xfId="0" applyFont="1" applyFill="1" applyBorder="1" applyAlignment="1">
      <alignment horizontal="center" vertical="center" shrinkToFit="1"/>
    </xf>
    <xf numFmtId="0" fontId="22" fillId="4" borderId="23" xfId="0" applyFont="1" applyFill="1" applyBorder="1" applyAlignment="1">
      <alignment vertical="center" shrinkToFit="1"/>
    </xf>
    <xf numFmtId="191" fontId="22" fillId="4" borderId="23" xfId="0" applyNumberFormat="1" applyFont="1" applyFill="1" applyBorder="1" applyAlignment="1">
      <alignment horizontal="center" vertical="center"/>
    </xf>
    <xf numFmtId="184" fontId="22" fillId="4" borderId="23" xfId="0" applyNumberFormat="1" applyFont="1" applyFill="1" applyBorder="1" applyAlignment="1">
      <alignment vertical="center"/>
    </xf>
    <xf numFmtId="0" fontId="22" fillId="4" borderId="23" xfId="0" applyFont="1" applyFill="1" applyBorder="1" applyAlignment="1">
      <alignment horizontal="center" vertical="center" shrinkToFit="1"/>
    </xf>
    <xf numFmtId="0" fontId="22" fillId="4" borderId="23" xfId="0" applyFont="1" applyFill="1" applyBorder="1" applyAlignment="1">
      <alignment horizontal="center" vertical="center"/>
    </xf>
    <xf numFmtId="0" fontId="28" fillId="24" borderId="28" xfId="0" applyFont="1" applyFill="1" applyBorder="1" applyAlignment="1">
      <alignment vertical="center" shrinkToFit="1"/>
    </xf>
    <xf numFmtId="0" fontId="27" fillId="24" borderId="24" xfId="0" applyFont="1" applyFill="1" applyBorder="1" applyAlignment="1">
      <alignment vertical="center" shrinkToFit="1"/>
    </xf>
    <xf numFmtId="0" fontId="22" fillId="24" borderId="24" xfId="0" applyFont="1" applyFill="1" applyBorder="1" applyAlignment="1">
      <alignment vertical="center" shrinkToFit="1"/>
    </xf>
    <xf numFmtId="189" fontId="22" fillId="24" borderId="24" xfId="0" applyNumberFormat="1" applyFont="1" applyFill="1" applyBorder="1" applyAlignment="1">
      <alignment vertical="center"/>
    </xf>
    <xf numFmtId="0" fontId="22" fillId="24" borderId="24" xfId="0" applyFont="1" applyFill="1" applyBorder="1" applyAlignment="1">
      <alignment horizontal="center" vertical="center" shrinkToFit="1"/>
    </xf>
    <xf numFmtId="0" fontId="22" fillId="24" borderId="24" xfId="0" applyFont="1" applyFill="1" applyBorder="1" applyAlignment="1">
      <alignment horizontal="center" vertical="center"/>
    </xf>
    <xf numFmtId="0" fontId="22" fillId="0" borderId="28" xfId="0" applyFont="1" applyFill="1" applyBorder="1" applyAlignment="1">
      <alignment vertical="center" shrinkToFit="1"/>
    </xf>
    <xf numFmtId="0" fontId="28" fillId="0" borderId="28" xfId="0" applyFont="1" applyFill="1" applyBorder="1" applyAlignment="1">
      <alignment vertical="center" shrinkToFit="1"/>
    </xf>
    <xf numFmtId="185" fontId="22" fillId="0" borderId="24" xfId="0" applyNumberFormat="1" applyFont="1" applyFill="1" applyBorder="1" applyAlignment="1">
      <alignment vertical="center" shrinkToFit="1"/>
    </xf>
    <xf numFmtId="191" fontId="22" fillId="0" borderId="24" xfId="0" applyNumberFormat="1" applyFont="1" applyFill="1" applyBorder="1" applyAlignment="1">
      <alignment vertical="center"/>
    </xf>
    <xf numFmtId="184" fontId="22" fillId="0" borderId="24" xfId="0" applyNumberFormat="1" applyFont="1" applyFill="1" applyBorder="1" applyAlignment="1">
      <alignment vertical="center"/>
    </xf>
    <xf numFmtId="0" fontId="22" fillId="0" borderId="24" xfId="0" applyFont="1" applyFill="1" applyBorder="1" applyAlignment="1">
      <alignment horizontal="center" vertical="center" shrinkToFit="1"/>
    </xf>
    <xf numFmtId="0" fontId="22" fillId="0" borderId="24" xfId="0" applyFont="1" applyFill="1" applyBorder="1" applyAlignment="1">
      <alignment vertical="center"/>
    </xf>
    <xf numFmtId="181" fontId="22" fillId="0" borderId="24" xfId="0" applyNumberFormat="1" applyFont="1" applyFill="1" applyBorder="1" applyAlignment="1">
      <alignment vertical="center"/>
    </xf>
    <xf numFmtId="0" fontId="31" fillId="0" borderId="24" xfId="0" applyFont="1" applyFill="1" applyBorder="1" applyAlignment="1">
      <alignment horizontal="center" vertical="center" shrinkToFit="1"/>
    </xf>
    <xf numFmtId="0" fontId="22" fillId="21" borderId="28" xfId="0" applyFont="1" applyFill="1" applyBorder="1" applyAlignment="1">
      <alignment horizontal="center" vertical="center" shrinkToFit="1"/>
    </xf>
    <xf numFmtId="185" fontId="22" fillId="21" borderId="24" xfId="0" applyNumberFormat="1" applyFont="1" applyFill="1" applyBorder="1" applyAlignment="1">
      <alignment vertical="center" shrinkToFit="1"/>
    </xf>
    <xf numFmtId="191" fontId="22" fillId="21" borderId="24" xfId="0" applyNumberFormat="1" applyFont="1" applyFill="1" applyBorder="1" applyAlignment="1">
      <alignment vertical="center"/>
    </xf>
    <xf numFmtId="184" fontId="22" fillId="21" borderId="24" xfId="0" applyNumberFormat="1" applyFont="1" applyFill="1" applyBorder="1" applyAlignment="1">
      <alignment vertical="center"/>
    </xf>
    <xf numFmtId="0" fontId="22" fillId="21" borderId="24" xfId="0" applyFont="1" applyFill="1" applyBorder="1" applyAlignment="1">
      <alignment horizontal="center" vertical="center" shrinkToFit="1"/>
    </xf>
    <xf numFmtId="0" fontId="22" fillId="21" borderId="24" xfId="0" applyFont="1" applyFill="1" applyBorder="1" applyAlignment="1">
      <alignment horizontal="center" vertical="center"/>
    </xf>
    <xf numFmtId="0" fontId="28" fillId="21" borderId="28" xfId="0" applyFont="1" applyFill="1" applyBorder="1" applyAlignment="1">
      <alignment vertical="center" shrinkToFit="1"/>
    </xf>
    <xf numFmtId="181" fontId="22" fillId="21" borderId="24" xfId="0" applyNumberFormat="1" applyFont="1" applyFill="1" applyBorder="1" applyAlignment="1">
      <alignment vertical="center"/>
    </xf>
    <xf numFmtId="0" fontId="28" fillId="21" borderId="33" xfId="0" applyFont="1" applyFill="1" applyBorder="1" applyAlignment="1">
      <alignment vertical="center" shrinkToFit="1"/>
    </xf>
    <xf numFmtId="185" fontId="22" fillId="21" borderId="27" xfId="0" applyNumberFormat="1" applyFont="1" applyFill="1" applyBorder="1" applyAlignment="1">
      <alignment vertical="center" shrinkToFit="1"/>
    </xf>
    <xf numFmtId="191" fontId="22" fillId="21" borderId="27" xfId="0" applyNumberFormat="1" applyFont="1" applyFill="1" applyBorder="1" applyAlignment="1">
      <alignment vertical="center"/>
    </xf>
    <xf numFmtId="184" fontId="22" fillId="21" borderId="27" xfId="0" applyNumberFormat="1" applyFont="1" applyFill="1" applyBorder="1" applyAlignment="1">
      <alignment vertical="center"/>
    </xf>
    <xf numFmtId="0" fontId="22" fillId="21" borderId="27" xfId="0" applyFont="1" applyFill="1" applyBorder="1" applyAlignment="1">
      <alignment horizontal="center" vertical="center" shrinkToFit="1"/>
    </xf>
    <xf numFmtId="0" fontId="22" fillId="21" borderId="27" xfId="0" applyFont="1" applyFill="1" applyBorder="1" applyAlignment="1">
      <alignment horizontal="center" vertical="center"/>
    </xf>
    <xf numFmtId="0" fontId="28" fillId="0" borderId="32" xfId="0" applyFont="1" applyFill="1" applyBorder="1" applyAlignment="1">
      <alignment vertical="center" shrinkToFit="1"/>
    </xf>
    <xf numFmtId="185" fontId="22" fillId="0" borderId="32" xfId="0" applyNumberFormat="1" applyFont="1" applyFill="1" applyBorder="1" applyAlignment="1">
      <alignment vertical="center" shrinkToFit="1"/>
    </xf>
    <xf numFmtId="191" fontId="22" fillId="0" borderId="23" xfId="0" applyNumberFormat="1" applyFont="1" applyFill="1" applyBorder="1" applyAlignment="1">
      <alignment vertical="center"/>
    </xf>
    <xf numFmtId="0" fontId="22" fillId="0" borderId="23" xfId="0" applyFont="1" applyFill="1" applyBorder="1" applyAlignment="1">
      <alignment horizontal="center" vertical="center" shrinkToFit="1"/>
    </xf>
    <xf numFmtId="0" fontId="28" fillId="0" borderId="33" xfId="0" applyFont="1" applyFill="1" applyBorder="1" applyAlignment="1">
      <alignment vertical="center" shrinkToFit="1"/>
    </xf>
    <xf numFmtId="185" fontId="22" fillId="0" borderId="33" xfId="0" applyNumberFormat="1" applyFont="1" applyFill="1" applyBorder="1" applyAlignment="1">
      <alignment vertical="center" shrinkToFit="1"/>
    </xf>
    <xf numFmtId="191" fontId="22" fillId="0" borderId="27" xfId="0" applyNumberFormat="1" applyFont="1" applyFill="1" applyBorder="1" applyAlignment="1">
      <alignment vertical="center"/>
    </xf>
    <xf numFmtId="181" fontId="22" fillId="0" borderId="27" xfId="0" applyNumberFormat="1" applyFont="1" applyFill="1" applyBorder="1" applyAlignment="1">
      <alignment vertical="center"/>
    </xf>
    <xf numFmtId="0" fontId="29" fillId="0" borderId="27" xfId="0" applyFont="1" applyFill="1" applyBorder="1" applyAlignment="1">
      <alignment horizontal="center" vertical="center" shrinkToFit="1"/>
    </xf>
    <xf numFmtId="0" fontId="28" fillId="24" borderId="24" xfId="0" applyFont="1" applyFill="1" applyBorder="1" applyAlignment="1">
      <alignment vertical="center" shrinkToFit="1"/>
    </xf>
    <xf numFmtId="0" fontId="27" fillId="24" borderId="28" xfId="0" applyFont="1" applyFill="1" applyBorder="1" applyAlignment="1">
      <alignment vertical="center" shrinkToFit="1"/>
    </xf>
    <xf numFmtId="0" fontId="22" fillId="24" borderId="28" xfId="0" applyFont="1" applyFill="1" applyBorder="1" applyAlignment="1">
      <alignment vertical="center" shrinkToFit="1"/>
    </xf>
    <xf numFmtId="0" fontId="22" fillId="24" borderId="50" xfId="0" applyFont="1" applyFill="1" applyBorder="1" applyAlignment="1">
      <alignment vertical="center" shrinkToFit="1"/>
    </xf>
    <xf numFmtId="185" fontId="22" fillId="24" borderId="28" xfId="0" applyNumberFormat="1" applyFont="1" applyFill="1" applyBorder="1" applyAlignment="1">
      <alignment vertical="center" shrinkToFit="1"/>
    </xf>
    <xf numFmtId="183" fontId="22" fillId="24" borderId="24" xfId="0" applyNumberFormat="1" applyFont="1" applyFill="1" applyBorder="1" applyAlignment="1">
      <alignment vertical="center"/>
    </xf>
    <xf numFmtId="191" fontId="22" fillId="24" borderId="24" xfId="0" applyNumberFormat="1" applyFont="1" applyFill="1" applyBorder="1" applyAlignment="1">
      <alignment vertical="center"/>
    </xf>
    <xf numFmtId="184" fontId="22" fillId="24" borderId="24" xfId="0" applyNumberFormat="1" applyFont="1" applyFill="1" applyBorder="1" applyAlignment="1">
      <alignment vertical="center"/>
    </xf>
    <xf numFmtId="0" fontId="28" fillId="0" borderId="28" xfId="0" applyFont="1" applyBorder="1" applyAlignment="1">
      <alignment vertical="center" shrinkToFit="1"/>
    </xf>
    <xf numFmtId="185" fontId="22" fillId="0" borderId="24" xfId="0" applyNumberFormat="1" applyFont="1" applyBorder="1" applyAlignment="1">
      <alignment vertical="center" shrinkToFit="1"/>
    </xf>
    <xf numFmtId="191" fontId="22" fillId="0" borderId="22" xfId="0" applyNumberFormat="1" applyFont="1" applyFill="1" applyBorder="1" applyAlignment="1">
      <alignment vertical="center"/>
    </xf>
    <xf numFmtId="184" fontId="22" fillId="0" borderId="22" xfId="0" applyNumberFormat="1" applyFont="1" applyFill="1" applyBorder="1" applyAlignment="1">
      <alignment vertical="center"/>
    </xf>
    <xf numFmtId="0" fontId="22" fillId="0" borderId="22" xfId="0" applyFont="1" applyFill="1" applyBorder="1" applyAlignment="1">
      <alignment horizontal="center" vertical="center" shrinkToFit="1"/>
    </xf>
    <xf numFmtId="0" fontId="22" fillId="0" borderId="34" xfId="0" applyFont="1" applyBorder="1" applyAlignment="1">
      <alignment vertical="center" shrinkToFit="1"/>
    </xf>
    <xf numFmtId="191" fontId="22" fillId="0" borderId="22" xfId="0" applyNumberFormat="1" applyFont="1" applyBorder="1" applyAlignment="1">
      <alignment vertical="center"/>
    </xf>
    <xf numFmtId="184" fontId="22" fillId="0" borderId="22" xfId="0" applyNumberFormat="1" applyFont="1" applyBorder="1" applyAlignment="1">
      <alignment vertical="center"/>
    </xf>
    <xf numFmtId="0" fontId="22" fillId="0" borderId="22" xfId="0" applyFont="1" applyBorder="1" applyAlignment="1">
      <alignment horizontal="center" vertical="center" shrinkToFit="1"/>
    </xf>
    <xf numFmtId="191" fontId="22" fillId="0" borderId="24" xfId="0" applyNumberFormat="1" applyFont="1" applyBorder="1" applyAlignment="1">
      <alignment vertical="center"/>
    </xf>
    <xf numFmtId="181" fontId="22" fillId="0" borderId="24" xfId="0" applyNumberFormat="1" applyFont="1" applyBorder="1" applyAlignment="1">
      <alignment vertical="center"/>
    </xf>
    <xf numFmtId="0" fontId="22" fillId="0" borderId="24" xfId="0" applyFont="1" applyBorder="1" applyAlignment="1">
      <alignment vertical="center"/>
    </xf>
    <xf numFmtId="183" fontId="22" fillId="0" borderId="24" xfId="0" applyNumberFormat="1" applyFont="1" applyBorder="1" applyAlignment="1">
      <alignment vertical="center"/>
    </xf>
    <xf numFmtId="182" fontId="22" fillId="0" borderId="24" xfId="0" applyNumberFormat="1" applyFont="1" applyBorder="1" applyAlignment="1">
      <alignment vertical="center"/>
    </xf>
    <xf numFmtId="0" fontId="22" fillId="0" borderId="24" xfId="0" applyFont="1" applyBorder="1" applyAlignment="1">
      <alignment horizontal="center" vertical="center" shrinkToFit="1"/>
    </xf>
    <xf numFmtId="183" fontId="22" fillId="21" borderId="25" xfId="0" applyNumberFormat="1" applyFont="1" applyFill="1" applyBorder="1" applyAlignment="1">
      <alignment vertical="center"/>
    </xf>
    <xf numFmtId="184" fontId="22" fillId="21" borderId="25" xfId="0" applyNumberFormat="1" applyFont="1" applyFill="1" applyBorder="1" applyAlignment="1">
      <alignment vertical="center"/>
    </xf>
    <xf numFmtId="0" fontId="22" fillId="21" borderId="25" xfId="0" applyFont="1" applyFill="1" applyBorder="1" applyAlignment="1">
      <alignment horizontal="center" vertical="center" shrinkToFit="1"/>
    </xf>
    <xf numFmtId="0" fontId="28" fillId="21" borderId="24" xfId="0" applyFont="1" applyFill="1" applyBorder="1" applyAlignment="1">
      <alignment vertical="center" shrinkToFit="1"/>
    </xf>
    <xf numFmtId="0" fontId="22" fillId="21" borderId="24" xfId="0" applyFont="1" applyFill="1" applyBorder="1" applyAlignment="1">
      <alignment vertical="center" shrinkToFit="1"/>
    </xf>
    <xf numFmtId="183" fontId="22" fillId="21" borderId="24" xfId="0" applyNumberFormat="1" applyFont="1" applyFill="1" applyBorder="1" applyAlignment="1">
      <alignment vertical="center"/>
    </xf>
    <xf numFmtId="187" fontId="22" fillId="21" borderId="24" xfId="0" applyNumberFormat="1" applyFont="1" applyFill="1" applyBorder="1" applyAlignment="1">
      <alignment vertical="center"/>
    </xf>
    <xf numFmtId="0" fontId="22" fillId="5" borderId="33" xfId="0" applyFont="1" applyFill="1" applyBorder="1" applyAlignment="1">
      <alignment horizontal="center" vertical="center" shrinkToFit="1"/>
    </xf>
    <xf numFmtId="185" fontId="22" fillId="5" borderId="27" xfId="0" applyNumberFormat="1" applyFont="1" applyFill="1" applyBorder="1" applyAlignment="1">
      <alignment vertical="center" shrinkToFit="1"/>
    </xf>
    <xf numFmtId="183" fontId="22" fillId="5" borderId="27" xfId="0" applyNumberFormat="1" applyFont="1" applyFill="1" applyBorder="1" applyAlignment="1">
      <alignment horizontal="center" vertical="center"/>
    </xf>
    <xf numFmtId="181" fontId="22" fillId="5" borderId="27" xfId="0" applyNumberFormat="1" applyFont="1" applyFill="1" applyBorder="1" applyAlignment="1">
      <alignment vertical="center"/>
    </xf>
    <xf numFmtId="0" fontId="22" fillId="5" borderId="27" xfId="0" applyFont="1" applyFill="1" applyBorder="1" applyAlignment="1">
      <alignment horizontal="center" vertical="center" shrinkToFit="1"/>
    </xf>
    <xf numFmtId="0" fontId="22" fillId="5" borderId="27" xfId="0" applyFont="1" applyFill="1" applyBorder="1" applyAlignment="1">
      <alignment horizontal="center" vertical="center"/>
    </xf>
    <xf numFmtId="0" fontId="28" fillId="0" borderId="23" xfId="0" applyFont="1" applyBorder="1" applyAlignment="1">
      <alignment vertical="center" shrinkToFit="1"/>
    </xf>
    <xf numFmtId="0" fontId="22" fillId="0" borderId="23" xfId="0" applyFont="1" applyBorder="1" applyAlignment="1">
      <alignment vertical="center" shrinkToFit="1"/>
    </xf>
    <xf numFmtId="191" fontId="22" fillId="0" borderId="23" xfId="0" applyNumberFormat="1" applyFont="1" applyBorder="1" applyAlignment="1">
      <alignment vertical="center"/>
    </xf>
    <xf numFmtId="184" fontId="22" fillId="0" borderId="23" xfId="0" applyNumberFormat="1" applyFont="1" applyBorder="1" applyAlignment="1">
      <alignment vertical="center"/>
    </xf>
    <xf numFmtId="0" fontId="22" fillId="0" borderId="23" xfId="0" applyFont="1" applyBorder="1" applyAlignment="1">
      <alignment horizontal="center" vertical="center" shrinkToFit="1"/>
    </xf>
    <xf numFmtId="187" fontId="22" fillId="0" borderId="32" xfId="0" applyNumberFormat="1" applyFont="1" applyBorder="1" applyAlignment="1">
      <alignment vertical="center"/>
    </xf>
    <xf numFmtId="0" fontId="28" fillId="0" borderId="24" xfId="0" applyFont="1" applyBorder="1" applyAlignment="1">
      <alignment vertical="center" shrinkToFit="1"/>
    </xf>
    <xf numFmtId="0" fontId="22" fillId="0" borderId="24" xfId="0" applyFont="1" applyFill="1" applyBorder="1" applyAlignment="1">
      <alignment vertical="center" shrinkToFit="1"/>
    </xf>
    <xf numFmtId="0" fontId="29" fillId="0" borderId="24" xfId="0" applyFont="1" applyFill="1" applyBorder="1" applyAlignment="1">
      <alignment horizontal="center" vertical="center" shrinkToFit="1"/>
    </xf>
    <xf numFmtId="187" fontId="22" fillId="0" borderId="24" xfId="0" applyNumberFormat="1" applyFont="1" applyBorder="1" applyAlignment="1">
      <alignment vertical="center"/>
    </xf>
    <xf numFmtId="0" fontId="22" fillId="0" borderId="24" xfId="0" applyFont="1" applyBorder="1" applyAlignment="1">
      <alignment vertical="center" shrinkToFit="1"/>
    </xf>
    <xf numFmtId="0" fontId="31" fillId="0" borderId="24" xfId="0" applyFont="1" applyBorder="1" applyAlignment="1">
      <alignment horizontal="center" vertical="center" shrinkToFit="1"/>
    </xf>
    <xf numFmtId="0" fontId="22" fillId="0" borderId="24" xfId="0" applyFont="1" applyBorder="1" applyAlignment="1">
      <alignment vertical="center"/>
    </xf>
    <xf numFmtId="176" fontId="22" fillId="0" borderId="24" xfId="0" applyNumberFormat="1" applyFont="1" applyBorder="1" applyAlignment="1">
      <alignment horizontal="center" vertical="center"/>
    </xf>
    <xf numFmtId="0" fontId="28" fillId="0" borderId="24" xfId="0" applyFont="1" applyBorder="1" applyAlignment="1">
      <alignment vertical="center"/>
    </xf>
    <xf numFmtId="0" fontId="22" fillId="0" borderId="22" xfId="0" applyFont="1" applyBorder="1" applyAlignment="1">
      <alignment vertical="center" shrinkToFit="1"/>
    </xf>
    <xf numFmtId="182" fontId="22" fillId="0" borderId="22" xfId="0" applyNumberFormat="1" applyFont="1" applyBorder="1" applyAlignment="1">
      <alignment vertical="center"/>
    </xf>
    <xf numFmtId="0" fontId="31" fillId="0" borderId="22" xfId="0" applyFont="1" applyBorder="1" applyAlignment="1">
      <alignment horizontal="center" vertical="center" shrinkToFit="1"/>
    </xf>
    <xf numFmtId="0" fontId="22" fillId="0" borderId="22" xfId="0" applyFont="1" applyBorder="1" applyAlignment="1">
      <alignment vertical="center"/>
    </xf>
    <xf numFmtId="176" fontId="22" fillId="0" borderId="25" xfId="0" applyNumberFormat="1" applyFont="1" applyBorder="1" applyAlignment="1">
      <alignment horizontal="center" vertical="center"/>
    </xf>
    <xf numFmtId="0" fontId="28" fillId="0" borderId="24" xfId="0" applyFont="1" applyFill="1" applyBorder="1" applyAlignment="1">
      <alignment vertical="center" shrinkToFit="1"/>
    </xf>
    <xf numFmtId="0" fontId="28" fillId="0" borderId="27" xfId="0" applyFont="1" applyBorder="1" applyAlignment="1">
      <alignment vertical="center" shrinkToFit="1"/>
    </xf>
    <xf numFmtId="191" fontId="22" fillId="0" borderId="27" xfId="0" applyNumberFormat="1" applyFont="1" applyBorder="1" applyAlignment="1">
      <alignment vertical="center"/>
    </xf>
    <xf numFmtId="182" fontId="22" fillId="0" borderId="27" xfId="0" applyNumberFormat="1" applyFont="1" applyBorder="1" applyAlignment="1">
      <alignment vertical="center"/>
    </xf>
    <xf numFmtId="0" fontId="22" fillId="0" borderId="27" xfId="0" applyFont="1" applyBorder="1" applyAlignment="1">
      <alignment horizontal="center" vertical="center" shrinkToFit="1"/>
    </xf>
    <xf numFmtId="187" fontId="22" fillId="0" borderId="27" xfId="0" applyNumberFormat="1" applyFont="1" applyBorder="1" applyAlignment="1">
      <alignment vertical="center"/>
    </xf>
    <xf numFmtId="0" fontId="22" fillId="0" borderId="27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6" fillId="0" borderId="0" xfId="0" applyFont="1" applyFill="1" applyBorder="1" applyAlignment="1">
      <alignment horizontal="left" vertical="center"/>
    </xf>
    <xf numFmtId="176" fontId="22" fillId="0" borderId="0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vertical="center" shrinkToFit="1"/>
    </xf>
    <xf numFmtId="0" fontId="22" fillId="0" borderId="0" xfId="0" applyFont="1" applyBorder="1" applyAlignment="1">
      <alignment vertical="center" shrinkToFit="1"/>
    </xf>
    <xf numFmtId="191" fontId="22" fillId="0" borderId="0" xfId="0" applyNumberFormat="1" applyFont="1" applyBorder="1" applyAlignment="1">
      <alignment vertical="center"/>
    </xf>
    <xf numFmtId="182" fontId="22" fillId="0" borderId="0" xfId="0" applyNumberFormat="1" applyFont="1" applyBorder="1" applyAlignment="1">
      <alignment vertical="center"/>
    </xf>
    <xf numFmtId="0" fontId="22" fillId="0" borderId="0" xfId="0" applyFont="1" applyBorder="1" applyAlignment="1">
      <alignment horizontal="center" vertical="center" shrinkToFit="1"/>
    </xf>
    <xf numFmtId="187" fontId="22" fillId="0" borderId="0" xfId="0" applyNumberFormat="1" applyFont="1" applyBorder="1" applyAlignment="1">
      <alignment vertical="center"/>
    </xf>
    <xf numFmtId="187" fontId="22" fillId="0" borderId="0" xfId="0" applyNumberFormat="1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182" fontId="22" fillId="0" borderId="0" xfId="0" applyNumberFormat="1" applyFont="1" applyBorder="1" applyAlignment="1">
      <alignment vertical="center"/>
    </xf>
    <xf numFmtId="181" fontId="22" fillId="0" borderId="0" xfId="0" applyNumberFormat="1" applyFont="1" applyBorder="1" applyAlignment="1">
      <alignment vertical="center"/>
    </xf>
    <xf numFmtId="184" fontId="22" fillId="0" borderId="0" xfId="0" applyNumberFormat="1" applyFont="1" applyBorder="1" applyAlignment="1">
      <alignment vertical="center"/>
    </xf>
    <xf numFmtId="0" fontId="26" fillId="0" borderId="0" xfId="0" applyFont="1" applyFill="1" applyAlignment="1">
      <alignment horizontal="left" vertical="center"/>
    </xf>
    <xf numFmtId="176" fontId="22" fillId="0" borderId="0" xfId="0" applyNumberFormat="1" applyFont="1" applyAlignment="1">
      <alignment vertical="center"/>
    </xf>
    <xf numFmtId="0" fontId="22" fillId="0" borderId="0" xfId="0" applyFont="1" applyAlignment="1">
      <alignment vertical="center" shrinkToFit="1"/>
    </xf>
    <xf numFmtId="191" fontId="22" fillId="0" borderId="0" xfId="0" applyNumberFormat="1" applyFont="1" applyAlignment="1">
      <alignment vertical="center"/>
    </xf>
    <xf numFmtId="0" fontId="22" fillId="0" borderId="0" xfId="0" applyFont="1" applyAlignment="1">
      <alignment horizontal="center" vertical="center" shrinkToFit="1"/>
    </xf>
    <xf numFmtId="187" fontId="22" fillId="0" borderId="0" xfId="0" applyNumberFormat="1" applyFont="1" applyAlignment="1">
      <alignment vertical="center"/>
    </xf>
    <xf numFmtId="187" fontId="22" fillId="0" borderId="0" xfId="0" applyNumberFormat="1" applyFont="1" applyAlignment="1">
      <alignment vertical="center"/>
    </xf>
    <xf numFmtId="176" fontId="22" fillId="0" borderId="23" xfId="0" applyNumberFormat="1" applyFont="1" applyBorder="1" applyAlignment="1">
      <alignment horizontal="center" vertical="center"/>
    </xf>
    <xf numFmtId="0" fontId="31" fillId="0" borderId="23" xfId="0" applyFont="1" applyBorder="1" applyAlignment="1">
      <alignment horizontal="center" vertical="center" shrinkToFit="1"/>
    </xf>
    <xf numFmtId="0" fontId="22" fillId="4" borderId="22" xfId="0" applyFont="1" applyFill="1" applyBorder="1" applyAlignment="1">
      <alignment horizontal="center" vertical="center" shrinkToFit="1"/>
    </xf>
    <xf numFmtId="0" fontId="22" fillId="4" borderId="22" xfId="0" applyFont="1" applyFill="1" applyBorder="1" applyAlignment="1">
      <alignment vertical="center" shrinkToFit="1"/>
    </xf>
    <xf numFmtId="191" fontId="22" fillId="4" borderId="22" xfId="0" applyNumberFormat="1" applyFont="1" applyFill="1" applyBorder="1" applyAlignment="1">
      <alignment horizontal="center" vertical="center"/>
    </xf>
    <xf numFmtId="184" fontId="22" fillId="4" borderId="22" xfId="0" applyNumberFormat="1" applyFont="1" applyFill="1" applyBorder="1" applyAlignment="1">
      <alignment vertical="center"/>
    </xf>
    <xf numFmtId="187" fontId="22" fillId="4" borderId="22" xfId="0" applyNumberFormat="1" applyFont="1" applyFill="1" applyBorder="1" applyAlignment="1">
      <alignment vertical="center"/>
    </xf>
    <xf numFmtId="0" fontId="22" fillId="4" borderId="28" xfId="0" applyFont="1" applyFill="1" applyBorder="1" applyAlignment="1">
      <alignment horizontal="center" vertical="center"/>
    </xf>
    <xf numFmtId="0" fontId="22" fillId="4" borderId="22" xfId="0" applyFont="1" applyFill="1" applyBorder="1" applyAlignment="1">
      <alignment horizontal="center" vertical="center"/>
    </xf>
    <xf numFmtId="0" fontId="28" fillId="4" borderId="24" xfId="0" applyFont="1" applyFill="1" applyBorder="1" applyAlignment="1">
      <alignment vertical="center" shrinkToFit="1"/>
    </xf>
    <xf numFmtId="0" fontId="22" fillId="4" borderId="24" xfId="0" applyFont="1" applyFill="1" applyBorder="1" applyAlignment="1">
      <alignment vertical="center" shrinkToFit="1"/>
    </xf>
    <xf numFmtId="191" fontId="22" fillId="4" borderId="24" xfId="0" applyNumberFormat="1" applyFont="1" applyFill="1" applyBorder="1" applyAlignment="1">
      <alignment horizontal="center" vertical="center"/>
    </xf>
    <xf numFmtId="184" fontId="22" fillId="4" borderId="24" xfId="0" applyNumberFormat="1" applyFont="1" applyFill="1" applyBorder="1" applyAlignment="1">
      <alignment vertical="center"/>
    </xf>
    <xf numFmtId="0" fontId="22" fillId="4" borderId="24" xfId="0" applyFont="1" applyFill="1" applyBorder="1" applyAlignment="1">
      <alignment horizontal="center" vertical="center" shrinkToFit="1"/>
    </xf>
    <xf numFmtId="187" fontId="22" fillId="4" borderId="24" xfId="0" applyNumberFormat="1" applyFont="1" applyFill="1" applyBorder="1" applyAlignment="1">
      <alignment vertical="center"/>
    </xf>
    <xf numFmtId="0" fontId="22" fillId="4" borderId="24" xfId="0" applyFont="1" applyFill="1" applyBorder="1" applyAlignment="1">
      <alignment horizontal="center" vertical="center"/>
    </xf>
    <xf numFmtId="0" fontId="22" fillId="0" borderId="22" xfId="0" applyFont="1" applyBorder="1" applyAlignment="1">
      <alignment vertical="center"/>
    </xf>
    <xf numFmtId="184" fontId="22" fillId="0" borderId="24" xfId="0" applyNumberFormat="1" applyFont="1" applyBorder="1" applyAlignment="1">
      <alignment vertical="center"/>
    </xf>
    <xf numFmtId="191" fontId="22" fillId="5" borderId="27" xfId="0" applyNumberFormat="1" applyFont="1" applyFill="1" applyBorder="1" applyAlignment="1">
      <alignment horizontal="center" vertical="center"/>
    </xf>
    <xf numFmtId="187" fontId="22" fillId="5" borderId="27" xfId="0" applyNumberFormat="1" applyFont="1" applyFill="1" applyBorder="1" applyAlignment="1">
      <alignment vertical="center"/>
    </xf>
    <xf numFmtId="176" fontId="22" fillId="0" borderId="27" xfId="0" applyNumberFormat="1" applyFont="1" applyBorder="1" applyAlignment="1">
      <alignment horizontal="center" vertical="center"/>
    </xf>
    <xf numFmtId="176" fontId="22" fillId="0" borderId="23" xfId="0" applyNumberFormat="1" applyFont="1" applyFill="1" applyBorder="1" applyAlignment="1">
      <alignment horizontal="center" vertical="center"/>
    </xf>
    <xf numFmtId="185" fontId="22" fillId="4" borderId="22" xfId="0" applyNumberFormat="1" applyFont="1" applyFill="1" applyBorder="1" applyAlignment="1">
      <alignment vertical="center" shrinkToFit="1"/>
    </xf>
    <xf numFmtId="183" fontId="22" fillId="4" borderId="22" xfId="0" applyNumberFormat="1" applyFont="1" applyFill="1" applyBorder="1" applyAlignment="1">
      <alignment horizontal="center" vertical="center"/>
    </xf>
    <xf numFmtId="183" fontId="22" fillId="4" borderId="24" xfId="0" applyNumberFormat="1" applyFont="1" applyFill="1" applyBorder="1" applyAlignment="1">
      <alignment horizontal="center" vertical="center"/>
    </xf>
    <xf numFmtId="0" fontId="22" fillId="4" borderId="25" xfId="0" applyFont="1" applyFill="1" applyBorder="1" applyAlignment="1">
      <alignment horizontal="center" vertical="center" shrinkToFit="1"/>
    </xf>
    <xf numFmtId="181" fontId="22" fillId="4" borderId="24" xfId="0" applyNumberFormat="1" applyFont="1" applyFill="1" applyBorder="1" applyAlignment="1">
      <alignment vertical="center"/>
    </xf>
    <xf numFmtId="193" fontId="22" fillId="4" borderId="24" xfId="0" applyNumberFormat="1" applyFont="1" applyFill="1" applyBorder="1" applyAlignment="1">
      <alignment vertical="center"/>
    </xf>
    <xf numFmtId="187" fontId="22" fillId="0" borderId="24" xfId="0" applyNumberFormat="1" applyFont="1" applyFill="1" applyBorder="1" applyAlignment="1">
      <alignment vertical="center"/>
    </xf>
    <xf numFmtId="0" fontId="22" fillId="0" borderId="25" xfId="0" applyFont="1" applyBorder="1" applyAlignment="1">
      <alignment horizontal="center" vertical="center"/>
    </xf>
    <xf numFmtId="0" fontId="28" fillId="21" borderId="25" xfId="0" applyFont="1" applyFill="1" applyBorder="1" applyAlignment="1">
      <alignment vertical="center" shrinkToFit="1"/>
    </xf>
    <xf numFmtId="0" fontId="22" fillId="21" borderId="25" xfId="0" applyFont="1" applyFill="1" applyBorder="1" applyAlignment="1">
      <alignment vertical="center" shrinkToFit="1"/>
    </xf>
    <xf numFmtId="191" fontId="22" fillId="21" borderId="25" xfId="0" applyNumberFormat="1" applyFont="1" applyFill="1" applyBorder="1" applyAlignment="1">
      <alignment vertical="center"/>
    </xf>
    <xf numFmtId="0" fontId="28" fillId="0" borderId="23" xfId="0" applyFont="1" applyFill="1" applyBorder="1" applyAlignment="1">
      <alignment vertical="center" shrinkToFit="1"/>
    </xf>
    <xf numFmtId="0" fontId="22" fillId="0" borderId="23" xfId="0" applyFont="1" applyFill="1" applyBorder="1" applyAlignment="1">
      <alignment vertical="center" shrinkToFit="1"/>
    </xf>
    <xf numFmtId="182" fontId="22" fillId="0" borderId="23" xfId="0" applyNumberFormat="1" applyFont="1" applyFill="1" applyBorder="1" applyAlignment="1">
      <alignment vertical="center"/>
    </xf>
    <xf numFmtId="187" fontId="22" fillId="0" borderId="23" xfId="0" applyNumberFormat="1" applyFont="1" applyFill="1" applyBorder="1" applyAlignment="1">
      <alignment vertical="center"/>
    </xf>
    <xf numFmtId="176" fontId="22" fillId="0" borderId="24" xfId="0" applyNumberFormat="1" applyFont="1" applyFill="1" applyBorder="1" applyAlignment="1">
      <alignment horizontal="center" vertical="center"/>
    </xf>
    <xf numFmtId="0" fontId="28" fillId="0" borderId="22" xfId="0" applyFont="1" applyFill="1" applyBorder="1" applyAlignment="1">
      <alignment vertical="center" shrinkToFit="1"/>
    </xf>
    <xf numFmtId="0" fontId="22" fillId="0" borderId="22" xfId="0" applyFont="1" applyFill="1" applyBorder="1" applyAlignment="1">
      <alignment vertical="center" shrinkToFit="1"/>
    </xf>
    <xf numFmtId="182" fontId="22" fillId="0" borderId="22" xfId="0" applyNumberFormat="1" applyFont="1" applyFill="1" applyBorder="1" applyAlignment="1">
      <alignment vertical="center"/>
    </xf>
    <xf numFmtId="0" fontId="22" fillId="0" borderId="24" xfId="0" applyFont="1" applyFill="1" applyBorder="1" applyAlignment="1">
      <alignment vertical="center"/>
    </xf>
    <xf numFmtId="0" fontId="28" fillId="0" borderId="27" xfId="0" applyFont="1" applyFill="1" applyBorder="1" applyAlignment="1">
      <alignment vertical="center" shrinkToFit="1"/>
    </xf>
    <xf numFmtId="0" fontId="22" fillId="0" borderId="27" xfId="0" applyFont="1" applyFill="1" applyBorder="1" applyAlignment="1">
      <alignment vertical="center" shrinkToFit="1"/>
    </xf>
    <xf numFmtId="184" fontId="22" fillId="0" borderId="27" xfId="0" applyNumberFormat="1" applyFont="1" applyFill="1" applyBorder="1" applyAlignment="1">
      <alignment vertical="center"/>
    </xf>
    <xf numFmtId="0" fontId="31" fillId="0" borderId="27" xfId="0" applyFont="1" applyFill="1" applyBorder="1" applyAlignment="1">
      <alignment horizontal="center" vertical="center" shrinkToFit="1"/>
    </xf>
    <xf numFmtId="187" fontId="22" fillId="0" borderId="27" xfId="0" applyNumberFormat="1" applyFont="1" applyFill="1" applyBorder="1" applyAlignment="1">
      <alignment vertical="center"/>
    </xf>
    <xf numFmtId="0" fontId="22" fillId="0" borderId="27" xfId="0" applyFont="1" applyFill="1" applyBorder="1" applyAlignment="1">
      <alignment vertical="center"/>
    </xf>
    <xf numFmtId="191" fontId="22" fillId="0" borderId="0" xfId="0" applyNumberFormat="1" applyFont="1" applyFill="1" applyBorder="1" applyAlignment="1">
      <alignment vertical="center"/>
    </xf>
    <xf numFmtId="184" fontId="22" fillId="0" borderId="0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horizontal="center" vertical="center" shrinkToFit="1"/>
    </xf>
    <xf numFmtId="187" fontId="22" fillId="0" borderId="0" xfId="0" applyNumberFormat="1" applyFont="1" applyFill="1" applyBorder="1" applyAlignment="1">
      <alignment vertical="center"/>
    </xf>
    <xf numFmtId="182" fontId="22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185" fontId="22" fillId="4" borderId="23" xfId="0" applyNumberFormat="1" applyFont="1" applyFill="1" applyBorder="1" applyAlignment="1">
      <alignment vertical="center" shrinkToFit="1"/>
    </xf>
    <xf numFmtId="183" fontId="22" fillId="4" borderId="23" xfId="0" applyNumberFormat="1" applyFont="1" applyFill="1" applyBorder="1" applyAlignment="1">
      <alignment horizontal="center" vertical="center"/>
    </xf>
    <xf numFmtId="187" fontId="22" fillId="4" borderId="23" xfId="0" applyNumberFormat="1" applyFont="1" applyFill="1" applyBorder="1" applyAlignment="1">
      <alignment vertical="center"/>
    </xf>
    <xf numFmtId="199" fontId="22" fillId="4" borderId="24" xfId="0" applyNumberFormat="1" applyFont="1" applyFill="1" applyBorder="1" applyAlignment="1">
      <alignment vertical="center"/>
    </xf>
    <xf numFmtId="0" fontId="22" fillId="24" borderId="43" xfId="0" applyFont="1" applyFill="1" applyBorder="1" applyAlignment="1">
      <alignment vertical="center" shrinkToFit="1"/>
    </xf>
    <xf numFmtId="199" fontId="22" fillId="24" borderId="24" xfId="0" applyNumberFormat="1" applyFont="1" applyFill="1" applyBorder="1" applyAlignment="1">
      <alignment vertical="center"/>
    </xf>
    <xf numFmtId="187" fontId="22" fillId="24" borderId="24" xfId="0" applyNumberFormat="1" applyFont="1" applyFill="1" applyBorder="1" applyAlignment="1">
      <alignment vertical="center"/>
    </xf>
    <xf numFmtId="199" fontId="22" fillId="0" borderId="24" xfId="0" applyNumberFormat="1" applyFont="1" applyBorder="1" applyAlignment="1">
      <alignment vertical="center"/>
    </xf>
    <xf numFmtId="0" fontId="28" fillId="0" borderId="25" xfId="0" applyFont="1" applyBorder="1" applyAlignment="1">
      <alignment vertical="center" shrinkToFit="1"/>
    </xf>
    <xf numFmtId="0" fontId="22" fillId="0" borderId="25" xfId="0" applyFont="1" applyBorder="1" applyAlignment="1">
      <alignment vertical="center" shrinkToFit="1"/>
    </xf>
    <xf numFmtId="191" fontId="22" fillId="0" borderId="25" xfId="0" applyNumberFormat="1" applyFont="1" applyBorder="1" applyAlignment="1">
      <alignment vertical="center"/>
    </xf>
    <xf numFmtId="181" fontId="22" fillId="0" borderId="25" xfId="0" applyNumberFormat="1" applyFont="1" applyBorder="1" applyAlignment="1">
      <alignment vertical="center"/>
    </xf>
    <xf numFmtId="0" fontId="31" fillId="0" borderId="25" xfId="0" applyFont="1" applyBorder="1" applyAlignment="1">
      <alignment horizontal="center" vertical="center" shrinkToFit="1"/>
    </xf>
    <xf numFmtId="0" fontId="22" fillId="0" borderId="23" xfId="0" applyFont="1" applyBorder="1" applyAlignment="1">
      <alignment vertical="center"/>
    </xf>
    <xf numFmtId="176" fontId="22" fillId="0" borderId="27" xfId="0" applyNumberFormat="1" applyFont="1" applyFill="1" applyBorder="1" applyAlignment="1">
      <alignment horizontal="center" vertical="center"/>
    </xf>
    <xf numFmtId="182" fontId="22" fillId="0" borderId="27" xfId="0" applyNumberFormat="1" applyFont="1" applyFill="1" applyBorder="1" applyAlignment="1">
      <alignment vertical="center"/>
    </xf>
    <xf numFmtId="0" fontId="31" fillId="0" borderId="27" xfId="0" applyFont="1" applyBorder="1" applyAlignment="1">
      <alignment horizontal="center" vertical="center" shrinkToFit="1"/>
    </xf>
    <xf numFmtId="0" fontId="0" fillId="0" borderId="0" xfId="0" applyBorder="1" applyAlignment="1">
      <alignment vertical="center" textRotation="255"/>
    </xf>
    <xf numFmtId="176" fontId="22" fillId="0" borderId="0" xfId="0" applyNumberFormat="1" applyFont="1" applyBorder="1" applyAlignment="1">
      <alignment vertical="center"/>
    </xf>
    <xf numFmtId="182" fontId="22" fillId="0" borderId="0" xfId="0" applyNumberFormat="1" applyFont="1" applyFill="1" applyBorder="1" applyAlignment="1">
      <alignment vertical="center"/>
    </xf>
    <xf numFmtId="0" fontId="31" fillId="0" borderId="0" xfId="0" applyFont="1" applyBorder="1" applyAlignment="1">
      <alignment horizontal="center" vertical="center" shrinkToFit="1"/>
    </xf>
    <xf numFmtId="189" fontId="22" fillId="0" borderId="24" xfId="0" applyNumberFormat="1" applyFont="1" applyBorder="1" applyAlignment="1">
      <alignment vertical="center"/>
    </xf>
    <xf numFmtId="185" fontId="22" fillId="0" borderId="24" xfId="0" applyNumberFormat="1" applyFont="1" applyBorder="1" applyAlignment="1">
      <alignment vertical="center"/>
    </xf>
    <xf numFmtId="189" fontId="22" fillId="0" borderId="24" xfId="0" applyNumberFormat="1" applyFont="1" applyFill="1" applyBorder="1" applyAlignment="1">
      <alignment vertical="center"/>
    </xf>
    <xf numFmtId="185" fontId="22" fillId="0" borderId="25" xfId="0" applyNumberFormat="1" applyFont="1" applyFill="1" applyBorder="1" applyAlignment="1">
      <alignment vertical="center"/>
    </xf>
    <xf numFmtId="0" fontId="22" fillId="0" borderId="25" xfId="0" applyFont="1" applyFill="1" applyBorder="1" applyAlignment="1">
      <alignment horizontal="center" vertical="center" shrinkToFit="1"/>
    </xf>
    <xf numFmtId="189" fontId="22" fillId="0" borderId="25" xfId="0" applyNumberFormat="1" applyFont="1" applyFill="1" applyBorder="1" applyAlignment="1">
      <alignment vertical="center"/>
    </xf>
    <xf numFmtId="0" fontId="31" fillId="0" borderId="25" xfId="0" applyFont="1" applyFill="1" applyBorder="1" applyAlignment="1">
      <alignment horizontal="center" vertical="center" shrinkToFit="1"/>
    </xf>
    <xf numFmtId="185" fontId="22" fillId="0" borderId="25" xfId="0" applyNumberFormat="1" applyFont="1" applyBorder="1" applyAlignment="1">
      <alignment vertical="center"/>
    </xf>
    <xf numFmtId="189" fontId="22" fillId="21" borderId="25" xfId="0" applyNumberFormat="1" applyFont="1" applyFill="1" applyBorder="1" applyAlignment="1">
      <alignment vertical="center"/>
    </xf>
    <xf numFmtId="185" fontId="22" fillId="5" borderId="27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 textRotation="255"/>
    </xf>
    <xf numFmtId="0" fontId="22" fillId="0" borderId="0" xfId="0" applyFont="1" applyFill="1" applyBorder="1" applyAlignment="1">
      <alignment horizontal="center" vertical="center" shrinkToFit="1"/>
    </xf>
    <xf numFmtId="185" fontId="22" fillId="0" borderId="0" xfId="0" applyNumberFormat="1" applyFont="1" applyFill="1" applyBorder="1" applyAlignment="1">
      <alignment vertical="center" shrinkToFit="1"/>
    </xf>
    <xf numFmtId="0" fontId="22" fillId="0" borderId="0" xfId="0" applyFont="1" applyFill="1" applyAlignment="1">
      <alignment horizontal="right" vertical="center"/>
    </xf>
    <xf numFmtId="0" fontId="22" fillId="0" borderId="0" xfId="0" applyFont="1" applyFill="1" applyAlignment="1">
      <alignment horizontal="left" vertical="center"/>
    </xf>
    <xf numFmtId="0" fontId="22" fillId="0" borderId="0" xfId="0" applyFont="1" applyFill="1" applyAlignment="1">
      <alignment vertical="center"/>
    </xf>
    <xf numFmtId="176" fontId="22" fillId="0" borderId="0" xfId="0" applyNumberFormat="1" applyFont="1" applyFill="1" applyAlignment="1">
      <alignment horizontal="center" vertical="center"/>
    </xf>
    <xf numFmtId="176" fontId="22" fillId="0" borderId="0" xfId="0" applyNumberFormat="1" applyFont="1" applyFill="1" applyAlignment="1">
      <alignment vertical="center"/>
    </xf>
    <xf numFmtId="0" fontId="22" fillId="0" borderId="0" xfId="0" applyFont="1" applyFill="1" applyAlignment="1">
      <alignment vertical="center" shrinkToFit="1"/>
    </xf>
    <xf numFmtId="191" fontId="22" fillId="0" borderId="0" xfId="0" applyNumberFormat="1" applyFont="1" applyFill="1" applyAlignment="1">
      <alignment vertical="center"/>
    </xf>
    <xf numFmtId="0" fontId="22" fillId="0" borderId="0" xfId="0" applyFont="1" applyFill="1" applyAlignment="1">
      <alignment horizontal="center" vertical="center" shrinkToFit="1"/>
    </xf>
    <xf numFmtId="187" fontId="22" fillId="0" borderId="0" xfId="0" applyNumberFormat="1" applyFont="1" applyFill="1" applyAlignment="1">
      <alignment vertical="center"/>
    </xf>
    <xf numFmtId="187" fontId="22" fillId="0" borderId="0" xfId="0" applyNumberFormat="1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2" fillId="0" borderId="43" xfId="0" applyFont="1" applyFill="1" applyBorder="1" applyAlignment="1">
      <alignment horizontal="center" vertical="center"/>
    </xf>
    <xf numFmtId="0" fontId="22" fillId="5" borderId="24" xfId="0" applyFont="1" applyFill="1" applyBorder="1" applyAlignment="1">
      <alignment horizontal="center" vertical="center" shrinkToFit="1"/>
    </xf>
    <xf numFmtId="185" fontId="22" fillId="5" borderId="24" xfId="0" applyNumberFormat="1" applyFont="1" applyFill="1" applyBorder="1" applyAlignment="1">
      <alignment vertical="center" shrinkToFit="1"/>
    </xf>
    <xf numFmtId="191" fontId="22" fillId="5" borderId="24" xfId="0" applyNumberFormat="1" applyFont="1" applyFill="1" applyBorder="1" applyAlignment="1">
      <alignment horizontal="center" vertical="center"/>
    </xf>
    <xf numFmtId="181" fontId="22" fillId="5" borderId="24" xfId="0" applyNumberFormat="1" applyFont="1" applyFill="1" applyBorder="1" applyAlignment="1">
      <alignment vertical="center"/>
    </xf>
    <xf numFmtId="187" fontId="22" fillId="5" borderId="24" xfId="0" applyNumberFormat="1" applyFont="1" applyFill="1" applyBorder="1" applyAlignment="1">
      <alignment vertical="center"/>
    </xf>
    <xf numFmtId="0" fontId="22" fillId="5" borderId="24" xfId="0" applyFont="1" applyFill="1" applyBorder="1" applyAlignment="1">
      <alignment horizontal="center" vertical="center"/>
    </xf>
    <xf numFmtId="0" fontId="28" fillId="0" borderId="22" xfId="0" applyFont="1" applyBorder="1" applyAlignment="1">
      <alignment vertical="center" shrinkToFit="1"/>
    </xf>
    <xf numFmtId="0" fontId="22" fillId="0" borderId="27" xfId="0" applyFont="1" applyBorder="1" applyAlignment="1">
      <alignment vertical="center" shrinkToFit="1"/>
    </xf>
    <xf numFmtId="184" fontId="22" fillId="0" borderId="27" xfId="0" applyNumberFormat="1" applyFont="1" applyBorder="1" applyAlignment="1">
      <alignment vertical="center"/>
    </xf>
    <xf numFmtId="181" fontId="22" fillId="0" borderId="23" xfId="0" applyNumberFormat="1" applyFont="1" applyBorder="1" applyAlignment="1">
      <alignment vertical="center"/>
    </xf>
    <xf numFmtId="186" fontId="22" fillId="0" borderId="24" xfId="0" applyNumberFormat="1" applyFont="1" applyBorder="1" applyAlignment="1">
      <alignment vertical="center"/>
    </xf>
    <xf numFmtId="191" fontId="22" fillId="4" borderId="11" xfId="0" applyNumberFormat="1" applyFont="1" applyFill="1" applyBorder="1" applyAlignment="1">
      <alignment horizontal="center" vertical="center"/>
    </xf>
    <xf numFmtId="184" fontId="22" fillId="4" borderId="11" xfId="0" applyNumberFormat="1" applyFont="1" applyFill="1" applyBorder="1" applyAlignment="1">
      <alignment vertical="center"/>
    </xf>
    <xf numFmtId="0" fontId="22" fillId="4" borderId="11" xfId="0" applyFont="1" applyFill="1" applyBorder="1" applyAlignment="1">
      <alignment horizontal="center" vertical="center" shrinkToFit="1"/>
    </xf>
    <xf numFmtId="193" fontId="22" fillId="4" borderId="22" xfId="0" applyNumberFormat="1" applyFont="1" applyFill="1" applyBorder="1" applyAlignment="1">
      <alignment vertical="center"/>
    </xf>
    <xf numFmtId="191" fontId="22" fillId="4" borderId="25" xfId="0" applyNumberFormat="1" applyFont="1" applyFill="1" applyBorder="1" applyAlignment="1">
      <alignment horizontal="center" vertical="center"/>
    </xf>
    <xf numFmtId="181" fontId="22" fillId="4" borderId="25" xfId="0" applyNumberFormat="1" applyFont="1" applyFill="1" applyBorder="1" applyAlignment="1">
      <alignment vertical="center"/>
    </xf>
    <xf numFmtId="187" fontId="22" fillId="4" borderId="24" xfId="0" applyNumberFormat="1" applyFont="1" applyFill="1" applyBorder="1" applyAlignment="1">
      <alignment horizontal="center" vertical="center"/>
    </xf>
    <xf numFmtId="184" fontId="22" fillId="0" borderId="25" xfId="0" applyNumberFormat="1" applyFont="1" applyBorder="1" applyAlignment="1">
      <alignment vertical="center"/>
    </xf>
    <xf numFmtId="0" fontId="22" fillId="0" borderId="25" xfId="0" applyFont="1" applyBorder="1" applyAlignment="1">
      <alignment horizontal="center" vertical="center" shrinkToFit="1"/>
    </xf>
    <xf numFmtId="193" fontId="22" fillId="0" borderId="24" xfId="0" applyNumberFormat="1" applyFont="1" applyBorder="1" applyAlignment="1">
      <alignment vertical="center"/>
    </xf>
    <xf numFmtId="0" fontId="28" fillId="0" borderId="25" xfId="0" applyFont="1" applyFill="1" applyBorder="1" applyAlignment="1">
      <alignment vertical="center" shrinkToFit="1"/>
    </xf>
    <xf numFmtId="0" fontId="22" fillId="0" borderId="25" xfId="0" applyFont="1" applyFill="1" applyBorder="1" applyAlignment="1">
      <alignment vertical="center" shrinkToFit="1"/>
    </xf>
    <xf numFmtId="191" fontId="22" fillId="0" borderId="25" xfId="0" applyNumberFormat="1" applyFont="1" applyFill="1" applyBorder="1" applyAlignment="1">
      <alignment vertical="center"/>
    </xf>
    <xf numFmtId="181" fontId="22" fillId="0" borderId="25" xfId="0" applyNumberFormat="1" applyFont="1" applyFill="1" applyBorder="1" applyAlignment="1">
      <alignment vertical="center"/>
    </xf>
    <xf numFmtId="184" fontId="22" fillId="0" borderId="25" xfId="0" applyNumberFormat="1" applyFont="1" applyFill="1" applyBorder="1" applyAlignment="1">
      <alignment vertical="center"/>
    </xf>
    <xf numFmtId="186" fontId="22" fillId="21" borderId="24" xfId="0" applyNumberFormat="1" applyFont="1" applyFill="1" applyBorder="1" applyAlignment="1">
      <alignment vertical="center"/>
    </xf>
    <xf numFmtId="182" fontId="22" fillId="0" borderId="25" xfId="0" applyNumberFormat="1" applyFont="1" applyBorder="1" applyAlignment="1">
      <alignment vertical="center"/>
    </xf>
    <xf numFmtId="181" fontId="22" fillId="0" borderId="27" xfId="0" applyNumberFormat="1" applyFont="1" applyBorder="1" applyAlignment="1">
      <alignment vertical="center"/>
    </xf>
    <xf numFmtId="181" fontId="22" fillId="0" borderId="0" xfId="0" applyNumberFormat="1" applyFont="1" applyBorder="1" applyAlignment="1">
      <alignment vertical="center"/>
    </xf>
    <xf numFmtId="189" fontId="22" fillId="0" borderId="25" xfId="0" applyNumberFormat="1" applyFont="1" applyBorder="1" applyAlignment="1">
      <alignment vertical="center"/>
    </xf>
    <xf numFmtId="176" fontId="22" fillId="0" borderId="23" xfId="0" applyNumberFormat="1" applyFont="1" applyBorder="1" applyAlignment="1">
      <alignment horizontal="center" vertical="center" wrapText="1"/>
    </xf>
    <xf numFmtId="0" fontId="28" fillId="0" borderId="15" xfId="0" applyFont="1" applyBorder="1" applyAlignment="1">
      <alignment vertical="center" shrinkToFit="1"/>
    </xf>
    <xf numFmtId="0" fontId="22" fillId="0" borderId="15" xfId="0" applyFont="1" applyBorder="1" applyAlignment="1">
      <alignment vertical="center" shrinkToFit="1"/>
    </xf>
    <xf numFmtId="191" fontId="22" fillId="0" borderId="15" xfId="0" applyNumberFormat="1" applyFont="1" applyBorder="1" applyAlignment="1">
      <alignment vertical="center"/>
    </xf>
    <xf numFmtId="182" fontId="22" fillId="0" borderId="15" xfId="0" applyNumberFormat="1" applyFont="1" applyBorder="1" applyAlignment="1">
      <alignment vertical="center"/>
    </xf>
    <xf numFmtId="0" fontId="31" fillId="0" borderId="15" xfId="0" applyFont="1" applyBorder="1" applyAlignment="1">
      <alignment horizontal="center" vertical="center" shrinkToFit="1"/>
    </xf>
    <xf numFmtId="57" fontId="22" fillId="0" borderId="24" xfId="0" applyNumberFormat="1" applyFont="1" applyBorder="1" applyAlignment="1">
      <alignment horizontal="center" vertical="center"/>
    </xf>
    <xf numFmtId="57" fontId="22" fillId="0" borderId="27" xfId="0" applyNumberFormat="1" applyFont="1" applyBorder="1" applyAlignment="1">
      <alignment horizontal="center" vertical="center"/>
    </xf>
    <xf numFmtId="0" fontId="28" fillId="4" borderId="23" xfId="0" applyFont="1" applyFill="1" applyBorder="1" applyAlignment="1">
      <alignment vertical="center" shrinkToFit="1"/>
    </xf>
    <xf numFmtId="182" fontId="22" fillId="4" borderId="23" xfId="0" applyNumberFormat="1" applyFont="1" applyFill="1" applyBorder="1" applyAlignment="1">
      <alignment vertical="center"/>
    </xf>
    <xf numFmtId="193" fontId="22" fillId="4" borderId="23" xfId="0" applyNumberFormat="1" applyFont="1" applyFill="1" applyBorder="1" applyAlignment="1">
      <alignment vertical="center"/>
    </xf>
    <xf numFmtId="185" fontId="22" fillId="4" borderId="32" xfId="0" applyNumberFormat="1" applyFont="1" applyFill="1" applyBorder="1" applyAlignment="1">
      <alignment vertical="center"/>
    </xf>
    <xf numFmtId="193" fontId="22" fillId="4" borderId="32" xfId="0" applyNumberFormat="1" applyFont="1" applyFill="1" applyBorder="1" applyAlignment="1">
      <alignment vertical="center"/>
    </xf>
    <xf numFmtId="193" fontId="22" fillId="0" borderId="27" xfId="0" applyNumberFormat="1" applyFont="1" applyBorder="1" applyAlignment="1">
      <alignment vertical="center"/>
    </xf>
    <xf numFmtId="188" fontId="22" fillId="0" borderId="33" xfId="0" applyNumberFormat="1" applyFont="1" applyBorder="1" applyAlignment="1">
      <alignment vertical="center"/>
    </xf>
    <xf numFmtId="193" fontId="22" fillId="0" borderId="33" xfId="0" applyNumberFormat="1" applyFont="1" applyBorder="1" applyAlignment="1">
      <alignment vertical="center"/>
    </xf>
    <xf numFmtId="182" fontId="22" fillId="0" borderId="23" xfId="0" applyNumberFormat="1" applyFont="1" applyBorder="1" applyAlignment="1">
      <alignment vertical="center"/>
    </xf>
    <xf numFmtId="193" fontId="22" fillId="0" borderId="0" xfId="0" applyNumberFormat="1" applyFont="1" applyBorder="1" applyAlignment="1">
      <alignment vertical="center"/>
    </xf>
    <xf numFmtId="193" fontId="22" fillId="0" borderId="0" xfId="0" applyNumberFormat="1" applyFont="1" applyBorder="1" applyAlignment="1">
      <alignment vertical="center"/>
    </xf>
    <xf numFmtId="184" fontId="22" fillId="0" borderId="0" xfId="0" applyNumberFormat="1" applyFont="1" applyBorder="1" applyAlignment="1">
      <alignment vertical="center"/>
    </xf>
    <xf numFmtId="185" fontId="22" fillId="4" borderId="24" xfId="0" applyNumberFormat="1" applyFont="1" applyFill="1" applyBorder="1" applyAlignment="1">
      <alignment vertical="center"/>
    </xf>
    <xf numFmtId="185" fontId="22" fillId="4" borderId="24" xfId="0" applyNumberFormat="1" applyFont="1" applyFill="1" applyBorder="1" applyAlignment="1">
      <alignment horizontal="center" vertical="center"/>
    </xf>
    <xf numFmtId="193" fontId="22" fillId="0" borderId="24" xfId="0" applyNumberFormat="1" applyFont="1" applyFill="1" applyBorder="1" applyAlignment="1">
      <alignment vertical="center"/>
    </xf>
    <xf numFmtId="0" fontId="28" fillId="0" borderId="22" xfId="0" applyFont="1" applyBorder="1" applyAlignment="1">
      <alignment vertical="center"/>
    </xf>
    <xf numFmtId="182" fontId="22" fillId="0" borderId="24" xfId="0" applyNumberFormat="1" applyFont="1" applyFill="1" applyBorder="1" applyAlignment="1">
      <alignment vertical="center"/>
    </xf>
    <xf numFmtId="185" fontId="22" fillId="0" borderId="27" xfId="0" applyNumberFormat="1" applyFont="1" applyBorder="1" applyAlignment="1">
      <alignment vertical="center"/>
    </xf>
    <xf numFmtId="193" fontId="22" fillId="0" borderId="27" xfId="0" applyNumberFormat="1" applyFont="1" applyFill="1" applyBorder="1" applyAlignment="1">
      <alignment vertical="center"/>
    </xf>
    <xf numFmtId="0" fontId="22" fillId="0" borderId="27" xfId="0" applyFont="1" applyBorder="1" applyAlignment="1">
      <alignment horizontal="center" vertical="center"/>
    </xf>
    <xf numFmtId="185" fontId="22" fillId="0" borderId="0" xfId="0" applyNumberFormat="1" applyFont="1" applyBorder="1" applyAlignment="1">
      <alignment vertical="center"/>
    </xf>
    <xf numFmtId="178" fontId="22" fillId="0" borderId="49" xfId="0" applyNumberFormat="1" applyFont="1" applyBorder="1" applyAlignment="1">
      <alignment horizontal="center" vertical="center"/>
    </xf>
    <xf numFmtId="187" fontId="22" fillId="0" borderId="21" xfId="0" applyNumberFormat="1" applyFont="1" applyBorder="1" applyAlignment="1">
      <alignment horizontal="center" vertical="center"/>
    </xf>
    <xf numFmtId="0" fontId="22" fillId="0" borderId="51" xfId="0" applyNumberFormat="1" applyFont="1" applyBorder="1" applyAlignment="1">
      <alignment horizontal="center" vertical="center"/>
    </xf>
    <xf numFmtId="0" fontId="22" fillId="0" borderId="52" xfId="0" applyNumberFormat="1" applyFont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185" fontId="22" fillId="0" borderId="0" xfId="62" applyNumberFormat="1" applyFont="1" applyFill="1" applyBorder="1" applyAlignment="1">
      <alignment vertical="center"/>
      <protection/>
    </xf>
    <xf numFmtId="186" fontId="22" fillId="0" borderId="0" xfId="62" applyNumberFormat="1" applyFont="1" applyFill="1" applyBorder="1" applyAlignment="1">
      <alignment vertical="center"/>
      <protection/>
    </xf>
    <xf numFmtId="0" fontId="0" fillId="4" borderId="0" xfId="0" applyFill="1" applyBorder="1" applyAlignment="1">
      <alignment horizontal="center" vertical="center"/>
    </xf>
    <xf numFmtId="184" fontId="22" fillId="0" borderId="0" xfId="0" applyNumberFormat="1" applyFont="1" applyFill="1" applyBorder="1" applyAlignment="1">
      <alignment vertical="center"/>
    </xf>
    <xf numFmtId="0" fontId="22" fillId="4" borderId="42" xfId="0" applyFont="1" applyFill="1" applyBorder="1" applyAlignment="1">
      <alignment horizontal="center" vertical="center"/>
    </xf>
    <xf numFmtId="187" fontId="22" fillId="0" borderId="15" xfId="0" applyNumberFormat="1" applyFont="1" applyFill="1" applyBorder="1" applyAlignment="1">
      <alignment vertical="center"/>
    </xf>
    <xf numFmtId="187" fontId="22" fillId="0" borderId="25" xfId="0" applyNumberFormat="1" applyFont="1" applyFill="1" applyBorder="1" applyAlignment="1">
      <alignment vertical="center"/>
    </xf>
    <xf numFmtId="187" fontId="22" fillId="4" borderId="15" xfId="0" applyNumberFormat="1" applyFont="1" applyFill="1" applyBorder="1" applyAlignment="1">
      <alignment vertical="center"/>
    </xf>
    <xf numFmtId="185" fontId="22" fillId="0" borderId="0" xfId="62" applyNumberFormat="1" applyFont="1" applyFill="1" applyBorder="1" applyAlignment="1">
      <alignment horizontal="center" vertical="center"/>
      <protection/>
    </xf>
    <xf numFmtId="185" fontId="22" fillId="0" borderId="0" xfId="0" applyNumberFormat="1" applyFont="1" applyFill="1" applyBorder="1" applyAlignment="1">
      <alignment vertical="center"/>
    </xf>
    <xf numFmtId="189" fontId="22" fillId="0" borderId="0" xfId="62" applyNumberFormat="1" applyFont="1" applyFill="1" applyBorder="1" applyAlignment="1">
      <alignment horizontal="center" vertical="center"/>
      <protection/>
    </xf>
    <xf numFmtId="185" fontId="22" fillId="4" borderId="23" xfId="62" applyNumberFormat="1" applyFont="1" applyFill="1" applyBorder="1" applyAlignment="1">
      <alignment horizontal="center" vertical="center"/>
      <protection/>
    </xf>
    <xf numFmtId="185" fontId="22" fillId="24" borderId="25" xfId="62" applyNumberFormat="1" applyFont="1" applyFill="1" applyBorder="1" applyAlignment="1">
      <alignment horizontal="center" vertical="center"/>
      <protection/>
    </xf>
    <xf numFmtId="189" fontId="22" fillId="0" borderId="24" xfId="62" applyNumberFormat="1" applyFont="1" applyFill="1" applyBorder="1" applyAlignment="1">
      <alignment horizontal="center" vertical="center"/>
      <protection/>
    </xf>
    <xf numFmtId="189" fontId="22" fillId="21" borderId="24" xfId="62" applyNumberFormat="1" applyFont="1" applyFill="1" applyBorder="1" applyAlignment="1">
      <alignment horizontal="center" vertical="center"/>
      <protection/>
    </xf>
    <xf numFmtId="189" fontId="22" fillId="0" borderId="22" xfId="62" applyNumberFormat="1" applyFont="1" applyFill="1" applyBorder="1" applyAlignment="1">
      <alignment horizontal="center" vertical="center"/>
      <protection/>
    </xf>
    <xf numFmtId="185" fontId="22" fillId="24" borderId="24" xfId="62" applyNumberFormat="1" applyFont="1" applyFill="1" applyBorder="1" applyAlignment="1">
      <alignment horizontal="center" vertical="center"/>
      <protection/>
    </xf>
    <xf numFmtId="189" fontId="22" fillId="5" borderId="27" xfId="62" applyNumberFormat="1" applyFont="1" applyFill="1" applyBorder="1" applyAlignment="1">
      <alignment horizontal="center" vertical="center"/>
      <protection/>
    </xf>
    <xf numFmtId="0" fontId="22" fillId="21" borderId="43" xfId="0" applyFont="1" applyFill="1" applyBorder="1" applyAlignment="1">
      <alignment vertical="center" shrinkToFit="1"/>
    </xf>
    <xf numFmtId="0" fontId="22" fillId="0" borderId="43" xfId="0" applyFont="1" applyBorder="1" applyAlignment="1">
      <alignment vertical="center" shrinkToFit="1"/>
    </xf>
    <xf numFmtId="0" fontId="22" fillId="0" borderId="18" xfId="0" applyFont="1" applyBorder="1" applyAlignment="1">
      <alignment vertical="center"/>
    </xf>
    <xf numFmtId="0" fontId="22" fillId="0" borderId="46" xfId="0" applyFont="1" applyBorder="1" applyAlignment="1">
      <alignment vertical="center"/>
    </xf>
    <xf numFmtId="0" fontId="22" fillId="24" borderId="18" xfId="0" applyFont="1" applyFill="1" applyBorder="1" applyAlignment="1">
      <alignment vertical="center" shrinkToFit="1"/>
    </xf>
    <xf numFmtId="0" fontId="22" fillId="4" borderId="18" xfId="0" applyFont="1" applyFill="1" applyBorder="1" applyAlignment="1">
      <alignment vertical="center"/>
    </xf>
    <xf numFmtId="0" fontId="22" fillId="0" borderId="26" xfId="0" applyFont="1" applyBorder="1" applyAlignment="1">
      <alignment vertical="center"/>
    </xf>
    <xf numFmtId="0" fontId="22" fillId="4" borderId="53" xfId="0" applyFont="1" applyFill="1" applyBorder="1" applyAlignment="1">
      <alignment horizontal="center" vertical="center"/>
    </xf>
    <xf numFmtId="182" fontId="22" fillId="0" borderId="0" xfId="62" applyNumberFormat="1" applyFont="1" applyFill="1" applyBorder="1" applyAlignment="1">
      <alignment vertical="center"/>
      <protection/>
    </xf>
    <xf numFmtId="182" fontId="22" fillId="0" borderId="0" xfId="62" applyNumberFormat="1" applyFont="1" applyFill="1" applyBorder="1" applyAlignment="1">
      <alignment vertical="center" shrinkToFit="1"/>
      <protection/>
    </xf>
    <xf numFmtId="184" fontId="22" fillId="0" borderId="0" xfId="62" applyNumberFormat="1" applyFont="1" applyFill="1" applyBorder="1" applyAlignment="1">
      <alignment vertical="center" shrinkToFit="1"/>
      <protection/>
    </xf>
    <xf numFmtId="183" fontId="22" fillId="0" borderId="0" xfId="0" applyNumberFormat="1" applyFont="1" applyFill="1" applyBorder="1" applyAlignment="1">
      <alignment vertical="center"/>
    </xf>
    <xf numFmtId="0" fontId="22" fillId="0" borderId="54" xfId="0" applyFont="1" applyFill="1" applyBorder="1" applyAlignment="1">
      <alignment horizontal="center" vertical="center"/>
    </xf>
    <xf numFmtId="191" fontId="22" fillId="0" borderId="55" xfId="0" applyNumberFormat="1" applyFont="1" applyFill="1" applyBorder="1" applyAlignment="1">
      <alignment vertical="center"/>
    </xf>
    <xf numFmtId="191" fontId="22" fillId="0" borderId="0" xfId="0" applyNumberFormat="1" applyFont="1" applyFill="1" applyBorder="1" applyAlignment="1">
      <alignment vertical="center"/>
    </xf>
    <xf numFmtId="187" fontId="22" fillId="0" borderId="0" xfId="0" applyNumberFormat="1" applyFont="1" applyFill="1" applyBorder="1" applyAlignment="1">
      <alignment horizontal="center" vertical="center"/>
    </xf>
    <xf numFmtId="181" fontId="22" fillId="4" borderId="0" xfId="0" applyNumberFormat="1" applyFont="1" applyFill="1" applyBorder="1" applyAlignment="1">
      <alignment vertical="center"/>
    </xf>
    <xf numFmtId="199" fontId="22" fillId="0" borderId="0" xfId="0" applyNumberFormat="1" applyFont="1" applyBorder="1" applyAlignment="1">
      <alignment vertical="center"/>
    </xf>
    <xf numFmtId="0" fontId="22" fillId="5" borderId="25" xfId="0" applyFont="1" applyFill="1" applyBorder="1" applyAlignment="1">
      <alignment horizontal="center" vertical="center" shrinkToFit="1"/>
    </xf>
    <xf numFmtId="185" fontId="22" fillId="5" borderId="25" xfId="0" applyNumberFormat="1" applyFont="1" applyFill="1" applyBorder="1" applyAlignment="1">
      <alignment vertical="center" shrinkToFit="1"/>
    </xf>
    <xf numFmtId="191" fontId="22" fillId="5" borderId="25" xfId="0" applyNumberFormat="1" applyFont="1" applyFill="1" applyBorder="1" applyAlignment="1">
      <alignment horizontal="center" vertical="center"/>
    </xf>
    <xf numFmtId="181" fontId="22" fillId="5" borderId="25" xfId="0" applyNumberFormat="1" applyFont="1" applyFill="1" applyBorder="1" applyAlignment="1">
      <alignment vertical="center"/>
    </xf>
    <xf numFmtId="0" fontId="22" fillId="0" borderId="56" xfId="0" applyFont="1" applyBorder="1" applyAlignment="1">
      <alignment vertical="center" shrinkToFit="1"/>
    </xf>
    <xf numFmtId="0" fontId="22" fillId="5" borderId="25" xfId="0" applyFont="1" applyFill="1" applyBorder="1" applyAlignment="1">
      <alignment horizontal="center" vertical="center"/>
    </xf>
    <xf numFmtId="191" fontId="22" fillId="4" borderId="50" xfId="0" applyNumberFormat="1" applyFont="1" applyFill="1" applyBorder="1" applyAlignment="1">
      <alignment vertical="center"/>
    </xf>
    <xf numFmtId="191" fontId="22" fillId="0" borderId="50" xfId="0" applyNumberFormat="1" applyFont="1" applyBorder="1" applyAlignment="1">
      <alignment vertical="center"/>
    </xf>
    <xf numFmtId="191" fontId="22" fillId="5" borderId="57" xfId="0" applyNumberFormat="1" applyFont="1" applyFill="1" applyBorder="1" applyAlignment="1">
      <alignment vertical="center"/>
    </xf>
    <xf numFmtId="191" fontId="22" fillId="0" borderId="58" xfId="0" applyNumberFormat="1" applyFont="1" applyBorder="1" applyAlignment="1">
      <alignment vertical="center"/>
    </xf>
    <xf numFmtId="0" fontId="22" fillId="0" borderId="42" xfId="0" applyFont="1" applyFill="1" applyBorder="1" applyAlignment="1">
      <alignment vertical="center" shrinkToFit="1"/>
    </xf>
    <xf numFmtId="0" fontId="22" fillId="0" borderId="59" xfId="0" applyFont="1" applyBorder="1" applyAlignment="1">
      <alignment vertical="center" shrinkToFit="1"/>
    </xf>
    <xf numFmtId="187" fontId="22" fillId="0" borderId="15" xfId="0" applyNumberFormat="1" applyFont="1" applyBorder="1" applyAlignment="1">
      <alignment vertical="center"/>
    </xf>
    <xf numFmtId="193" fontId="22" fillId="0" borderId="22" xfId="0" applyNumberFormat="1" applyFont="1" applyBorder="1" applyAlignment="1">
      <alignment vertical="center"/>
    </xf>
    <xf numFmtId="193" fontId="22" fillId="0" borderId="15" xfId="0" applyNumberFormat="1" applyFont="1" applyBorder="1" applyAlignment="1">
      <alignment vertical="center"/>
    </xf>
    <xf numFmtId="0" fontId="22" fillId="24" borderId="22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193" fontId="22" fillId="24" borderId="50" xfId="62" applyNumberFormat="1" applyFont="1" applyFill="1" applyBorder="1" applyAlignment="1">
      <alignment vertical="center"/>
      <protection/>
    </xf>
    <xf numFmtId="187" fontId="22" fillId="24" borderId="50" xfId="62" applyNumberFormat="1" applyFont="1" applyFill="1" applyBorder="1" applyAlignment="1">
      <alignment vertical="center"/>
      <protection/>
    </xf>
    <xf numFmtId="187" fontId="22" fillId="0" borderId="50" xfId="62" applyNumberFormat="1" applyFont="1" applyFill="1" applyBorder="1" applyAlignment="1">
      <alignment vertical="center"/>
      <protection/>
    </xf>
    <xf numFmtId="187" fontId="22" fillId="21" borderId="50" xfId="62" applyNumberFormat="1" applyFont="1" applyFill="1" applyBorder="1" applyAlignment="1">
      <alignment vertical="center"/>
      <protection/>
    </xf>
    <xf numFmtId="187" fontId="22" fillId="21" borderId="50" xfId="0" applyNumberFormat="1" applyFont="1" applyFill="1" applyBorder="1" applyAlignment="1">
      <alignment vertical="center"/>
    </xf>
    <xf numFmtId="187" fontId="22" fillId="5" borderId="58" xfId="62" applyNumberFormat="1" applyFont="1" applyFill="1" applyBorder="1" applyAlignment="1">
      <alignment vertical="center"/>
      <protection/>
    </xf>
    <xf numFmtId="187" fontId="22" fillId="0" borderId="55" xfId="0" applyNumberFormat="1" applyFont="1" applyBorder="1" applyAlignment="1">
      <alignment vertical="center"/>
    </xf>
    <xf numFmtId="187" fontId="22" fillId="0" borderId="50" xfId="0" applyNumberFormat="1" applyFont="1" applyBorder="1" applyAlignment="1">
      <alignment vertical="center"/>
    </xf>
    <xf numFmtId="187" fontId="22" fillId="0" borderId="60" xfId="0" applyNumberFormat="1" applyFont="1" applyBorder="1" applyAlignment="1">
      <alignment vertical="center"/>
    </xf>
    <xf numFmtId="187" fontId="22" fillId="0" borderId="58" xfId="0" applyNumberFormat="1" applyFont="1" applyBorder="1" applyAlignment="1">
      <alignment vertical="center"/>
    </xf>
    <xf numFmtId="187" fontId="22" fillId="21" borderId="58" xfId="62" applyNumberFormat="1" applyFont="1" applyFill="1" applyBorder="1" applyAlignment="1">
      <alignment vertical="center"/>
      <protection/>
    </xf>
    <xf numFmtId="187" fontId="22" fillId="0" borderId="58" xfId="62" applyNumberFormat="1" applyFont="1" applyFill="1" applyBorder="1" applyAlignment="1">
      <alignment vertical="center"/>
      <protection/>
    </xf>
    <xf numFmtId="187" fontId="22" fillId="4" borderId="55" xfId="62" applyNumberFormat="1" applyFont="1" applyFill="1" applyBorder="1" applyAlignment="1">
      <alignment vertical="center"/>
      <protection/>
    </xf>
    <xf numFmtId="187" fontId="22" fillId="24" borderId="50" xfId="0" applyNumberFormat="1" applyFont="1" applyFill="1" applyBorder="1" applyAlignment="1">
      <alignment vertical="center"/>
    </xf>
    <xf numFmtId="193" fontId="22" fillId="24" borderId="17" xfId="62" applyNumberFormat="1" applyFont="1" applyFill="1" applyBorder="1" applyAlignment="1">
      <alignment vertical="center"/>
      <protection/>
    </xf>
    <xf numFmtId="187" fontId="22" fillId="0" borderId="17" xfId="62" applyNumberFormat="1" applyFont="1" applyFill="1" applyBorder="1" applyAlignment="1">
      <alignment vertical="center"/>
      <protection/>
    </xf>
    <xf numFmtId="193" fontId="22" fillId="0" borderId="17" xfId="62" applyNumberFormat="1" applyFont="1" applyFill="1" applyBorder="1" applyAlignment="1">
      <alignment vertical="center"/>
      <protection/>
    </xf>
    <xf numFmtId="186" fontId="22" fillId="0" borderId="17" xfId="62" applyNumberFormat="1" applyFont="1" applyFill="1" applyBorder="1" applyAlignment="1">
      <alignment vertical="center"/>
      <protection/>
    </xf>
    <xf numFmtId="187" fontId="22" fillId="21" borderId="17" xfId="62" applyNumberFormat="1" applyFont="1" applyFill="1" applyBorder="1" applyAlignment="1">
      <alignment vertical="center"/>
      <protection/>
    </xf>
    <xf numFmtId="187" fontId="22" fillId="21" borderId="17" xfId="0" applyNumberFormat="1" applyFont="1" applyFill="1" applyBorder="1" applyAlignment="1">
      <alignment vertical="center"/>
    </xf>
    <xf numFmtId="187" fontId="22" fillId="5" borderId="61" xfId="62" applyNumberFormat="1" applyFont="1" applyFill="1" applyBorder="1" applyAlignment="1">
      <alignment vertical="center"/>
      <protection/>
    </xf>
    <xf numFmtId="187" fontId="22" fillId="0" borderId="62" xfId="0" applyNumberFormat="1" applyFont="1" applyBorder="1" applyAlignment="1">
      <alignment vertical="center"/>
    </xf>
    <xf numFmtId="187" fontId="22" fillId="0" borderId="17" xfId="0" applyNumberFormat="1" applyFont="1" applyBorder="1" applyAlignment="1">
      <alignment vertical="center"/>
    </xf>
    <xf numFmtId="187" fontId="22" fillId="0" borderId="63" xfId="0" applyNumberFormat="1" applyFont="1" applyBorder="1" applyAlignment="1">
      <alignment vertical="center"/>
    </xf>
    <xf numFmtId="187" fontId="22" fillId="0" borderId="61" xfId="0" applyNumberFormat="1" applyFont="1" applyBorder="1" applyAlignment="1">
      <alignment vertical="center"/>
    </xf>
    <xf numFmtId="193" fontId="22" fillId="21" borderId="61" xfId="62" applyNumberFormat="1" applyFont="1" applyFill="1" applyBorder="1" applyAlignment="1">
      <alignment vertical="center"/>
      <protection/>
    </xf>
    <xf numFmtId="187" fontId="22" fillId="0" borderId="61" xfId="62" applyNumberFormat="1" applyFont="1" applyFill="1" applyBorder="1" applyAlignment="1">
      <alignment vertical="center"/>
      <protection/>
    </xf>
    <xf numFmtId="187" fontId="22" fillId="4" borderId="62" xfId="62" applyNumberFormat="1" applyFont="1" applyFill="1" applyBorder="1" applyAlignment="1">
      <alignment vertical="center"/>
      <protection/>
    </xf>
    <xf numFmtId="187" fontId="22" fillId="24" borderId="17" xfId="0" applyNumberFormat="1" applyFont="1" applyFill="1" applyBorder="1" applyAlignment="1">
      <alignment vertical="center"/>
    </xf>
    <xf numFmtId="187" fontId="22" fillId="5" borderId="57" xfId="0" applyNumberFormat="1" applyFont="1" applyFill="1" applyBorder="1" applyAlignment="1">
      <alignment vertical="center"/>
    </xf>
    <xf numFmtId="183" fontId="22" fillId="0" borderId="55" xfId="62" applyNumberFormat="1" applyFont="1" applyFill="1" applyBorder="1" applyAlignment="1">
      <alignment vertical="center"/>
      <protection/>
    </xf>
    <xf numFmtId="187" fontId="22" fillId="4" borderId="60" xfId="0" applyNumberFormat="1" applyFont="1" applyFill="1" applyBorder="1" applyAlignment="1">
      <alignment vertical="center"/>
    </xf>
    <xf numFmtId="187" fontId="22" fillId="4" borderId="50" xfId="0" applyNumberFormat="1" applyFont="1" applyFill="1" applyBorder="1" applyAlignment="1">
      <alignment vertical="center"/>
    </xf>
    <xf numFmtId="187" fontId="22" fillId="5" borderId="17" xfId="0" applyNumberFormat="1" applyFont="1" applyFill="1" applyBorder="1" applyAlignment="1">
      <alignment vertical="center"/>
    </xf>
    <xf numFmtId="183" fontId="22" fillId="0" borderId="62" xfId="62" applyNumberFormat="1" applyFont="1" applyFill="1" applyBorder="1" applyAlignment="1">
      <alignment vertical="center"/>
      <protection/>
    </xf>
    <xf numFmtId="187" fontId="22" fillId="4" borderId="63" xfId="0" applyNumberFormat="1" applyFont="1" applyFill="1" applyBorder="1" applyAlignment="1">
      <alignment vertical="center"/>
    </xf>
    <xf numFmtId="187" fontId="22" fillId="4" borderId="17" xfId="0" applyNumberFormat="1" applyFont="1" applyFill="1" applyBorder="1" applyAlignment="1">
      <alignment vertical="center"/>
    </xf>
    <xf numFmtId="187" fontId="22" fillId="0" borderId="43" xfId="0" applyNumberFormat="1" applyFont="1" applyFill="1" applyBorder="1" applyAlignment="1">
      <alignment vertical="center"/>
    </xf>
    <xf numFmtId="187" fontId="22" fillId="0" borderId="42" xfId="0" applyNumberFormat="1" applyFont="1" applyFill="1" applyBorder="1" applyAlignment="1">
      <alignment vertical="center"/>
    </xf>
    <xf numFmtId="187" fontId="22" fillId="0" borderId="53" xfId="0" applyNumberFormat="1" applyFont="1" applyFill="1" applyBorder="1" applyAlignment="1">
      <alignment vertical="center"/>
    </xf>
    <xf numFmtId="187" fontId="22" fillId="0" borderId="56" xfId="0" applyNumberFormat="1" applyFont="1" applyFill="1" applyBorder="1" applyAlignment="1">
      <alignment vertical="center"/>
    </xf>
    <xf numFmtId="187" fontId="22" fillId="4" borderId="42" xfId="0" applyNumberFormat="1" applyFont="1" applyFill="1" applyBorder="1" applyAlignment="1">
      <alignment vertical="center"/>
    </xf>
    <xf numFmtId="187" fontId="22" fillId="4" borderId="43" xfId="0" applyNumberFormat="1" applyFont="1" applyFill="1" applyBorder="1" applyAlignment="1">
      <alignment vertical="center"/>
    </xf>
    <xf numFmtId="193" fontId="22" fillId="4" borderId="43" xfId="0" applyNumberFormat="1" applyFont="1" applyFill="1" applyBorder="1" applyAlignment="1">
      <alignment vertical="center"/>
    </xf>
    <xf numFmtId="187" fontId="22" fillId="0" borderId="17" xfId="0" applyNumberFormat="1" applyFont="1" applyFill="1" applyBorder="1" applyAlignment="1">
      <alignment vertical="center"/>
    </xf>
    <xf numFmtId="187" fontId="22" fillId="0" borderId="62" xfId="0" applyNumberFormat="1" applyFont="1" applyFill="1" applyBorder="1" applyAlignment="1">
      <alignment vertical="center"/>
    </xf>
    <xf numFmtId="187" fontId="22" fillId="0" borderId="63" xfId="0" applyNumberFormat="1" applyFont="1" applyFill="1" applyBorder="1" applyAlignment="1">
      <alignment vertical="center"/>
    </xf>
    <xf numFmtId="187" fontId="22" fillId="0" borderId="61" xfId="0" applyNumberFormat="1" applyFont="1" applyFill="1" applyBorder="1" applyAlignment="1">
      <alignment vertical="center"/>
    </xf>
    <xf numFmtId="186" fontId="22" fillId="4" borderId="63" xfId="0" applyNumberFormat="1" applyFont="1" applyFill="1" applyBorder="1" applyAlignment="1">
      <alignment vertical="center"/>
    </xf>
    <xf numFmtId="186" fontId="22" fillId="4" borderId="17" xfId="0" applyNumberFormat="1" applyFont="1" applyFill="1" applyBorder="1" applyAlignment="1">
      <alignment vertical="center"/>
    </xf>
    <xf numFmtId="182" fontId="22" fillId="4" borderId="17" xfId="0" applyNumberFormat="1" applyFont="1" applyFill="1" applyBorder="1" applyAlignment="1">
      <alignment horizontal="center" vertical="center"/>
    </xf>
    <xf numFmtId="187" fontId="22" fillId="0" borderId="50" xfId="0" applyNumberFormat="1" applyFont="1" applyFill="1" applyBorder="1" applyAlignment="1">
      <alignment vertical="center"/>
    </xf>
    <xf numFmtId="187" fontId="22" fillId="0" borderId="57" xfId="0" applyNumberFormat="1" applyFont="1" applyBorder="1" applyAlignment="1">
      <alignment vertical="center"/>
    </xf>
    <xf numFmtId="187" fontId="22" fillId="4" borderId="55" xfId="0" applyNumberFormat="1" applyFont="1" applyFill="1" applyBorder="1" applyAlignment="1">
      <alignment vertical="center"/>
    </xf>
    <xf numFmtId="187" fontId="22" fillId="0" borderId="64" xfId="0" applyNumberFormat="1" applyFont="1" applyBorder="1" applyAlignment="1">
      <alignment vertical="center"/>
    </xf>
    <xf numFmtId="187" fontId="22" fillId="4" borderId="62" xfId="0" applyNumberFormat="1" applyFont="1" applyFill="1" applyBorder="1" applyAlignment="1">
      <alignment vertical="center"/>
    </xf>
    <xf numFmtId="191" fontId="22" fillId="4" borderId="17" xfId="0" applyNumberFormat="1" applyFont="1" applyFill="1" applyBorder="1" applyAlignment="1">
      <alignment vertical="center"/>
    </xf>
    <xf numFmtId="187" fontId="22" fillId="5" borderId="58" xfId="0" applyNumberFormat="1" applyFont="1" applyFill="1" applyBorder="1" applyAlignment="1">
      <alignment vertical="center"/>
    </xf>
    <xf numFmtId="193" fontId="22" fillId="0" borderId="17" xfId="0" applyNumberFormat="1" applyFont="1" applyFill="1" applyBorder="1" applyAlignment="1">
      <alignment vertical="center"/>
    </xf>
    <xf numFmtId="186" fontId="22" fillId="0" borderId="17" xfId="0" applyNumberFormat="1" applyFont="1" applyFill="1" applyBorder="1" applyAlignment="1">
      <alignment vertical="center"/>
    </xf>
    <xf numFmtId="186" fontId="22" fillId="0" borderId="17" xfId="0" applyNumberFormat="1" applyFont="1" applyBorder="1" applyAlignment="1">
      <alignment vertical="center"/>
    </xf>
    <xf numFmtId="187" fontId="22" fillId="5" borderId="61" xfId="0" applyNumberFormat="1" applyFont="1" applyFill="1" applyBorder="1" applyAlignment="1">
      <alignment vertical="center"/>
    </xf>
    <xf numFmtId="186" fontId="22" fillId="0" borderId="50" xfId="0" applyNumberFormat="1" applyFont="1" applyBorder="1" applyAlignment="1">
      <alignment vertical="center"/>
    </xf>
    <xf numFmtId="187" fontId="22" fillId="5" borderId="50" xfId="0" applyNumberFormat="1" applyFont="1" applyFill="1" applyBorder="1" applyAlignment="1">
      <alignment vertical="center"/>
    </xf>
    <xf numFmtId="193" fontId="22" fillId="4" borderId="17" xfId="0" applyNumberFormat="1" applyFont="1" applyFill="1" applyBorder="1" applyAlignment="1">
      <alignment vertical="center"/>
    </xf>
    <xf numFmtId="193" fontId="22" fillId="21" borderId="17" xfId="0" applyNumberFormat="1" applyFont="1" applyFill="1" applyBorder="1" applyAlignment="1">
      <alignment vertical="center"/>
    </xf>
    <xf numFmtId="186" fontId="22" fillId="0" borderId="55" xfId="0" applyNumberFormat="1" applyFont="1" applyBorder="1" applyAlignment="1">
      <alignment vertical="center"/>
    </xf>
    <xf numFmtId="193" fontId="22" fillId="4" borderId="60" xfId="0" applyNumberFormat="1" applyFont="1" applyFill="1" applyBorder="1" applyAlignment="1">
      <alignment vertical="center"/>
    </xf>
    <xf numFmtId="187" fontId="22" fillId="4" borderId="50" xfId="0" applyNumberFormat="1" applyFont="1" applyFill="1" applyBorder="1" applyAlignment="1">
      <alignment horizontal="center" vertical="center"/>
    </xf>
    <xf numFmtId="193" fontId="22" fillId="4" borderId="50" xfId="0" applyNumberFormat="1" applyFont="1" applyFill="1" applyBorder="1" applyAlignment="1">
      <alignment vertical="center"/>
    </xf>
    <xf numFmtId="193" fontId="22" fillId="0" borderId="50" xfId="0" applyNumberFormat="1" applyFont="1" applyBorder="1" applyAlignment="1">
      <alignment vertical="center"/>
    </xf>
    <xf numFmtId="186" fontId="22" fillId="0" borderId="50" xfId="0" applyNumberFormat="1" applyFont="1" applyFill="1" applyBorder="1" applyAlignment="1">
      <alignment vertical="center"/>
    </xf>
    <xf numFmtId="186" fontId="22" fillId="21" borderId="50" xfId="0" applyNumberFormat="1" applyFont="1" applyFill="1" applyBorder="1" applyAlignment="1">
      <alignment vertical="center"/>
    </xf>
    <xf numFmtId="186" fontId="22" fillId="0" borderId="62" xfId="0" applyNumberFormat="1" applyFont="1" applyBorder="1" applyAlignment="1">
      <alignment vertical="center"/>
    </xf>
    <xf numFmtId="181" fontId="22" fillId="4" borderId="17" xfId="0" applyNumberFormat="1" applyFont="1" applyFill="1" applyBorder="1" applyAlignment="1">
      <alignment horizontal="center" vertical="center"/>
    </xf>
    <xf numFmtId="193" fontId="22" fillId="0" borderId="17" xfId="0" applyNumberFormat="1" applyFont="1" applyBorder="1" applyAlignment="1">
      <alignment vertical="center"/>
    </xf>
    <xf numFmtId="191" fontId="22" fillId="4" borderId="62" xfId="0" applyNumberFormat="1" applyFont="1" applyFill="1" applyBorder="1" applyAlignment="1">
      <alignment vertical="center"/>
    </xf>
    <xf numFmtId="185" fontId="22" fillId="4" borderId="50" xfId="0" applyNumberFormat="1" applyFont="1" applyFill="1" applyBorder="1" applyAlignment="1">
      <alignment vertical="center"/>
    </xf>
    <xf numFmtId="188" fontId="22" fillId="4" borderId="50" xfId="0" applyNumberFormat="1" applyFont="1" applyFill="1" applyBorder="1" applyAlignment="1">
      <alignment horizontal="center" vertical="center"/>
    </xf>
    <xf numFmtId="193" fontId="22" fillId="0" borderId="50" xfId="0" applyNumberFormat="1" applyFont="1" applyFill="1" applyBorder="1" applyAlignment="1">
      <alignment vertical="center"/>
    </xf>
    <xf numFmtId="193" fontId="22" fillId="0" borderId="58" xfId="0" applyNumberFormat="1" applyFont="1" applyFill="1" applyBorder="1" applyAlignment="1">
      <alignment vertical="center"/>
    </xf>
    <xf numFmtId="181" fontId="22" fillId="4" borderId="62" xfId="0" applyNumberFormat="1" applyFont="1" applyFill="1" applyBorder="1" applyAlignment="1">
      <alignment horizontal="center" vertical="center"/>
    </xf>
    <xf numFmtId="182" fontId="22" fillId="0" borderId="17" xfId="0" applyNumberFormat="1" applyFont="1" applyFill="1" applyBorder="1" applyAlignment="1">
      <alignment horizontal="center" vertical="center"/>
    </xf>
    <xf numFmtId="188" fontId="22" fillId="0" borderId="17" xfId="0" applyNumberFormat="1" applyFont="1" applyBorder="1" applyAlignment="1">
      <alignment vertical="center"/>
    </xf>
    <xf numFmtId="193" fontId="22" fillId="0" borderId="61" xfId="0" applyNumberFormat="1" applyFont="1" applyFill="1" applyBorder="1" applyAlignment="1">
      <alignment vertical="center"/>
    </xf>
    <xf numFmtId="0" fontId="22" fillId="0" borderId="65" xfId="0" applyNumberFormat="1" applyFont="1" applyBorder="1" applyAlignment="1">
      <alignment horizontal="center" vertical="center"/>
    </xf>
    <xf numFmtId="193" fontId="22" fillId="0" borderId="55" xfId="0" applyNumberFormat="1" applyFont="1" applyBorder="1" applyAlignment="1">
      <alignment vertical="center"/>
    </xf>
    <xf numFmtId="185" fontId="22" fillId="0" borderId="50" xfId="0" applyNumberFormat="1" applyFont="1" applyFill="1" applyBorder="1" applyAlignment="1">
      <alignment horizontal="center" vertical="center"/>
    </xf>
    <xf numFmtId="186" fontId="22" fillId="0" borderId="58" xfId="0" applyNumberFormat="1" applyFont="1" applyBorder="1" applyAlignment="1">
      <alignment vertical="center"/>
    </xf>
    <xf numFmtId="0" fontId="22" fillId="0" borderId="66" xfId="0" applyNumberFormat="1" applyFont="1" applyBorder="1" applyAlignment="1">
      <alignment horizontal="center" vertical="center"/>
    </xf>
    <xf numFmtId="188" fontId="22" fillId="0" borderId="62" xfId="0" applyNumberFormat="1" applyFont="1" applyBorder="1" applyAlignment="1">
      <alignment vertical="center"/>
    </xf>
    <xf numFmtId="185" fontId="22" fillId="0" borderId="17" xfId="0" applyNumberFormat="1" applyFont="1" applyFill="1" applyBorder="1" applyAlignment="1">
      <alignment vertical="center"/>
    </xf>
    <xf numFmtId="185" fontId="22" fillId="0" borderId="17" xfId="0" applyNumberFormat="1" applyFont="1" applyBorder="1" applyAlignment="1">
      <alignment vertical="center"/>
    </xf>
    <xf numFmtId="185" fontId="22" fillId="0" borderId="61" xfId="0" applyNumberFormat="1" applyFont="1" applyBorder="1" applyAlignment="1">
      <alignment vertical="center"/>
    </xf>
    <xf numFmtId="0" fontId="22" fillId="4" borderId="62" xfId="0" applyFont="1" applyFill="1" applyBorder="1" applyAlignment="1">
      <alignment vertical="center" shrinkToFit="1"/>
    </xf>
    <xf numFmtId="0" fontId="22" fillId="24" borderId="17" xfId="0" applyFont="1" applyFill="1" applyBorder="1" applyAlignment="1">
      <alignment vertical="center" shrinkToFit="1"/>
    </xf>
    <xf numFmtId="0" fontId="22" fillId="24" borderId="67" xfId="0" applyFont="1" applyFill="1" applyBorder="1" applyAlignment="1">
      <alignment vertical="center" shrinkToFit="1"/>
    </xf>
    <xf numFmtId="0" fontId="22" fillId="24" borderId="63" xfId="0" applyFont="1" applyFill="1" applyBorder="1" applyAlignment="1">
      <alignment vertical="center" shrinkToFit="1"/>
    </xf>
    <xf numFmtId="0" fontId="22" fillId="24" borderId="68" xfId="0" applyFont="1" applyFill="1" applyBorder="1" applyAlignment="1">
      <alignment vertical="center" shrinkToFit="1"/>
    </xf>
    <xf numFmtId="0" fontId="22" fillId="24" borderId="46" xfId="0" applyFont="1" applyFill="1" applyBorder="1" applyAlignment="1">
      <alignment vertical="center" shrinkToFit="1"/>
    </xf>
    <xf numFmtId="0" fontId="22" fillId="24" borderId="19" xfId="0" applyFont="1" applyFill="1" applyBorder="1" applyAlignment="1">
      <alignment vertical="center" shrinkToFit="1"/>
    </xf>
    <xf numFmtId="0" fontId="22" fillId="24" borderId="36" xfId="0" applyFont="1" applyFill="1" applyBorder="1" applyAlignment="1">
      <alignment vertical="center" shrinkToFit="1"/>
    </xf>
    <xf numFmtId="0" fontId="22" fillId="0" borderId="17" xfId="0" applyFont="1" applyFill="1" applyBorder="1" applyAlignment="1">
      <alignment vertical="center" shrinkToFit="1"/>
    </xf>
    <xf numFmtId="176" fontId="22" fillId="0" borderId="64" xfId="0" applyNumberFormat="1" applyFont="1" applyBorder="1" applyAlignment="1">
      <alignment vertical="center" shrinkToFit="1"/>
    </xf>
    <xf numFmtId="0" fontId="0" fillId="0" borderId="0" xfId="0" applyBorder="1" applyAlignment="1">
      <alignment horizontal="right" vertical="center"/>
    </xf>
    <xf numFmtId="0" fontId="22" fillId="21" borderId="17" xfId="0" applyFont="1" applyFill="1" applyBorder="1" applyAlignment="1">
      <alignment vertical="center" shrinkToFit="1"/>
    </xf>
    <xf numFmtId="0" fontId="22" fillId="24" borderId="57" xfId="0" applyFont="1" applyFill="1" applyBorder="1" applyAlignment="1">
      <alignment vertical="center" shrinkToFit="1"/>
    </xf>
    <xf numFmtId="0" fontId="22" fillId="24" borderId="69" xfId="0" applyFont="1" applyFill="1" applyBorder="1" applyAlignment="1">
      <alignment vertical="center" shrinkToFit="1"/>
    </xf>
    <xf numFmtId="0" fontId="22" fillId="0" borderId="17" xfId="0" applyFont="1" applyBorder="1" applyAlignment="1">
      <alignment vertical="center" shrinkToFit="1"/>
    </xf>
    <xf numFmtId="176" fontId="22" fillId="0" borderId="17" xfId="0" applyNumberFormat="1" applyFont="1" applyBorder="1" applyAlignment="1">
      <alignment vertical="center" shrinkToFit="1"/>
    </xf>
    <xf numFmtId="0" fontId="22" fillId="5" borderId="61" xfId="0" applyFont="1" applyFill="1" applyBorder="1" applyAlignment="1">
      <alignment vertical="center" shrinkToFit="1"/>
    </xf>
    <xf numFmtId="176" fontId="22" fillId="0" borderId="61" xfId="0" applyNumberFormat="1" applyFont="1" applyBorder="1" applyAlignment="1">
      <alignment vertical="center" shrinkToFit="1"/>
    </xf>
    <xf numFmtId="176" fontId="22" fillId="0" borderId="63" xfId="0" applyNumberFormat="1" applyFont="1" applyBorder="1" applyAlignment="1">
      <alignment vertical="center" shrinkToFit="1"/>
    </xf>
    <xf numFmtId="176" fontId="22" fillId="21" borderId="61" xfId="0" applyNumberFormat="1" applyFont="1" applyFill="1" applyBorder="1" applyAlignment="1">
      <alignment vertical="center" shrinkToFit="1"/>
    </xf>
    <xf numFmtId="176" fontId="22" fillId="21" borderId="17" xfId="0" applyNumberFormat="1" applyFont="1" applyFill="1" applyBorder="1" applyAlignment="1">
      <alignment vertical="center" shrinkToFit="1"/>
    </xf>
    <xf numFmtId="176" fontId="22" fillId="5" borderId="61" xfId="0" applyNumberFormat="1" applyFont="1" applyFill="1" applyBorder="1" applyAlignment="1">
      <alignment vertical="center" shrinkToFit="1"/>
    </xf>
    <xf numFmtId="0" fontId="22" fillId="4" borderId="63" xfId="0" applyFont="1" applyFill="1" applyBorder="1" applyAlignment="1">
      <alignment vertical="center" shrinkToFit="1"/>
    </xf>
    <xf numFmtId="0" fontId="22" fillId="5" borderId="17" xfId="0" applyFont="1" applyFill="1" applyBorder="1" applyAlignment="1">
      <alignment vertical="center" shrinkToFit="1"/>
    </xf>
    <xf numFmtId="176" fontId="22" fillId="0" borderId="28" xfId="0" applyNumberFormat="1" applyFont="1" applyBorder="1" applyAlignment="1">
      <alignment vertical="center" shrinkToFit="1"/>
    </xf>
    <xf numFmtId="0" fontId="22" fillId="0" borderId="67" xfId="0" applyFont="1" applyBorder="1" applyAlignment="1">
      <alignment vertical="center" shrinkToFit="1"/>
    </xf>
    <xf numFmtId="0" fontId="22" fillId="0" borderId="61" xfId="0" applyFont="1" applyFill="1" applyBorder="1" applyAlignment="1">
      <alignment vertical="center" shrinkToFit="1"/>
    </xf>
    <xf numFmtId="0" fontId="22" fillId="0" borderId="63" xfId="0" applyFont="1" applyFill="1" applyBorder="1" applyAlignment="1">
      <alignment vertical="center" shrinkToFit="1"/>
    </xf>
    <xf numFmtId="0" fontId="22" fillId="0" borderId="64" xfId="0" applyFont="1" applyFill="1" applyBorder="1" applyAlignment="1">
      <alignment vertical="center" shrinkToFit="1"/>
    </xf>
    <xf numFmtId="176" fontId="22" fillId="4" borderId="62" xfId="0" applyNumberFormat="1" applyFont="1" applyFill="1" applyBorder="1" applyAlignment="1">
      <alignment vertical="center" shrinkToFit="1"/>
    </xf>
    <xf numFmtId="0" fontId="22" fillId="0" borderId="63" xfId="0" applyFont="1" applyBorder="1" applyAlignment="1">
      <alignment vertical="center" shrinkToFit="1"/>
    </xf>
    <xf numFmtId="0" fontId="22" fillId="0" borderId="61" xfId="0" applyFont="1" applyBorder="1" applyAlignment="1">
      <alignment vertical="center" shrinkToFit="1"/>
    </xf>
    <xf numFmtId="0" fontId="22" fillId="0" borderId="32" xfId="0" applyFont="1" applyBorder="1" applyAlignment="1">
      <alignment vertical="center" shrinkToFit="1"/>
    </xf>
    <xf numFmtId="0" fontId="22" fillId="0" borderId="55" xfId="0" applyFont="1" applyBorder="1" applyAlignment="1">
      <alignment vertical="center"/>
    </xf>
    <xf numFmtId="0" fontId="22" fillId="0" borderId="70" xfId="0" applyFont="1" applyBorder="1" applyAlignment="1">
      <alignment vertical="center"/>
    </xf>
    <xf numFmtId="176" fontId="22" fillId="0" borderId="71" xfId="0" applyNumberFormat="1" applyFont="1" applyBorder="1" applyAlignment="1">
      <alignment vertical="center" shrinkToFit="1"/>
    </xf>
    <xf numFmtId="0" fontId="22" fillId="4" borderId="17" xfId="0" applyFont="1" applyFill="1" applyBorder="1" applyAlignment="1">
      <alignment vertical="center" shrinkToFit="1"/>
    </xf>
    <xf numFmtId="176" fontId="22" fillId="0" borderId="62" xfId="0" applyNumberFormat="1" applyFont="1" applyBorder="1" applyAlignment="1">
      <alignment vertical="center" shrinkToFit="1"/>
    </xf>
    <xf numFmtId="0" fontId="22" fillId="24" borderId="72" xfId="0" applyFont="1" applyFill="1" applyBorder="1" applyAlignment="1">
      <alignment vertical="center" shrinkToFit="1"/>
    </xf>
    <xf numFmtId="0" fontId="22" fillId="0" borderId="20" xfId="0" applyFont="1" applyBorder="1" applyAlignment="1">
      <alignment vertical="center" shrinkToFit="1"/>
    </xf>
    <xf numFmtId="176" fontId="22" fillId="5" borderId="17" xfId="0" applyNumberFormat="1" applyFont="1" applyFill="1" applyBorder="1" applyAlignment="1">
      <alignment vertical="center" shrinkToFit="1"/>
    </xf>
    <xf numFmtId="0" fontId="22" fillId="4" borderId="69" xfId="0" applyFont="1" applyFill="1" applyBorder="1" applyAlignment="1">
      <alignment vertical="center"/>
    </xf>
    <xf numFmtId="0" fontId="22" fillId="0" borderId="17" xfId="0" applyFont="1" applyBorder="1" applyAlignment="1">
      <alignment vertical="center"/>
    </xf>
    <xf numFmtId="176" fontId="22" fillId="0" borderId="37" xfId="0" applyNumberFormat="1" applyFont="1" applyBorder="1" applyAlignment="1">
      <alignment vertical="center" shrinkToFit="1"/>
    </xf>
    <xf numFmtId="0" fontId="22" fillId="4" borderId="46" xfId="0" applyFont="1" applyFill="1" applyBorder="1" applyAlignment="1">
      <alignment vertical="center"/>
    </xf>
    <xf numFmtId="0" fontId="22" fillId="4" borderId="70" xfId="0" applyFont="1" applyFill="1" applyBorder="1" applyAlignment="1">
      <alignment vertical="center" shrinkToFit="1"/>
    </xf>
    <xf numFmtId="0" fontId="22" fillId="0" borderId="38" xfId="0" applyFont="1" applyBorder="1" applyAlignment="1">
      <alignment vertical="center" shrinkToFit="1"/>
    </xf>
    <xf numFmtId="0" fontId="22" fillId="0" borderId="26" xfId="0" applyFont="1" applyFill="1" applyBorder="1" applyAlignment="1">
      <alignment vertical="center" shrinkToFit="1"/>
    </xf>
    <xf numFmtId="0" fontId="22" fillId="0" borderId="19" xfId="0" applyFont="1" applyBorder="1" applyAlignment="1">
      <alignment vertical="center"/>
    </xf>
    <xf numFmtId="0" fontId="22" fillId="0" borderId="45" xfId="0" applyFont="1" applyBorder="1" applyAlignment="1">
      <alignment vertical="center" shrinkToFit="1"/>
    </xf>
    <xf numFmtId="0" fontId="22" fillId="0" borderId="47" xfId="0" applyFont="1" applyBorder="1" applyAlignment="1">
      <alignment vertical="center" shrinkToFit="1"/>
    </xf>
    <xf numFmtId="188" fontId="22" fillId="0" borderId="24" xfId="0" applyNumberFormat="1" applyFont="1" applyBorder="1" applyAlignment="1">
      <alignment vertical="center"/>
    </xf>
    <xf numFmtId="191" fontId="22" fillId="4" borderId="44" xfId="62" applyNumberFormat="1" applyFont="1" applyFill="1" applyBorder="1" applyAlignment="1">
      <alignment vertical="center"/>
      <protection/>
    </xf>
    <xf numFmtId="191" fontId="22" fillId="0" borderId="19" xfId="62" applyNumberFormat="1" applyFont="1" applyFill="1" applyBorder="1" applyAlignment="1">
      <alignment vertical="center"/>
      <protection/>
    </xf>
    <xf numFmtId="191" fontId="22" fillId="21" borderId="19" xfId="62" applyNumberFormat="1" applyFont="1" applyFill="1" applyBorder="1" applyAlignment="1">
      <alignment vertical="center"/>
      <protection/>
    </xf>
    <xf numFmtId="191" fontId="22" fillId="0" borderId="40" xfId="62" applyNumberFormat="1" applyFont="1" applyFill="1" applyBorder="1" applyAlignment="1">
      <alignment vertical="center"/>
      <protection/>
    </xf>
    <xf numFmtId="191" fontId="22" fillId="21" borderId="19" xfId="0" applyNumberFormat="1" applyFont="1" applyFill="1" applyBorder="1" applyAlignment="1">
      <alignment vertical="center"/>
    </xf>
    <xf numFmtId="191" fontId="22" fillId="5" borderId="40" xfId="62" applyNumberFormat="1" applyFont="1" applyFill="1" applyBorder="1" applyAlignment="1">
      <alignment vertical="center"/>
      <protection/>
    </xf>
    <xf numFmtId="191" fontId="22" fillId="0" borderId="14" xfId="0" applyNumberFormat="1" applyFont="1" applyBorder="1" applyAlignment="1">
      <alignment vertical="center"/>
    </xf>
    <xf numFmtId="230" fontId="22" fillId="4" borderId="60" xfId="49" applyNumberFormat="1" applyFont="1" applyFill="1" applyBorder="1" applyAlignment="1">
      <alignment vertical="center"/>
    </xf>
    <xf numFmtId="230" fontId="22" fillId="21" borderId="50" xfId="49" applyNumberFormat="1" applyFont="1" applyFill="1" applyBorder="1" applyAlignment="1">
      <alignment vertical="center"/>
    </xf>
    <xf numFmtId="187" fontId="22" fillId="0" borderId="22" xfId="0" applyNumberFormat="1" applyFont="1" applyBorder="1" applyAlignment="1">
      <alignment vertical="center"/>
    </xf>
    <xf numFmtId="187" fontId="22" fillId="0" borderId="0" xfId="62" applyNumberFormat="1" applyFont="1" applyFill="1" applyBorder="1" applyAlignment="1">
      <alignment vertical="center"/>
      <protection/>
    </xf>
    <xf numFmtId="0" fontId="28" fillId="0" borderId="34" xfId="0" applyFont="1" applyFill="1" applyBorder="1" applyAlignment="1">
      <alignment vertical="center" shrinkToFit="1"/>
    </xf>
    <xf numFmtId="185" fontId="22" fillId="0" borderId="34" xfId="0" applyNumberFormat="1" applyFont="1" applyFill="1" applyBorder="1" applyAlignment="1">
      <alignment vertical="center" shrinkToFit="1"/>
    </xf>
    <xf numFmtId="0" fontId="22" fillId="0" borderId="22" xfId="0" applyFont="1" applyFill="1" applyBorder="1" applyAlignment="1">
      <alignment vertical="center"/>
    </xf>
    <xf numFmtId="186" fontId="22" fillId="0" borderId="63" xfId="62" applyNumberFormat="1" applyFont="1" applyFill="1" applyBorder="1" applyAlignment="1">
      <alignment vertical="center"/>
      <protection/>
    </xf>
    <xf numFmtId="187" fontId="22" fillId="0" borderId="60" xfId="62" applyNumberFormat="1" applyFont="1" applyFill="1" applyBorder="1" applyAlignment="1">
      <alignment vertical="center"/>
      <protection/>
    </xf>
    <xf numFmtId="176" fontId="22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right" vertical="center"/>
    </xf>
    <xf numFmtId="0" fontId="22" fillId="21" borderId="61" xfId="0" applyFont="1" applyFill="1" applyBorder="1" applyAlignment="1">
      <alignment vertical="center" shrinkToFit="1"/>
    </xf>
    <xf numFmtId="189" fontId="22" fillId="21" borderId="27" xfId="62" applyNumberFormat="1" applyFont="1" applyFill="1" applyBorder="1" applyAlignment="1">
      <alignment horizontal="center" vertical="center"/>
      <protection/>
    </xf>
    <xf numFmtId="0" fontId="26" fillId="0" borderId="0" xfId="0" applyFont="1" applyFill="1" applyBorder="1" applyAlignment="1">
      <alignment horizontal="center" vertical="center"/>
    </xf>
    <xf numFmtId="191" fontId="22" fillId="0" borderId="0" xfId="62" applyNumberFormat="1" applyFont="1" applyFill="1" applyBorder="1" applyAlignment="1">
      <alignment vertical="center"/>
      <protection/>
    </xf>
    <xf numFmtId="183" fontId="22" fillId="0" borderId="0" xfId="0" applyNumberFormat="1" applyFont="1" applyFill="1" applyBorder="1" applyAlignment="1">
      <alignment horizontal="center" vertical="center"/>
    </xf>
    <xf numFmtId="181" fontId="22" fillId="0" borderId="0" xfId="0" applyNumberFormat="1" applyFont="1" applyFill="1" applyBorder="1" applyAlignment="1">
      <alignment vertical="center"/>
    </xf>
    <xf numFmtId="0" fontId="22" fillId="0" borderId="62" xfId="0" applyFont="1" applyFill="1" applyBorder="1" applyAlignment="1">
      <alignment vertical="center" shrinkToFit="1"/>
    </xf>
    <xf numFmtId="0" fontId="28" fillId="21" borderId="27" xfId="0" applyFont="1" applyFill="1" applyBorder="1" applyAlignment="1">
      <alignment vertical="center" shrinkToFit="1"/>
    </xf>
    <xf numFmtId="0" fontId="22" fillId="21" borderId="27" xfId="0" applyFont="1" applyFill="1" applyBorder="1" applyAlignment="1">
      <alignment vertical="center" shrinkToFit="1"/>
    </xf>
    <xf numFmtId="187" fontId="22" fillId="21" borderId="27" xfId="0" applyNumberFormat="1" applyFont="1" applyFill="1" applyBorder="1" applyAlignment="1">
      <alignment vertical="center"/>
    </xf>
    <xf numFmtId="187" fontId="22" fillId="21" borderId="61" xfId="0" applyNumberFormat="1" applyFont="1" applyFill="1" applyBorder="1" applyAlignment="1">
      <alignment vertical="center"/>
    </xf>
    <xf numFmtId="187" fontId="22" fillId="21" borderId="56" xfId="0" applyNumberFormat="1" applyFont="1" applyFill="1" applyBorder="1" applyAlignment="1">
      <alignment vertical="center"/>
    </xf>
    <xf numFmtId="0" fontId="22" fillId="21" borderId="56" xfId="0" applyFont="1" applyFill="1" applyBorder="1" applyAlignment="1">
      <alignment horizontal="center" vertical="center"/>
    </xf>
    <xf numFmtId="191" fontId="22" fillId="0" borderId="44" xfId="62" applyNumberFormat="1" applyFont="1" applyFill="1" applyBorder="1" applyAlignment="1">
      <alignment vertical="center"/>
      <protection/>
    </xf>
    <xf numFmtId="191" fontId="22" fillId="21" borderId="40" xfId="62" applyNumberFormat="1" applyFont="1" applyFill="1" applyBorder="1" applyAlignment="1">
      <alignment vertical="center"/>
      <protection/>
    </xf>
    <xf numFmtId="191" fontId="22" fillId="24" borderId="19" xfId="62" applyNumberFormat="1" applyFont="1" applyFill="1" applyBorder="1" applyAlignment="1">
      <alignment vertical="center"/>
      <protection/>
    </xf>
    <xf numFmtId="191" fontId="22" fillId="0" borderId="29" xfId="62" applyNumberFormat="1" applyFont="1" applyFill="1" applyBorder="1" applyAlignment="1">
      <alignment vertical="center"/>
      <protection/>
    </xf>
    <xf numFmtId="181" fontId="22" fillId="0" borderId="23" xfId="0" applyNumberFormat="1" applyFont="1" applyFill="1" applyBorder="1" applyAlignment="1">
      <alignment vertical="center"/>
    </xf>
    <xf numFmtId="0" fontId="31" fillId="0" borderId="23" xfId="0" applyFont="1" applyFill="1" applyBorder="1" applyAlignment="1">
      <alignment horizontal="center" vertical="center" shrinkToFit="1"/>
    </xf>
    <xf numFmtId="193" fontId="22" fillId="0" borderId="62" xfId="62" applyNumberFormat="1" applyFont="1" applyFill="1" applyBorder="1" applyAlignment="1">
      <alignment vertical="center"/>
      <protection/>
    </xf>
    <xf numFmtId="193" fontId="22" fillId="0" borderId="55" xfId="62" applyNumberFormat="1" applyFont="1" applyFill="1" applyBorder="1" applyAlignment="1">
      <alignment vertical="center"/>
      <protection/>
    </xf>
    <xf numFmtId="189" fontId="22" fillId="0" borderId="23" xfId="62" applyNumberFormat="1" applyFont="1" applyFill="1" applyBorder="1" applyAlignment="1">
      <alignment horizontal="center" vertical="center"/>
      <protection/>
    </xf>
    <xf numFmtId="181" fontId="22" fillId="0" borderId="22" xfId="0" applyNumberFormat="1" applyFont="1" applyBorder="1" applyAlignment="1">
      <alignment vertical="center"/>
    </xf>
    <xf numFmtId="0" fontId="22" fillId="0" borderId="23" xfId="0" applyFont="1" applyBorder="1" applyAlignment="1">
      <alignment horizontal="left" vertical="center"/>
    </xf>
    <xf numFmtId="0" fontId="22" fillId="0" borderId="53" xfId="0" applyFont="1" applyBorder="1" applyAlignment="1">
      <alignment vertical="center"/>
    </xf>
    <xf numFmtId="186" fontId="22" fillId="0" borderId="63" xfId="0" applyNumberFormat="1" applyFont="1" applyBorder="1" applyAlignment="1">
      <alignment vertical="center"/>
    </xf>
    <xf numFmtId="186" fontId="22" fillId="0" borderId="60" xfId="0" applyNumberFormat="1" applyFont="1" applyBorder="1" applyAlignment="1">
      <alignment vertical="center"/>
    </xf>
    <xf numFmtId="182" fontId="22" fillId="0" borderId="24" xfId="0" applyNumberFormat="1" applyFont="1" applyBorder="1" applyAlignment="1">
      <alignment horizontal="right" vertical="center"/>
    </xf>
    <xf numFmtId="183" fontId="22" fillId="0" borderId="24" xfId="0" applyNumberFormat="1" applyFont="1" applyFill="1" applyBorder="1" applyAlignment="1">
      <alignment horizontal="right" vertical="center"/>
    </xf>
    <xf numFmtId="181" fontId="22" fillId="0" borderId="24" xfId="0" applyNumberFormat="1" applyFont="1" applyBorder="1" applyAlignment="1">
      <alignment horizontal="right" vertical="center"/>
    </xf>
    <xf numFmtId="181" fontId="22" fillId="0" borderId="22" xfId="0" applyNumberFormat="1" applyFont="1" applyBorder="1" applyAlignment="1">
      <alignment horizontal="right" vertical="center"/>
    </xf>
    <xf numFmtId="176" fontId="22" fillId="0" borderId="16" xfId="0" applyNumberFormat="1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vertical="center" shrinkToFit="1"/>
    </xf>
    <xf numFmtId="0" fontId="26" fillId="0" borderId="16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 shrinkToFit="1"/>
    </xf>
    <xf numFmtId="185" fontId="22" fillId="0" borderId="16" xfId="0" applyNumberFormat="1" applyFont="1" applyFill="1" applyBorder="1" applyAlignment="1">
      <alignment vertical="center" shrinkToFit="1"/>
    </xf>
    <xf numFmtId="183" fontId="22" fillId="0" borderId="16" xfId="0" applyNumberFormat="1" applyFont="1" applyFill="1" applyBorder="1" applyAlignment="1">
      <alignment horizontal="center" vertical="center"/>
    </xf>
    <xf numFmtId="181" fontId="22" fillId="0" borderId="16" xfId="0" applyNumberFormat="1" applyFont="1" applyFill="1" applyBorder="1" applyAlignment="1">
      <alignment vertical="center"/>
    </xf>
    <xf numFmtId="0" fontId="22" fillId="0" borderId="16" xfId="0" applyFont="1" applyFill="1" applyBorder="1" applyAlignment="1">
      <alignment horizontal="center" vertical="center"/>
    </xf>
    <xf numFmtId="191" fontId="22" fillId="0" borderId="16" xfId="62" applyNumberFormat="1" applyFont="1" applyFill="1" applyBorder="1" applyAlignment="1">
      <alignment vertical="center"/>
      <protection/>
    </xf>
    <xf numFmtId="187" fontId="22" fillId="0" borderId="16" xfId="62" applyNumberFormat="1" applyFont="1" applyFill="1" applyBorder="1" applyAlignment="1">
      <alignment vertical="center"/>
      <protection/>
    </xf>
    <xf numFmtId="189" fontId="22" fillId="0" borderId="16" xfId="62" applyNumberFormat="1" applyFont="1" applyFill="1" applyBorder="1" applyAlignment="1">
      <alignment horizontal="center" vertical="center"/>
      <protection/>
    </xf>
    <xf numFmtId="190" fontId="22" fillId="0" borderId="41" xfId="62" applyNumberFormat="1" applyFont="1" applyFill="1" applyBorder="1" applyAlignment="1">
      <alignment vertical="center"/>
      <protection/>
    </xf>
    <xf numFmtId="190" fontId="22" fillId="0" borderId="33" xfId="62" applyNumberFormat="1" applyFont="1" applyFill="1" applyBorder="1" applyAlignment="1">
      <alignment/>
      <protection/>
    </xf>
    <xf numFmtId="0" fontId="22" fillId="0" borderId="27" xfId="0" applyFont="1" applyFill="1" applyBorder="1" applyAlignment="1">
      <alignment vertical="center"/>
    </xf>
    <xf numFmtId="0" fontId="22" fillId="0" borderId="18" xfId="0" applyFont="1" applyBorder="1" applyAlignment="1">
      <alignment vertical="center" shrinkToFit="1"/>
    </xf>
    <xf numFmtId="0" fontId="22" fillId="0" borderId="50" xfId="0" applyFont="1" applyBorder="1" applyAlignment="1">
      <alignment vertical="center" shrinkToFit="1"/>
    </xf>
    <xf numFmtId="0" fontId="22" fillId="0" borderId="73" xfId="0" applyFont="1" applyBorder="1" applyAlignment="1">
      <alignment vertical="center"/>
    </xf>
    <xf numFmtId="0" fontId="22" fillId="0" borderId="50" xfId="0" applyFont="1" applyBorder="1" applyAlignment="1">
      <alignment vertical="center"/>
    </xf>
    <xf numFmtId="0" fontId="22" fillId="21" borderId="67" xfId="0" applyFont="1" applyFill="1" applyBorder="1" applyAlignment="1">
      <alignment vertical="center" shrinkToFit="1"/>
    </xf>
    <xf numFmtId="0" fontId="22" fillId="21" borderId="18" xfId="0" applyFont="1" applyFill="1" applyBorder="1" applyAlignment="1">
      <alignment vertical="center" shrinkToFit="1"/>
    </xf>
    <xf numFmtId="0" fontId="22" fillId="21" borderId="50" xfId="0" applyFont="1" applyFill="1" applyBorder="1" applyAlignment="1">
      <alignment vertical="center" shrinkToFit="1"/>
    </xf>
    <xf numFmtId="0" fontId="22" fillId="21" borderId="50" xfId="0" applyFont="1" applyFill="1" applyBorder="1" applyAlignment="1">
      <alignment horizontal="center" vertical="center" shrinkToFit="1"/>
    </xf>
    <xf numFmtId="0" fontId="22" fillId="21" borderId="74" xfId="0" applyFont="1" applyFill="1" applyBorder="1" applyAlignment="1">
      <alignment vertical="center" shrinkToFit="1"/>
    </xf>
    <xf numFmtId="0" fontId="22" fillId="21" borderId="45" xfId="0" applyFont="1" applyFill="1" applyBorder="1" applyAlignment="1">
      <alignment vertical="center" shrinkToFit="1"/>
    </xf>
    <xf numFmtId="0" fontId="22" fillId="21" borderId="58" xfId="0" applyFont="1" applyFill="1" applyBorder="1" applyAlignment="1">
      <alignment vertical="center" shrinkToFit="1"/>
    </xf>
    <xf numFmtId="0" fontId="22" fillId="0" borderId="67" xfId="0" applyFont="1" applyBorder="1" applyAlignment="1">
      <alignment vertical="center"/>
    </xf>
    <xf numFmtId="0" fontId="22" fillId="0" borderId="74" xfId="0" applyFont="1" applyBorder="1" applyAlignment="1">
      <alignment vertical="center"/>
    </xf>
    <xf numFmtId="0" fontId="22" fillId="0" borderId="45" xfId="0" applyFont="1" applyBorder="1" applyAlignment="1">
      <alignment vertical="center"/>
    </xf>
    <xf numFmtId="0" fontId="22" fillId="0" borderId="20" xfId="0" applyFont="1" applyBorder="1" applyAlignment="1">
      <alignment vertical="center"/>
    </xf>
    <xf numFmtId="0" fontId="22" fillId="4" borderId="26" xfId="0" applyFont="1" applyFill="1" applyBorder="1" applyAlignment="1">
      <alignment horizontal="center" vertical="center" shrinkToFit="1"/>
    </xf>
    <xf numFmtId="0" fontId="22" fillId="4" borderId="55" xfId="0" applyFont="1" applyFill="1" applyBorder="1" applyAlignment="1">
      <alignment horizontal="center" vertical="center" shrinkToFit="1"/>
    </xf>
    <xf numFmtId="0" fontId="22" fillId="0" borderId="75" xfId="0" applyFont="1" applyBorder="1" applyAlignment="1">
      <alignment vertical="center"/>
    </xf>
    <xf numFmtId="0" fontId="22" fillId="0" borderId="26" xfId="0" applyFont="1" applyBorder="1" applyAlignment="1">
      <alignment vertical="center" shrinkToFit="1"/>
    </xf>
    <xf numFmtId="0" fontId="22" fillId="0" borderId="55" xfId="0" applyFont="1" applyBorder="1" applyAlignment="1">
      <alignment vertical="center" shrinkToFit="1"/>
    </xf>
    <xf numFmtId="0" fontId="22" fillId="0" borderId="47" xfId="0" applyFont="1" applyBorder="1" applyAlignment="1">
      <alignment vertical="center"/>
    </xf>
    <xf numFmtId="0" fontId="22" fillId="0" borderId="36" xfId="0" applyFont="1" applyBorder="1" applyAlignment="1">
      <alignment vertical="center"/>
    </xf>
    <xf numFmtId="0" fontId="22" fillId="0" borderId="43" xfId="0" applyFont="1" applyBorder="1" applyAlignment="1">
      <alignment vertical="center"/>
    </xf>
    <xf numFmtId="0" fontId="22" fillId="0" borderId="68" xfId="0" applyFont="1" applyBorder="1" applyAlignment="1">
      <alignment vertical="center"/>
    </xf>
    <xf numFmtId="0" fontId="22" fillId="0" borderId="60" xfId="0" applyFont="1" applyBorder="1" applyAlignment="1">
      <alignment vertical="center"/>
    </xf>
    <xf numFmtId="0" fontId="22" fillId="0" borderId="76" xfId="0" applyFont="1" applyBorder="1" applyAlignment="1">
      <alignment vertical="center"/>
    </xf>
    <xf numFmtId="0" fontId="22" fillId="0" borderId="46" xfId="0" applyFont="1" applyBorder="1" applyAlignment="1">
      <alignment vertical="center" shrinkToFit="1"/>
    </xf>
    <xf numFmtId="0" fontId="22" fillId="0" borderId="40" xfId="0" applyFont="1" applyBorder="1" applyAlignment="1">
      <alignment vertical="center" shrinkToFit="1"/>
    </xf>
    <xf numFmtId="0" fontId="22" fillId="4" borderId="26" xfId="0" applyFont="1" applyFill="1" applyBorder="1" applyAlignment="1">
      <alignment horizontal="center" vertical="center"/>
    </xf>
    <xf numFmtId="0" fontId="22" fillId="4" borderId="75" xfId="0" applyFont="1" applyFill="1" applyBorder="1" applyAlignment="1">
      <alignment horizontal="center" vertical="center"/>
    </xf>
    <xf numFmtId="0" fontId="22" fillId="4" borderId="60" xfId="0" applyFont="1" applyFill="1" applyBorder="1" applyAlignment="1">
      <alignment horizontal="center" vertical="center"/>
    </xf>
    <xf numFmtId="0" fontId="22" fillId="21" borderId="19" xfId="0" applyFont="1" applyFill="1" applyBorder="1" applyAlignment="1">
      <alignment vertical="center"/>
    </xf>
    <xf numFmtId="0" fontId="22" fillId="21" borderId="57" xfId="0" applyFont="1" applyFill="1" applyBorder="1" applyAlignment="1">
      <alignment horizontal="center" vertical="center"/>
    </xf>
    <xf numFmtId="0" fontId="22" fillId="5" borderId="74" xfId="0" applyFont="1" applyFill="1" applyBorder="1" applyAlignment="1">
      <alignment horizontal="center" vertical="center"/>
    </xf>
    <xf numFmtId="0" fontId="22" fillId="5" borderId="45" xfId="0" applyFont="1" applyFill="1" applyBorder="1" applyAlignment="1">
      <alignment horizontal="center" vertical="center"/>
    </xf>
    <xf numFmtId="0" fontId="22" fillId="5" borderId="58" xfId="0" applyFont="1" applyFill="1" applyBorder="1" applyAlignment="1">
      <alignment horizontal="center" vertical="center"/>
    </xf>
    <xf numFmtId="0" fontId="22" fillId="4" borderId="55" xfId="0" applyFont="1" applyFill="1" applyBorder="1" applyAlignment="1">
      <alignment horizontal="center" vertical="center"/>
    </xf>
    <xf numFmtId="0" fontId="22" fillId="0" borderId="67" xfId="0" applyFont="1" applyFill="1" applyBorder="1" applyAlignment="1">
      <alignment vertical="center" shrinkToFit="1"/>
    </xf>
    <xf numFmtId="0" fontId="22" fillId="0" borderId="59" xfId="0" applyFont="1" applyBorder="1" applyAlignment="1">
      <alignment vertical="center"/>
    </xf>
    <xf numFmtId="0" fontId="22" fillId="5" borderId="74" xfId="0" applyFont="1" applyFill="1" applyBorder="1" applyAlignment="1">
      <alignment horizontal="center" vertical="center" shrinkToFit="1"/>
    </xf>
    <xf numFmtId="0" fontId="22" fillId="5" borderId="56" xfId="0" applyFont="1" applyFill="1" applyBorder="1" applyAlignment="1">
      <alignment horizontal="center" vertical="center" shrinkToFit="1"/>
    </xf>
    <xf numFmtId="0" fontId="22" fillId="0" borderId="75" xfId="0" applyFont="1" applyBorder="1" applyAlignment="1">
      <alignment vertical="center" shrinkToFit="1"/>
    </xf>
    <xf numFmtId="0" fontId="22" fillId="0" borderId="56" xfId="0" applyFont="1" applyBorder="1" applyAlignment="1">
      <alignment vertical="center"/>
    </xf>
    <xf numFmtId="0" fontId="22" fillId="4" borderId="18" xfId="0" applyFont="1" applyFill="1" applyBorder="1" applyAlignment="1">
      <alignment vertical="center" shrinkToFit="1"/>
    </xf>
    <xf numFmtId="0" fontId="22" fillId="4" borderId="67" xfId="0" applyFont="1" applyFill="1" applyBorder="1" applyAlignment="1">
      <alignment vertical="center"/>
    </xf>
    <xf numFmtId="0" fontId="22" fillId="4" borderId="53" xfId="0" applyFont="1" applyFill="1" applyBorder="1" applyAlignment="1">
      <alignment vertical="center"/>
    </xf>
    <xf numFmtId="0" fontId="22" fillId="0" borderId="18" xfId="0" applyFont="1" applyFill="1" applyBorder="1" applyAlignment="1">
      <alignment vertical="center" shrinkToFit="1"/>
    </xf>
    <xf numFmtId="0" fontId="22" fillId="0" borderId="50" xfId="0" applyFont="1" applyFill="1" applyBorder="1" applyAlignment="1">
      <alignment vertical="center" shrinkToFit="1"/>
    </xf>
    <xf numFmtId="0" fontId="22" fillId="21" borderId="40" xfId="0" applyFont="1" applyFill="1" applyBorder="1" applyAlignment="1">
      <alignment horizontal="left" vertical="center"/>
    </xf>
    <xf numFmtId="0" fontId="22" fillId="4" borderId="18" xfId="0" applyFont="1" applyFill="1" applyBorder="1" applyAlignment="1">
      <alignment horizontal="center" vertical="center"/>
    </xf>
    <xf numFmtId="0" fontId="22" fillId="4" borderId="67" xfId="0" applyFont="1" applyFill="1" applyBorder="1" applyAlignment="1">
      <alignment horizontal="center" vertical="center"/>
    </xf>
    <xf numFmtId="0" fontId="22" fillId="21" borderId="19" xfId="0" applyFont="1" applyFill="1" applyBorder="1" applyAlignment="1">
      <alignment horizontal="left" vertical="center"/>
    </xf>
    <xf numFmtId="0" fontId="22" fillId="5" borderId="18" xfId="0" applyFont="1" applyFill="1" applyBorder="1" applyAlignment="1">
      <alignment horizontal="center" vertical="center" shrinkToFit="1"/>
    </xf>
    <xf numFmtId="0" fontId="22" fillId="5" borderId="19" xfId="0" applyFont="1" applyFill="1" applyBorder="1" applyAlignment="1">
      <alignment horizontal="center" vertical="center" shrinkToFit="1"/>
    </xf>
    <xf numFmtId="0" fontId="22" fillId="4" borderId="50" xfId="0" applyFont="1" applyFill="1" applyBorder="1" applyAlignment="1">
      <alignment vertical="center"/>
    </xf>
    <xf numFmtId="0" fontId="22" fillId="0" borderId="77" xfId="0" applyFont="1" applyBorder="1" applyAlignment="1">
      <alignment vertical="center"/>
    </xf>
    <xf numFmtId="0" fontId="22" fillId="0" borderId="40" xfId="0" applyFont="1" applyBorder="1" applyAlignment="1">
      <alignment vertical="center"/>
    </xf>
    <xf numFmtId="0" fontId="22" fillId="4" borderId="46" xfId="0" applyFont="1" applyFill="1" applyBorder="1" applyAlignment="1">
      <alignment horizontal="center" vertical="center"/>
    </xf>
    <xf numFmtId="0" fontId="22" fillId="5" borderId="45" xfId="0" applyFont="1" applyFill="1" applyBorder="1" applyAlignment="1">
      <alignment horizontal="center" vertical="center" shrinkToFit="1"/>
    </xf>
    <xf numFmtId="0" fontId="22" fillId="4" borderId="34" xfId="0" applyFont="1" applyFill="1" applyBorder="1" applyAlignment="1">
      <alignment vertical="center" shrinkToFit="1"/>
    </xf>
    <xf numFmtId="0" fontId="22" fillId="5" borderId="67" xfId="0" applyFont="1" applyFill="1" applyBorder="1" applyAlignment="1">
      <alignment horizontal="center" vertical="center" shrinkToFit="1"/>
    </xf>
    <xf numFmtId="0" fontId="22" fillId="5" borderId="43" xfId="0" applyFont="1" applyFill="1" applyBorder="1" applyAlignment="1">
      <alignment horizontal="center" vertical="center" shrinkToFit="1"/>
    </xf>
    <xf numFmtId="0" fontId="22" fillId="0" borderId="74" xfId="0" applyFont="1" applyBorder="1" applyAlignment="1">
      <alignment vertical="center" shrinkToFit="1"/>
    </xf>
    <xf numFmtId="0" fontId="22" fillId="0" borderId="68" xfId="0" applyFont="1" applyBorder="1" applyAlignment="1">
      <alignment vertical="center" shrinkToFit="1"/>
    </xf>
    <xf numFmtId="0" fontId="22" fillId="0" borderId="57" xfId="0" applyFont="1" applyBorder="1" applyAlignment="1">
      <alignment vertical="center"/>
    </xf>
    <xf numFmtId="0" fontId="22" fillId="0" borderId="73" xfId="0" applyFont="1" applyBorder="1" applyAlignment="1">
      <alignment vertical="center" shrinkToFit="1"/>
    </xf>
    <xf numFmtId="0" fontId="22" fillId="4" borderId="67" xfId="0" applyFont="1" applyFill="1" applyBorder="1" applyAlignment="1">
      <alignment vertical="center" shrinkToFit="1"/>
    </xf>
    <xf numFmtId="0" fontId="22" fillId="21" borderId="18" xfId="0" applyFont="1" applyFill="1" applyBorder="1" applyAlignment="1">
      <alignment horizontal="left" vertical="center"/>
    </xf>
    <xf numFmtId="0" fontId="22" fillId="0" borderId="42" xfId="0" applyFont="1" applyBorder="1" applyAlignment="1">
      <alignment vertical="center"/>
    </xf>
    <xf numFmtId="0" fontId="22" fillId="0" borderId="78" xfId="0" applyFont="1" applyBorder="1" applyAlignment="1">
      <alignment vertical="center"/>
    </xf>
    <xf numFmtId="0" fontId="22" fillId="0" borderId="58" xfId="0" applyFont="1" applyBorder="1" applyAlignment="1">
      <alignment vertical="center"/>
    </xf>
    <xf numFmtId="0" fontId="22" fillId="0" borderId="79" xfId="0" applyFont="1" applyBorder="1" applyAlignment="1">
      <alignment vertical="center"/>
    </xf>
    <xf numFmtId="0" fontId="22" fillId="4" borderId="64" xfId="0" applyFont="1" applyFill="1" applyBorder="1" applyAlignment="1">
      <alignment vertical="center" shrinkToFit="1"/>
    </xf>
    <xf numFmtId="0" fontId="22" fillId="4" borderId="76" xfId="0" applyFont="1" applyFill="1" applyBorder="1" applyAlignment="1">
      <alignment vertical="center"/>
    </xf>
    <xf numFmtId="0" fontId="22" fillId="4" borderId="36" xfId="0" applyFont="1" applyFill="1" applyBorder="1" applyAlignment="1">
      <alignment vertical="center"/>
    </xf>
    <xf numFmtId="0" fontId="22" fillId="4" borderId="43" xfId="0" applyFont="1" applyFill="1" applyBorder="1" applyAlignment="1">
      <alignment vertical="center"/>
    </xf>
    <xf numFmtId="0" fontId="22" fillId="0" borderId="67" xfId="0" applyFont="1" applyBorder="1" applyAlignment="1">
      <alignment horizontal="center" vertical="center"/>
    </xf>
    <xf numFmtId="0" fontId="22" fillId="0" borderId="43" xfId="0" applyFont="1" applyBorder="1" applyAlignment="1">
      <alignment horizontal="center" vertical="center"/>
    </xf>
    <xf numFmtId="0" fontId="22" fillId="0" borderId="80" xfId="0" applyFont="1" applyBorder="1" applyAlignment="1">
      <alignment vertical="center"/>
    </xf>
    <xf numFmtId="0" fontId="22" fillId="0" borderId="69" xfId="0" applyFont="1" applyBorder="1" applyAlignment="1">
      <alignment vertical="center"/>
    </xf>
    <xf numFmtId="0" fontId="22" fillId="4" borderId="26" xfId="0" applyFont="1" applyFill="1" applyBorder="1" applyAlignment="1">
      <alignment vertical="center"/>
    </xf>
    <xf numFmtId="0" fontId="22" fillId="0" borderId="18" xfId="0" applyFont="1" applyFill="1" applyBorder="1" applyAlignment="1">
      <alignment vertical="center"/>
    </xf>
    <xf numFmtId="0" fontId="22" fillId="0" borderId="43" xfId="0" applyFont="1" applyFill="1" applyBorder="1" applyAlignment="1">
      <alignment vertical="center" shrinkToFit="1"/>
    </xf>
    <xf numFmtId="191" fontId="22" fillId="0" borderId="50" xfId="0" applyNumberFormat="1" applyFont="1" applyFill="1" applyBorder="1" applyAlignment="1">
      <alignment vertical="center"/>
    </xf>
    <xf numFmtId="186" fontId="22" fillId="21" borderId="28" xfId="0" applyNumberFormat="1" applyFont="1" applyFill="1" applyBorder="1" applyAlignment="1">
      <alignment vertical="center"/>
    </xf>
    <xf numFmtId="186" fontId="22" fillId="0" borderId="17" xfId="0" applyNumberFormat="1" applyFont="1" applyFill="1" applyBorder="1" applyAlignment="1">
      <alignment horizontal="center" vertical="center"/>
    </xf>
    <xf numFmtId="193" fontId="22" fillId="4" borderId="63" xfId="0" applyNumberFormat="1" applyFont="1" applyFill="1" applyBorder="1" applyAlignment="1">
      <alignment horizontal="center" vertical="center"/>
    </xf>
    <xf numFmtId="183" fontId="22" fillId="4" borderId="17" xfId="0" applyNumberFormat="1" applyFont="1" applyFill="1" applyBorder="1" applyAlignment="1">
      <alignment vertical="center"/>
    </xf>
    <xf numFmtId="0" fontId="22" fillId="8" borderId="11" xfId="0" applyFont="1" applyFill="1" applyBorder="1" applyAlignment="1">
      <alignment horizontal="center" vertical="center" wrapText="1" shrinkToFit="1"/>
    </xf>
    <xf numFmtId="0" fontId="22" fillId="8" borderId="21" xfId="0" applyFont="1" applyFill="1" applyBorder="1" applyAlignment="1">
      <alignment horizontal="center" vertical="center" shrinkToFit="1"/>
    </xf>
    <xf numFmtId="0" fontId="22" fillId="8" borderId="15" xfId="0" applyFont="1" applyFill="1" applyBorder="1" applyAlignment="1">
      <alignment horizontal="center" vertical="center" wrapText="1" shrinkToFit="1"/>
    </xf>
    <xf numFmtId="0" fontId="0" fillId="0" borderId="21" xfId="0" applyBorder="1" applyAlignment="1">
      <alignment horizontal="center" vertical="center" shrinkToFit="1"/>
    </xf>
    <xf numFmtId="0" fontId="26" fillId="24" borderId="15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2" fillId="4" borderId="15" xfId="0" applyFont="1" applyFill="1" applyBorder="1" applyAlignment="1">
      <alignment horizontal="center" vertical="center"/>
    </xf>
    <xf numFmtId="0" fontId="22" fillId="4" borderId="15" xfId="0" applyFont="1" applyFill="1" applyBorder="1" applyAlignment="1">
      <alignment horizontal="center" vertical="center" wrapText="1"/>
    </xf>
    <xf numFmtId="0" fontId="22" fillId="0" borderId="51" xfId="62" applyFont="1" applyBorder="1" applyAlignment="1">
      <alignment horizontal="center" vertical="center"/>
      <protection/>
    </xf>
    <xf numFmtId="0" fontId="0" fillId="0" borderId="81" xfId="0" applyBorder="1" applyAlignment="1">
      <alignment vertical="center"/>
    </xf>
    <xf numFmtId="0" fontId="0" fillId="0" borderId="65" xfId="0" applyBorder="1" applyAlignment="1">
      <alignment vertical="center"/>
    </xf>
    <xf numFmtId="228" fontId="22" fillId="0" borderId="15" xfId="0" applyNumberFormat="1" applyFont="1" applyFill="1" applyBorder="1" applyAlignment="1">
      <alignment horizontal="center" vertical="center"/>
    </xf>
    <xf numFmtId="228" fontId="22" fillId="0" borderId="22" xfId="0" applyNumberFormat="1" applyFont="1" applyFill="1" applyBorder="1" applyAlignment="1">
      <alignment horizontal="center" vertical="center"/>
    </xf>
    <xf numFmtId="0" fontId="22" fillId="24" borderId="15" xfId="0" applyFont="1" applyFill="1" applyBorder="1" applyAlignment="1">
      <alignment horizontal="center" vertical="center"/>
    </xf>
    <xf numFmtId="0" fontId="22" fillId="0" borderId="15" xfId="62" applyFont="1" applyFill="1" applyBorder="1" applyAlignment="1">
      <alignment horizontal="center" vertical="center"/>
      <protection/>
    </xf>
    <xf numFmtId="0" fontId="22" fillId="0" borderId="15" xfId="0" applyFont="1" applyBorder="1" applyAlignment="1">
      <alignment horizontal="center" vertical="center"/>
    </xf>
    <xf numFmtId="0" fontId="22" fillId="0" borderId="30" xfId="62" applyFont="1" applyFill="1" applyBorder="1" applyAlignment="1">
      <alignment horizontal="center" vertical="center"/>
      <protection/>
    </xf>
    <xf numFmtId="0" fontId="0" fillId="0" borderId="16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20" xfId="0" applyBorder="1" applyAlignment="1">
      <alignment vertical="center"/>
    </xf>
    <xf numFmtId="0" fontId="22" fillId="0" borderId="25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22" fillId="0" borderId="30" xfId="62" applyFont="1" applyBorder="1" applyAlignment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22" fillId="0" borderId="35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22" fillId="24" borderId="11" xfId="0" applyFont="1" applyFill="1" applyBorder="1" applyAlignment="1">
      <alignment horizontal="center" vertical="center"/>
    </xf>
    <xf numFmtId="0" fontId="22" fillId="24" borderId="21" xfId="0" applyFont="1" applyFill="1" applyBorder="1" applyAlignment="1">
      <alignment horizontal="center" vertical="center"/>
    </xf>
    <xf numFmtId="186" fontId="22" fillId="0" borderId="69" xfId="0" applyNumberFormat="1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22" fillId="0" borderId="49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22" fillId="0" borderId="37" xfId="61" applyFont="1" applyFill="1" applyBorder="1" applyAlignment="1">
      <alignment horizontal="center" vertical="center"/>
      <protection/>
    </xf>
    <xf numFmtId="0" fontId="22" fillId="0" borderId="38" xfId="0" applyFont="1" applyFill="1" applyBorder="1" applyAlignment="1">
      <alignment horizontal="center" vertical="center"/>
    </xf>
    <xf numFmtId="0" fontId="22" fillId="0" borderId="82" xfId="0" applyFont="1" applyFill="1" applyBorder="1" applyAlignment="1">
      <alignment horizontal="center" vertical="center"/>
    </xf>
    <xf numFmtId="0" fontId="0" fillId="0" borderId="49" xfId="0" applyBorder="1" applyAlignment="1">
      <alignment vertical="center"/>
    </xf>
    <xf numFmtId="0" fontId="22" fillId="0" borderId="49" xfId="0" applyFont="1" applyFill="1" applyBorder="1" applyAlignment="1">
      <alignment horizontal="center" vertical="center"/>
    </xf>
    <xf numFmtId="0" fontId="0" fillId="0" borderId="49" xfId="0" applyFill="1" applyBorder="1" applyAlignment="1">
      <alignment vertical="center"/>
    </xf>
    <xf numFmtId="186" fontId="22" fillId="0" borderId="83" xfId="0" applyNumberFormat="1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186" fontId="22" fillId="0" borderId="69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22" fillId="4" borderId="11" xfId="0" applyFont="1" applyFill="1" applyBorder="1" applyAlignment="1">
      <alignment horizontal="center" vertical="center"/>
    </xf>
    <xf numFmtId="0" fontId="22" fillId="4" borderId="21" xfId="0" applyFont="1" applyFill="1" applyBorder="1" applyAlignment="1">
      <alignment horizontal="center" vertical="center"/>
    </xf>
    <xf numFmtId="0" fontId="22" fillId="8" borderId="11" xfId="0" applyFont="1" applyFill="1" applyBorder="1" applyAlignment="1">
      <alignment horizontal="center" vertical="center" shrinkToFit="1"/>
    </xf>
    <xf numFmtId="0" fontId="22" fillId="0" borderId="12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 textRotation="255" shrinkToFit="1"/>
    </xf>
    <xf numFmtId="0" fontId="26" fillId="0" borderId="11" xfId="0" applyFont="1" applyBorder="1" applyAlignment="1">
      <alignment horizontal="center" vertical="center" textRotation="255" shrinkToFit="1"/>
    </xf>
    <xf numFmtId="0" fontId="26" fillId="0" borderId="21" xfId="0" applyFont="1" applyBorder="1" applyAlignment="1">
      <alignment horizontal="center" vertical="center" textRotation="255" shrinkToFit="1"/>
    </xf>
    <xf numFmtId="0" fontId="22" fillId="0" borderId="15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22" fillId="0" borderId="54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176" fontId="22" fillId="0" borderId="15" xfId="0" applyNumberFormat="1" applyFont="1" applyBorder="1" applyAlignment="1">
      <alignment horizontal="center" vertical="center"/>
    </xf>
    <xf numFmtId="176" fontId="22" fillId="0" borderId="21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21" xfId="0" applyBorder="1" applyAlignment="1">
      <alignment vertical="center"/>
    </xf>
    <xf numFmtId="0" fontId="22" fillId="0" borderId="15" xfId="0" applyFont="1" applyBorder="1" applyAlignment="1">
      <alignment vertical="center" textRotation="255"/>
    </xf>
    <xf numFmtId="0" fontId="0" fillId="0" borderId="11" xfId="0" applyBorder="1" applyAlignment="1">
      <alignment vertical="center" textRotation="255"/>
    </xf>
    <xf numFmtId="0" fontId="0" fillId="0" borderId="21" xfId="0" applyBorder="1" applyAlignment="1">
      <alignment vertical="center" textRotation="255"/>
    </xf>
    <xf numFmtId="0" fontId="2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28" fillId="0" borderId="25" xfId="0" applyFont="1" applyBorder="1" applyAlignment="1">
      <alignment vertical="center" shrinkToFit="1"/>
    </xf>
    <xf numFmtId="0" fontId="28" fillId="0" borderId="22" xfId="0" applyFont="1" applyBorder="1" applyAlignment="1">
      <alignment vertical="center" shrinkToFit="1"/>
    </xf>
    <xf numFmtId="183" fontId="22" fillId="0" borderId="25" xfId="0" applyNumberFormat="1" applyFont="1" applyBorder="1" applyAlignment="1">
      <alignment vertical="center"/>
    </xf>
    <xf numFmtId="183" fontId="22" fillId="0" borderId="22" xfId="0" applyNumberFormat="1" applyFont="1" applyBorder="1" applyAlignment="1">
      <alignment vertical="center"/>
    </xf>
    <xf numFmtId="0" fontId="22" fillId="0" borderId="11" xfId="0" applyFont="1" applyBorder="1" applyAlignment="1">
      <alignment vertical="center" textRotation="255"/>
    </xf>
    <xf numFmtId="0" fontId="22" fillId="0" borderId="21" xfId="0" applyFont="1" applyBorder="1" applyAlignment="1">
      <alignment vertical="center" textRotation="255"/>
    </xf>
    <xf numFmtId="0" fontId="22" fillId="0" borderId="11" xfId="0" applyFont="1" applyBorder="1" applyAlignment="1">
      <alignment horizontal="center" vertical="center" wrapText="1"/>
    </xf>
    <xf numFmtId="176" fontId="22" fillId="0" borderId="25" xfId="0" applyNumberFormat="1" applyFont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187" fontId="22" fillId="24" borderId="57" xfId="0" applyNumberFormat="1" applyFont="1" applyFill="1" applyBorder="1" applyAlignment="1">
      <alignment vertical="center"/>
    </xf>
    <xf numFmtId="187" fontId="22" fillId="24" borderId="0" xfId="0" applyNumberFormat="1" applyFont="1" applyFill="1" applyBorder="1" applyAlignment="1">
      <alignment vertical="center"/>
    </xf>
    <xf numFmtId="187" fontId="22" fillId="24" borderId="60" xfId="0" applyNumberFormat="1" applyFont="1" applyFill="1" applyBorder="1" applyAlignment="1">
      <alignment vertical="center"/>
    </xf>
    <xf numFmtId="0" fontId="22" fillId="24" borderId="25" xfId="0" applyFont="1" applyFill="1" applyBorder="1" applyAlignment="1">
      <alignment horizontal="center" vertical="center"/>
    </xf>
    <xf numFmtId="0" fontId="22" fillId="24" borderId="11" xfId="0" applyFont="1" applyFill="1" applyBorder="1" applyAlignment="1">
      <alignment vertical="center"/>
    </xf>
    <xf numFmtId="0" fontId="22" fillId="24" borderId="22" xfId="0" applyFont="1" applyFill="1" applyBorder="1" applyAlignment="1">
      <alignment vertical="center"/>
    </xf>
    <xf numFmtId="0" fontId="22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87" fontId="22" fillId="24" borderId="25" xfId="0" applyNumberFormat="1" applyFont="1" applyFill="1" applyBorder="1" applyAlignment="1">
      <alignment vertical="center"/>
    </xf>
    <xf numFmtId="187" fontId="22" fillId="24" borderId="64" xfId="0" applyNumberFormat="1" applyFont="1" applyFill="1" applyBorder="1" applyAlignment="1">
      <alignment vertical="center"/>
    </xf>
    <xf numFmtId="187" fontId="22" fillId="24" borderId="71" xfId="0" applyNumberFormat="1" applyFont="1" applyFill="1" applyBorder="1" applyAlignment="1">
      <alignment vertical="center"/>
    </xf>
    <xf numFmtId="187" fontId="22" fillId="24" borderId="63" xfId="0" applyNumberFormat="1" applyFont="1" applyFill="1" applyBorder="1" applyAlignment="1">
      <alignment vertical="center"/>
    </xf>
    <xf numFmtId="0" fontId="22" fillId="24" borderId="25" xfId="0" applyFont="1" applyFill="1" applyBorder="1" applyAlignment="1">
      <alignment horizontal="center" vertical="center" shrinkToFit="1"/>
    </xf>
    <xf numFmtId="0" fontId="22" fillId="24" borderId="11" xfId="0" applyFont="1" applyFill="1" applyBorder="1" applyAlignment="1">
      <alignment horizontal="center" vertical="center" shrinkToFit="1"/>
    </xf>
    <xf numFmtId="0" fontId="22" fillId="24" borderId="22" xfId="0" applyFont="1" applyFill="1" applyBorder="1" applyAlignment="1">
      <alignment horizontal="center" vertical="center" shrinkToFit="1"/>
    </xf>
    <xf numFmtId="0" fontId="22" fillId="24" borderId="22" xfId="0" applyFont="1" applyFill="1" applyBorder="1" applyAlignment="1">
      <alignment horizontal="center" vertical="center"/>
    </xf>
    <xf numFmtId="178" fontId="22" fillId="0" borderId="15" xfId="0" applyNumberFormat="1" applyFont="1" applyBorder="1" applyAlignment="1">
      <alignment horizontal="center" vertical="center" wrapText="1"/>
    </xf>
    <xf numFmtId="178" fontId="22" fillId="0" borderId="21" xfId="0" applyNumberFormat="1" applyFont="1" applyBorder="1" applyAlignment="1">
      <alignment horizontal="center" vertical="center" wrapText="1"/>
    </xf>
    <xf numFmtId="191" fontId="22" fillId="24" borderId="25" xfId="0" applyNumberFormat="1" applyFont="1" applyFill="1" applyBorder="1" applyAlignment="1">
      <alignment vertical="center"/>
    </xf>
    <xf numFmtId="191" fontId="22" fillId="24" borderId="11" xfId="0" applyNumberFormat="1" applyFont="1" applyFill="1" applyBorder="1" applyAlignment="1">
      <alignment vertical="center"/>
    </xf>
    <xf numFmtId="191" fontId="22" fillId="24" borderId="22" xfId="0" applyNumberFormat="1" applyFont="1" applyFill="1" applyBorder="1" applyAlignment="1">
      <alignment vertical="center"/>
    </xf>
    <xf numFmtId="184" fontId="22" fillId="24" borderId="25" xfId="0" applyNumberFormat="1" applyFont="1" applyFill="1" applyBorder="1" applyAlignment="1">
      <alignment vertical="center"/>
    </xf>
    <xf numFmtId="184" fontId="22" fillId="24" borderId="11" xfId="0" applyNumberFormat="1" applyFont="1" applyFill="1" applyBorder="1" applyAlignment="1">
      <alignment vertical="center"/>
    </xf>
    <xf numFmtId="184" fontId="22" fillId="24" borderId="22" xfId="0" applyNumberFormat="1" applyFont="1" applyFill="1" applyBorder="1" applyAlignment="1">
      <alignment vertical="center"/>
    </xf>
    <xf numFmtId="191" fontId="22" fillId="0" borderId="25" xfId="0" applyNumberFormat="1" applyFont="1" applyBorder="1" applyAlignment="1">
      <alignment vertical="center"/>
    </xf>
    <xf numFmtId="0" fontId="22" fillId="0" borderId="21" xfId="0" applyFont="1" applyBorder="1" applyAlignment="1">
      <alignment vertical="center"/>
    </xf>
    <xf numFmtId="0" fontId="22" fillId="0" borderId="30" xfId="0" applyNumberFormat="1" applyFont="1" applyBorder="1" applyAlignment="1">
      <alignment horizontal="center" vertical="center" wrapText="1"/>
    </xf>
    <xf numFmtId="0" fontId="22" fillId="0" borderId="16" xfId="0" applyNumberFormat="1" applyFont="1" applyBorder="1" applyAlignment="1">
      <alignment horizontal="center" vertical="center" wrapText="1"/>
    </xf>
    <xf numFmtId="0" fontId="22" fillId="0" borderId="54" xfId="0" applyNumberFormat="1" applyFont="1" applyBorder="1" applyAlignment="1">
      <alignment horizontal="center" vertical="center" wrapText="1"/>
    </xf>
    <xf numFmtId="191" fontId="22" fillId="0" borderId="15" xfId="0" applyNumberFormat="1" applyFont="1" applyBorder="1" applyAlignment="1">
      <alignment horizontal="center" vertical="center" wrapText="1"/>
    </xf>
    <xf numFmtId="191" fontId="22" fillId="0" borderId="21" xfId="0" applyNumberFormat="1" applyFont="1" applyBorder="1" applyAlignment="1">
      <alignment horizontal="center" vertical="center" wrapText="1"/>
    </xf>
    <xf numFmtId="0" fontId="22" fillId="0" borderId="51" xfId="0" applyFont="1" applyBorder="1" applyAlignment="1">
      <alignment horizontal="center" vertical="center" wrapText="1"/>
    </xf>
    <xf numFmtId="0" fontId="22" fillId="0" borderId="65" xfId="0" applyFont="1" applyBorder="1" applyAlignment="1">
      <alignment horizontal="center" vertical="center" wrapText="1"/>
    </xf>
    <xf numFmtId="0" fontId="28" fillId="0" borderId="21" xfId="0" applyFont="1" applyBorder="1" applyAlignment="1">
      <alignment vertical="center" shrinkToFit="1"/>
    </xf>
    <xf numFmtId="191" fontId="22" fillId="24" borderId="57" xfId="0" applyNumberFormat="1" applyFont="1" applyFill="1" applyBorder="1" applyAlignment="1">
      <alignment vertical="center"/>
    </xf>
    <xf numFmtId="191" fontId="22" fillId="24" borderId="60" xfId="0" applyNumberFormat="1" applyFont="1" applyFill="1" applyBorder="1" applyAlignment="1">
      <alignment vertical="center"/>
    </xf>
    <xf numFmtId="0" fontId="22" fillId="0" borderId="15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191" fontId="22" fillId="24" borderId="64" xfId="0" applyNumberFormat="1" applyFont="1" applyFill="1" applyBorder="1" applyAlignment="1">
      <alignment vertical="center"/>
    </xf>
    <xf numFmtId="191" fontId="22" fillId="24" borderId="63" xfId="0" applyNumberFormat="1" applyFont="1" applyFill="1" applyBorder="1" applyAlignment="1">
      <alignment vertical="center"/>
    </xf>
    <xf numFmtId="176" fontId="22" fillId="0" borderId="25" xfId="0" applyNumberFormat="1" applyFont="1" applyBorder="1" applyAlignment="1">
      <alignment horizontal="center" vertical="center" shrinkToFit="1"/>
    </xf>
    <xf numFmtId="176" fontId="0" fillId="0" borderId="21" xfId="0" applyNumberFormat="1" applyBorder="1" applyAlignment="1">
      <alignment horizontal="center" vertical="center" shrinkToFit="1"/>
    </xf>
    <xf numFmtId="176" fontId="0" fillId="0" borderId="11" xfId="0" applyNumberFormat="1" applyBorder="1" applyAlignment="1">
      <alignment horizontal="center" vertical="center"/>
    </xf>
    <xf numFmtId="176" fontId="0" fillId="0" borderId="22" xfId="0" applyNumberFormat="1" applyBorder="1" applyAlignment="1">
      <alignment horizontal="center" vertical="center"/>
    </xf>
    <xf numFmtId="176" fontId="0" fillId="0" borderId="21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2" fillId="0" borderId="21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/>
    </xf>
    <xf numFmtId="187" fontId="22" fillId="24" borderId="11" xfId="0" applyNumberFormat="1" applyFont="1" applyFill="1" applyBorder="1" applyAlignment="1">
      <alignment vertical="center"/>
    </xf>
    <xf numFmtId="187" fontId="22" fillId="24" borderId="22" xfId="0" applyNumberFormat="1" applyFont="1" applyFill="1" applyBorder="1" applyAlignment="1">
      <alignment vertical="center"/>
    </xf>
    <xf numFmtId="176" fontId="22" fillId="0" borderId="15" xfId="0" applyNumberFormat="1" applyFont="1" applyBorder="1" applyAlignment="1">
      <alignment horizontal="center" vertical="center" shrinkToFit="1"/>
    </xf>
    <xf numFmtId="176" fontId="0" fillId="0" borderId="11" xfId="0" applyNumberForma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22" fillId="0" borderId="23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176" fontId="22" fillId="0" borderId="23" xfId="0" applyNumberFormat="1" applyFont="1" applyFill="1" applyBorder="1" applyAlignment="1">
      <alignment horizontal="center" vertical="center"/>
    </xf>
    <xf numFmtId="176" fontId="22" fillId="0" borderId="22" xfId="0" applyNumberFormat="1" applyFont="1" applyFill="1" applyBorder="1" applyAlignment="1">
      <alignment horizontal="center" vertical="center"/>
    </xf>
    <xf numFmtId="176" fontId="22" fillId="0" borderId="24" xfId="0" applyNumberFormat="1" applyFont="1" applyBorder="1" applyAlignment="1">
      <alignment horizontal="center" vertical="center"/>
    </xf>
    <xf numFmtId="176" fontId="22" fillId="0" borderId="27" xfId="0" applyNumberFormat="1" applyFont="1" applyBorder="1" applyAlignment="1">
      <alignment horizontal="center" vertical="center"/>
    </xf>
    <xf numFmtId="187" fontId="22" fillId="24" borderId="59" xfId="0" applyNumberFormat="1" applyFont="1" applyFill="1" applyBorder="1" applyAlignment="1">
      <alignment vertical="center"/>
    </xf>
    <xf numFmtId="187" fontId="22" fillId="24" borderId="36" xfId="0" applyNumberFormat="1" applyFont="1" applyFill="1" applyBorder="1" applyAlignment="1">
      <alignment vertical="center"/>
    </xf>
    <xf numFmtId="187" fontId="22" fillId="24" borderId="53" xfId="0" applyNumberFormat="1" applyFont="1" applyFill="1" applyBorder="1" applyAlignment="1">
      <alignment vertical="center"/>
    </xf>
    <xf numFmtId="0" fontId="22" fillId="0" borderId="11" xfId="0" applyFont="1" applyBorder="1" applyAlignment="1">
      <alignment vertical="center"/>
    </xf>
    <xf numFmtId="0" fontId="22" fillId="0" borderId="22" xfId="0" applyFont="1" applyBorder="1" applyAlignment="1">
      <alignment vertical="center"/>
    </xf>
    <xf numFmtId="0" fontId="22" fillId="24" borderId="59" xfId="0" applyFont="1" applyFill="1" applyBorder="1" applyAlignment="1">
      <alignment horizontal="center" vertical="center"/>
    </xf>
    <xf numFmtId="0" fontId="22" fillId="24" borderId="36" xfId="0" applyFont="1" applyFill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22" fillId="0" borderId="53" xfId="0" applyFont="1" applyBorder="1" applyAlignment="1">
      <alignment horizontal="center" vertical="center"/>
    </xf>
    <xf numFmtId="230" fontId="22" fillId="24" borderId="25" xfId="49" applyNumberFormat="1" applyFont="1" applyFill="1" applyBorder="1" applyAlignment="1">
      <alignment vertical="center"/>
    </xf>
    <xf numFmtId="230" fontId="22" fillId="24" borderId="22" xfId="49" applyNumberFormat="1" applyFont="1" applyFill="1" applyBorder="1" applyAlignment="1">
      <alignment vertical="center"/>
    </xf>
    <xf numFmtId="0" fontId="22" fillId="0" borderId="0" xfId="0" applyFont="1" applyAlignment="1">
      <alignment horizontal="right" vertical="center"/>
    </xf>
    <xf numFmtId="187" fontId="22" fillId="24" borderId="17" xfId="62" applyNumberFormat="1" applyFont="1" applyFill="1" applyBorder="1" applyAlignment="1">
      <alignment vertical="center"/>
      <protection/>
    </xf>
    <xf numFmtId="185" fontId="22" fillId="24" borderId="25" xfId="62" applyNumberFormat="1" applyFont="1" applyFill="1" applyBorder="1" applyAlignment="1">
      <alignment horizontal="center" vertical="center"/>
      <protection/>
    </xf>
    <xf numFmtId="185" fontId="22" fillId="24" borderId="22" xfId="62" applyNumberFormat="1" applyFont="1" applyFill="1" applyBorder="1" applyAlignment="1">
      <alignment horizontal="center" vertical="center"/>
      <protection/>
    </xf>
    <xf numFmtId="187" fontId="22" fillId="24" borderId="50" xfId="62" applyNumberFormat="1" applyFont="1" applyFill="1" applyBorder="1" applyAlignment="1">
      <alignment vertical="center"/>
      <protection/>
    </xf>
    <xf numFmtId="0" fontId="22" fillId="0" borderId="16" xfId="0" applyFont="1" applyBorder="1" applyAlignment="1">
      <alignment horizontal="center" vertical="center" wrapText="1"/>
    </xf>
    <xf numFmtId="0" fontId="22" fillId="0" borderId="54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191" fontId="22" fillId="24" borderId="24" xfId="0" applyNumberFormat="1" applyFont="1" applyFill="1" applyBorder="1" applyAlignment="1">
      <alignment vertical="center"/>
    </xf>
    <xf numFmtId="189" fontId="22" fillId="24" borderId="24" xfId="0" applyNumberFormat="1" applyFont="1" applyFill="1" applyBorder="1" applyAlignment="1">
      <alignment vertical="center"/>
    </xf>
    <xf numFmtId="0" fontId="22" fillId="24" borderId="24" xfId="0" applyFont="1" applyFill="1" applyBorder="1" applyAlignment="1">
      <alignment horizontal="center" vertical="center" shrinkToFit="1"/>
    </xf>
    <xf numFmtId="0" fontId="22" fillId="24" borderId="24" xfId="0" applyFont="1" applyFill="1" applyBorder="1" applyAlignment="1">
      <alignment horizontal="center" vertical="center"/>
    </xf>
    <xf numFmtId="191" fontId="22" fillId="24" borderId="25" xfId="62" applyNumberFormat="1" applyFont="1" applyFill="1" applyBorder="1" applyAlignment="1">
      <alignment vertical="center"/>
      <protection/>
    </xf>
    <xf numFmtId="191" fontId="22" fillId="24" borderId="11" xfId="62" applyNumberFormat="1" applyFont="1" applyFill="1" applyBorder="1" applyAlignment="1">
      <alignment vertical="center"/>
      <protection/>
    </xf>
    <xf numFmtId="191" fontId="22" fillId="24" borderId="22" xfId="62" applyNumberFormat="1" applyFont="1" applyFill="1" applyBorder="1" applyAlignment="1">
      <alignment vertical="center"/>
      <protection/>
    </xf>
    <xf numFmtId="187" fontId="22" fillId="24" borderId="17" xfId="0" applyNumberFormat="1" applyFont="1" applyFill="1" applyBorder="1" applyAlignment="1">
      <alignment vertical="center"/>
    </xf>
    <xf numFmtId="187" fontId="22" fillId="24" borderId="57" xfId="62" applyNumberFormat="1" applyFont="1" applyFill="1" applyBorder="1" applyAlignment="1">
      <alignment vertical="center"/>
      <protection/>
    </xf>
    <xf numFmtId="187" fontId="22" fillId="24" borderId="60" xfId="62" applyNumberFormat="1" applyFont="1" applyFill="1" applyBorder="1" applyAlignment="1">
      <alignment vertical="center"/>
      <protection/>
    </xf>
    <xf numFmtId="187" fontId="22" fillId="24" borderId="50" xfId="0" applyNumberFormat="1" applyFont="1" applyFill="1" applyBorder="1" applyAlignment="1">
      <alignment vertical="center"/>
    </xf>
    <xf numFmtId="0" fontId="22" fillId="0" borderId="15" xfId="0" applyFont="1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21" xfId="0" applyBorder="1" applyAlignment="1">
      <alignment horizontal="center" vertical="center" textRotation="255"/>
    </xf>
    <xf numFmtId="0" fontId="0" fillId="0" borderId="37" xfId="0" applyBorder="1" applyAlignment="1">
      <alignment horizontal="center" vertical="center"/>
    </xf>
    <xf numFmtId="0" fontId="22" fillId="0" borderId="84" xfId="0" applyFont="1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45" xfId="0" applyFont="1" applyBorder="1" applyAlignment="1">
      <alignment horizontal="center" vertical="center"/>
    </xf>
    <xf numFmtId="176" fontId="22" fillId="0" borderId="15" xfId="0" applyNumberFormat="1" applyFont="1" applyFill="1" applyBorder="1" applyAlignment="1">
      <alignment horizontal="center" vertical="center"/>
    </xf>
    <xf numFmtId="176" fontId="22" fillId="0" borderId="11" xfId="0" applyNumberFormat="1" applyFont="1" applyBorder="1" applyAlignment="1">
      <alignment vertical="center"/>
    </xf>
    <xf numFmtId="187" fontId="22" fillId="24" borderId="64" xfId="62" applyNumberFormat="1" applyFont="1" applyFill="1" applyBorder="1" applyAlignment="1">
      <alignment vertical="center"/>
      <protection/>
    </xf>
    <xf numFmtId="187" fontId="22" fillId="24" borderId="63" xfId="62" applyNumberFormat="1" applyFont="1" applyFill="1" applyBorder="1" applyAlignment="1">
      <alignment vertical="center"/>
      <protection/>
    </xf>
    <xf numFmtId="176" fontId="22" fillId="0" borderId="11" xfId="0" applyNumberFormat="1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176" fontId="22" fillId="0" borderId="22" xfId="0" applyNumberFormat="1" applyFont="1" applyBorder="1" applyAlignment="1">
      <alignment horizontal="center" vertical="center"/>
    </xf>
    <xf numFmtId="0" fontId="22" fillId="0" borderId="49" xfId="0" applyFont="1" applyBorder="1" applyAlignment="1">
      <alignment horizontal="center" vertical="center" wrapText="1"/>
    </xf>
    <xf numFmtId="176" fontId="22" fillId="0" borderId="15" xfId="0" applyNumberFormat="1" applyFont="1" applyBorder="1" applyAlignment="1" quotePrefix="1">
      <alignment horizontal="center" vertical="center"/>
    </xf>
    <xf numFmtId="191" fontId="22" fillId="0" borderId="23" xfId="0" applyNumberFormat="1" applyFont="1" applyBorder="1" applyAlignment="1">
      <alignment horizontal="center" vertical="center" wrapText="1"/>
    </xf>
    <xf numFmtId="191" fontId="22" fillId="0" borderId="27" xfId="0" applyNumberFormat="1" applyFont="1" applyBorder="1" applyAlignment="1">
      <alignment horizontal="center" vertical="center"/>
    </xf>
    <xf numFmtId="185" fontId="22" fillId="24" borderId="11" xfId="62" applyNumberFormat="1" applyFont="1" applyFill="1" applyBorder="1" applyAlignment="1">
      <alignment horizontal="center" vertical="center"/>
      <protection/>
    </xf>
    <xf numFmtId="178" fontId="22" fillId="0" borderId="23" xfId="0" applyNumberFormat="1" applyFont="1" applyBorder="1" applyAlignment="1">
      <alignment horizontal="center" vertical="center" wrapText="1"/>
    </xf>
    <xf numFmtId="178" fontId="22" fillId="0" borderId="27" xfId="0" applyNumberFormat="1" applyFont="1" applyBorder="1" applyAlignment="1">
      <alignment horizontal="center" vertical="center"/>
    </xf>
    <xf numFmtId="187" fontId="22" fillId="24" borderId="48" xfId="0" applyNumberFormat="1" applyFont="1" applyFill="1" applyBorder="1" applyAlignment="1">
      <alignment vertical="center"/>
    </xf>
    <xf numFmtId="187" fontId="22" fillId="24" borderId="85" xfId="0" applyNumberFormat="1" applyFont="1" applyFill="1" applyBorder="1" applyAlignment="1">
      <alignment vertical="center"/>
    </xf>
    <xf numFmtId="0" fontId="22" fillId="0" borderId="29" xfId="0" applyFont="1" applyBorder="1" applyAlignment="1">
      <alignment vertical="center"/>
    </xf>
    <xf numFmtId="181" fontId="22" fillId="24" borderId="24" xfId="0" applyNumberFormat="1" applyFont="1" applyFill="1" applyBorder="1" applyAlignment="1">
      <alignment vertical="center"/>
    </xf>
    <xf numFmtId="176" fontId="22" fillId="0" borderId="25" xfId="0" applyNumberFormat="1" applyFont="1" applyFill="1" applyBorder="1" applyAlignment="1">
      <alignment horizontal="center" vertical="center"/>
    </xf>
    <xf numFmtId="176" fontId="22" fillId="0" borderId="11" xfId="0" applyNumberFormat="1" applyFont="1" applyFill="1" applyBorder="1" applyAlignment="1">
      <alignment horizontal="center" vertical="center"/>
    </xf>
    <xf numFmtId="0" fontId="22" fillId="0" borderId="25" xfId="0" applyFont="1" applyBorder="1" applyAlignment="1">
      <alignment horizontal="center" vertical="center" shrinkToFit="1"/>
    </xf>
    <xf numFmtId="0" fontId="22" fillId="0" borderId="21" xfId="0" applyFont="1" applyBorder="1" applyAlignment="1">
      <alignment horizontal="center" vertical="center" shrinkToFit="1"/>
    </xf>
    <xf numFmtId="0" fontId="22" fillId="0" borderId="25" xfId="0" applyFont="1" applyBorder="1" applyAlignment="1">
      <alignment horizontal="center" vertical="center"/>
    </xf>
    <xf numFmtId="183" fontId="22" fillId="0" borderId="25" xfId="0" applyNumberFormat="1" applyFont="1" applyBorder="1" applyAlignment="1">
      <alignment horizontal="center" vertical="center"/>
    </xf>
    <xf numFmtId="183" fontId="22" fillId="0" borderId="22" xfId="0" applyNumberFormat="1" applyFont="1" applyBorder="1" applyAlignment="1">
      <alignment horizontal="center" vertical="center"/>
    </xf>
    <xf numFmtId="186" fontId="22" fillId="24" borderId="64" xfId="0" applyNumberFormat="1" applyFont="1" applyFill="1" applyBorder="1" applyAlignment="1">
      <alignment vertical="center"/>
    </xf>
    <xf numFmtId="186" fontId="22" fillId="24" borderId="71" xfId="0" applyNumberFormat="1" applyFont="1" applyFill="1" applyBorder="1" applyAlignment="1">
      <alignment vertical="center"/>
    </xf>
    <xf numFmtId="0" fontId="22" fillId="0" borderId="63" xfId="0" applyFont="1" applyBorder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8" xfId="61"/>
    <cellStyle name="標準_測定結果_H20_品川水質_2009.03修正2" xfId="62"/>
    <cellStyle name="標準_測定結果_H23_大船渡湾水質底泥調査20111.11.15" xfId="63"/>
    <cellStyle name="Followed Hyperlink" xfId="64"/>
    <cellStyle name="良い" xfId="65"/>
  </cellStyles>
  <dxfs count="1"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view="pageBreakPreview" zoomScaleSheetLayoutView="100" zoomScalePageLayoutView="0" workbookViewId="0" topLeftCell="A1">
      <selection activeCell="D57" sqref="D57:D58"/>
    </sheetView>
  </sheetViews>
  <sheetFormatPr defaultColWidth="9.00390625" defaultRowHeight="15" customHeight="1" outlineLevelRow="1"/>
  <cols>
    <col min="1" max="1" width="15.625" style="185" customWidth="1"/>
    <col min="2" max="2" width="9.50390625" style="49" customWidth="1"/>
    <col min="3" max="4" width="11.625" style="49" customWidth="1"/>
    <col min="5" max="7" width="9.25390625" style="49" customWidth="1"/>
    <col min="8" max="8" width="9.125" style="49" customWidth="1"/>
    <col min="9" max="9" width="10.625" style="49" customWidth="1"/>
    <col min="10" max="13" width="9.125" style="49" customWidth="1"/>
    <col min="14" max="15" width="11.375" style="49" customWidth="1"/>
    <col min="16" max="16" width="11.375" style="101" customWidth="1"/>
    <col min="17" max="16384" width="9.00390625" style="49" customWidth="1"/>
  </cols>
  <sheetData>
    <row r="1" spans="1:2" ht="17.25" customHeight="1">
      <c r="A1" s="187" t="s">
        <v>59</v>
      </c>
      <c r="B1" s="127"/>
    </row>
    <row r="2" spans="1:16" ht="15" customHeight="1">
      <c r="A2" s="984" t="s">
        <v>1</v>
      </c>
      <c r="B2" s="985"/>
      <c r="C2" s="985"/>
      <c r="D2" s="986"/>
      <c r="E2" s="976" t="s">
        <v>498</v>
      </c>
      <c r="F2" s="977"/>
      <c r="G2" s="977"/>
      <c r="H2" s="977"/>
      <c r="I2" s="977"/>
      <c r="J2" s="977"/>
      <c r="K2" s="977"/>
      <c r="L2" s="977"/>
      <c r="M2" s="977"/>
      <c r="N2" s="977"/>
      <c r="O2" s="977"/>
      <c r="P2" s="978"/>
    </row>
    <row r="3" spans="1:16" ht="15" customHeight="1">
      <c r="A3" s="987"/>
      <c r="B3" s="988"/>
      <c r="C3" s="983" t="s">
        <v>2</v>
      </c>
      <c r="D3" s="983" t="s">
        <v>3</v>
      </c>
      <c r="E3" s="982" t="s">
        <v>41</v>
      </c>
      <c r="F3" s="55" t="s">
        <v>42</v>
      </c>
      <c r="G3" s="55" t="s">
        <v>43</v>
      </c>
      <c r="H3" s="55" t="s">
        <v>44</v>
      </c>
      <c r="I3" s="56" t="s">
        <v>47</v>
      </c>
      <c r="J3" s="982" t="s">
        <v>48</v>
      </c>
      <c r="K3" s="55" t="s">
        <v>45</v>
      </c>
      <c r="L3" s="55" t="s">
        <v>46</v>
      </c>
      <c r="M3" s="55" t="s">
        <v>49</v>
      </c>
      <c r="N3" s="128" t="s">
        <v>54</v>
      </c>
      <c r="O3" s="55" t="s">
        <v>55</v>
      </c>
      <c r="P3" s="57" t="s">
        <v>50</v>
      </c>
    </row>
    <row r="4" spans="1:16" ht="15" customHeight="1">
      <c r="A4" s="989"/>
      <c r="B4" s="990"/>
      <c r="C4" s="973"/>
      <c r="D4" s="973"/>
      <c r="E4" s="973"/>
      <c r="F4" s="58" t="s">
        <v>51</v>
      </c>
      <c r="G4" s="58" t="s">
        <v>51</v>
      </c>
      <c r="H4" s="58" t="s">
        <v>51</v>
      </c>
      <c r="I4" s="58" t="s">
        <v>52</v>
      </c>
      <c r="J4" s="973"/>
      <c r="K4" s="58" t="s">
        <v>51</v>
      </c>
      <c r="L4" s="58" t="s">
        <v>51</v>
      </c>
      <c r="M4" s="58" t="s">
        <v>53</v>
      </c>
      <c r="N4" s="131" t="s">
        <v>499</v>
      </c>
      <c r="O4" s="59" t="s">
        <v>499</v>
      </c>
      <c r="P4" s="59" t="s">
        <v>499</v>
      </c>
    </row>
    <row r="5" spans="1:16" ht="15" customHeight="1">
      <c r="A5" s="981" t="s">
        <v>58</v>
      </c>
      <c r="B5" s="21" t="s">
        <v>56</v>
      </c>
      <c r="C5" s="979" t="s">
        <v>177</v>
      </c>
      <c r="D5" s="979" t="s">
        <v>178</v>
      </c>
      <c r="E5" s="60">
        <v>7.4</v>
      </c>
      <c r="F5" s="60">
        <v>1.1</v>
      </c>
      <c r="G5" s="60">
        <v>4.3</v>
      </c>
      <c r="H5" s="60">
        <v>8</v>
      </c>
      <c r="I5" s="80">
        <v>18.5</v>
      </c>
      <c r="J5" s="61">
        <v>0.1</v>
      </c>
      <c r="K5" s="40">
        <v>2.1</v>
      </c>
      <c r="L5" s="62">
        <v>4</v>
      </c>
      <c r="M5" s="40">
        <v>1.8</v>
      </c>
      <c r="N5" s="192">
        <v>0.025</v>
      </c>
      <c r="O5" s="192">
        <v>0.057</v>
      </c>
      <c r="P5" s="198">
        <v>0.0013</v>
      </c>
    </row>
    <row r="6" spans="1:16" ht="15" customHeight="1">
      <c r="A6" s="972"/>
      <c r="B6" s="20" t="s">
        <v>145</v>
      </c>
      <c r="C6" s="980"/>
      <c r="D6" s="980"/>
      <c r="E6" s="63">
        <v>7.5</v>
      </c>
      <c r="F6" s="63">
        <v>1.2</v>
      </c>
      <c r="G6" s="63">
        <v>4.5</v>
      </c>
      <c r="H6" s="63">
        <v>8.9</v>
      </c>
      <c r="I6" s="142">
        <v>18.8</v>
      </c>
      <c r="J6" s="64">
        <v>0.1</v>
      </c>
      <c r="K6" s="65">
        <v>2.2</v>
      </c>
      <c r="L6" s="66">
        <v>5</v>
      </c>
      <c r="M6" s="65">
        <v>1.6</v>
      </c>
      <c r="N6" s="190">
        <v>0.053</v>
      </c>
      <c r="O6" s="189">
        <v>0.11</v>
      </c>
      <c r="P6" s="89" t="s">
        <v>176</v>
      </c>
    </row>
    <row r="7" spans="1:16" ht="15" customHeight="1">
      <c r="A7" s="972"/>
      <c r="B7" s="24" t="s">
        <v>100</v>
      </c>
      <c r="C7" s="282" t="s">
        <v>179</v>
      </c>
      <c r="D7" s="282" t="s">
        <v>165</v>
      </c>
      <c r="E7" s="69">
        <v>7.1</v>
      </c>
      <c r="F7" s="69">
        <v>1.4</v>
      </c>
      <c r="G7" s="69">
        <v>7.2</v>
      </c>
      <c r="H7" s="69">
        <v>8.5</v>
      </c>
      <c r="I7" s="42">
        <v>12.4</v>
      </c>
      <c r="J7" s="70">
        <v>0.06</v>
      </c>
      <c r="K7" s="71">
        <v>3.1</v>
      </c>
      <c r="L7" s="72">
        <v>20</v>
      </c>
      <c r="M7" s="71">
        <v>7.1</v>
      </c>
      <c r="N7" s="190">
        <v>0.064</v>
      </c>
      <c r="O7" s="189">
        <v>0.14</v>
      </c>
      <c r="P7" s="89" t="s">
        <v>176</v>
      </c>
    </row>
    <row r="8" spans="1:16" ht="15" customHeight="1">
      <c r="A8" s="972"/>
      <c r="B8" s="24" t="s">
        <v>34</v>
      </c>
      <c r="C8" s="282" t="s">
        <v>180</v>
      </c>
      <c r="D8" s="282" t="s">
        <v>182</v>
      </c>
      <c r="E8" s="69">
        <v>7.4</v>
      </c>
      <c r="F8" s="69">
        <v>1.2</v>
      </c>
      <c r="G8" s="69">
        <v>5.6</v>
      </c>
      <c r="H8" s="69">
        <v>8.5</v>
      </c>
      <c r="I8" s="42">
        <v>16.5</v>
      </c>
      <c r="J8" s="70">
        <v>0.09</v>
      </c>
      <c r="K8" s="71">
        <v>2.8</v>
      </c>
      <c r="L8" s="72">
        <v>20</v>
      </c>
      <c r="M8" s="71">
        <v>6.6</v>
      </c>
      <c r="N8" s="189">
        <v>0.12</v>
      </c>
      <c r="O8" s="189">
        <v>0.27</v>
      </c>
      <c r="P8" s="89" t="s">
        <v>176</v>
      </c>
    </row>
    <row r="9" spans="1:16" ht="15" customHeight="1">
      <c r="A9" s="972"/>
      <c r="B9" s="24" t="s">
        <v>101</v>
      </c>
      <c r="C9" s="282" t="s">
        <v>181</v>
      </c>
      <c r="D9" s="282" t="s">
        <v>183</v>
      </c>
      <c r="E9" s="69">
        <v>7.4</v>
      </c>
      <c r="F9" s="69">
        <v>1</v>
      </c>
      <c r="G9" s="69">
        <v>5.2</v>
      </c>
      <c r="H9" s="69">
        <v>8.8</v>
      </c>
      <c r="I9" s="42">
        <v>15.3</v>
      </c>
      <c r="J9" s="70">
        <v>0.08</v>
      </c>
      <c r="K9" s="71">
        <v>2.4</v>
      </c>
      <c r="L9" s="72">
        <v>10</v>
      </c>
      <c r="M9" s="71">
        <v>4</v>
      </c>
      <c r="N9" s="190">
        <v>0.031</v>
      </c>
      <c r="O9" s="190">
        <v>0.068</v>
      </c>
      <c r="P9" s="89" t="s">
        <v>176</v>
      </c>
    </row>
    <row r="10" spans="1:16" ht="15" customHeight="1">
      <c r="A10" s="973"/>
      <c r="B10" s="24" t="s">
        <v>35</v>
      </c>
      <c r="C10" s="282" t="s">
        <v>184</v>
      </c>
      <c r="D10" s="282" t="s">
        <v>185</v>
      </c>
      <c r="E10" s="73">
        <v>7.4</v>
      </c>
      <c r="F10" s="73">
        <v>0.8</v>
      </c>
      <c r="G10" s="73">
        <v>4</v>
      </c>
      <c r="H10" s="73">
        <v>9.8</v>
      </c>
      <c r="I10" s="85">
        <v>7.5</v>
      </c>
      <c r="J10" s="74">
        <v>0.04</v>
      </c>
      <c r="K10" s="75">
        <v>1.7</v>
      </c>
      <c r="L10" s="76">
        <v>5</v>
      </c>
      <c r="M10" s="75">
        <v>2.3</v>
      </c>
      <c r="N10" s="193">
        <v>0.017</v>
      </c>
      <c r="O10" s="193">
        <v>0.034</v>
      </c>
      <c r="P10" s="89" t="s">
        <v>176</v>
      </c>
    </row>
    <row r="11" spans="1:16" ht="15" customHeight="1" outlineLevel="1">
      <c r="A11" s="971" t="s">
        <v>38</v>
      </c>
      <c r="B11" s="30" t="s">
        <v>102</v>
      </c>
      <c r="C11" s="284" t="s">
        <v>186</v>
      </c>
      <c r="D11" s="284" t="s">
        <v>187</v>
      </c>
      <c r="E11" s="60">
        <v>7.3</v>
      </c>
      <c r="F11" s="63" t="s">
        <v>163</v>
      </c>
      <c r="G11" s="60">
        <v>2.7</v>
      </c>
      <c r="H11" s="60">
        <v>9.3</v>
      </c>
      <c r="I11" s="40">
        <v>10.2</v>
      </c>
      <c r="J11" s="61">
        <v>0.06</v>
      </c>
      <c r="K11" s="40">
        <v>1</v>
      </c>
      <c r="L11" s="72">
        <v>2</v>
      </c>
      <c r="M11" s="40">
        <v>0.8</v>
      </c>
      <c r="N11" s="192">
        <v>0.032</v>
      </c>
      <c r="O11" s="192">
        <v>0.071</v>
      </c>
      <c r="P11" s="88" t="s">
        <v>175</v>
      </c>
    </row>
    <row r="12" spans="1:16" ht="15" customHeight="1" outlineLevel="1">
      <c r="A12" s="972"/>
      <c r="B12" s="38" t="s">
        <v>103</v>
      </c>
      <c r="C12" s="285" t="s">
        <v>188</v>
      </c>
      <c r="D12" s="285" t="s">
        <v>189</v>
      </c>
      <c r="E12" s="69">
        <v>7.1</v>
      </c>
      <c r="F12" s="69">
        <v>0.8</v>
      </c>
      <c r="G12" s="69">
        <v>6.2</v>
      </c>
      <c r="H12" s="69">
        <v>8.1</v>
      </c>
      <c r="I12" s="71">
        <v>9.7</v>
      </c>
      <c r="J12" s="70">
        <v>0.05</v>
      </c>
      <c r="K12" s="71">
        <v>2.8</v>
      </c>
      <c r="L12" s="72">
        <v>8</v>
      </c>
      <c r="M12" s="71">
        <v>3.1</v>
      </c>
      <c r="N12" s="190">
        <v>0.089</v>
      </c>
      <c r="O12" s="189">
        <v>0.18</v>
      </c>
      <c r="P12" s="68" t="s">
        <v>175</v>
      </c>
    </row>
    <row r="13" spans="1:16" ht="15" customHeight="1" outlineLevel="1">
      <c r="A13" s="972"/>
      <c r="B13" s="38" t="s">
        <v>104</v>
      </c>
      <c r="C13" s="285" t="s">
        <v>269</v>
      </c>
      <c r="D13" s="285" t="s">
        <v>270</v>
      </c>
      <c r="E13" s="69">
        <v>7.6</v>
      </c>
      <c r="F13" s="69">
        <v>0.7</v>
      </c>
      <c r="G13" s="69">
        <v>4.4</v>
      </c>
      <c r="H13" s="69">
        <v>8.2</v>
      </c>
      <c r="I13" s="71">
        <v>8.6</v>
      </c>
      <c r="J13" s="70">
        <v>0.05</v>
      </c>
      <c r="K13" s="71">
        <v>2.3</v>
      </c>
      <c r="L13" s="72">
        <v>3</v>
      </c>
      <c r="M13" s="71">
        <v>1.8</v>
      </c>
      <c r="N13" s="190">
        <v>0.069</v>
      </c>
      <c r="O13" s="189">
        <v>0.15</v>
      </c>
      <c r="P13" s="95" t="s">
        <v>175</v>
      </c>
    </row>
    <row r="14" spans="1:16" ht="15" customHeight="1" outlineLevel="1">
      <c r="A14" s="972"/>
      <c r="B14" s="38" t="s">
        <v>105</v>
      </c>
      <c r="C14" s="285" t="s">
        <v>190</v>
      </c>
      <c r="D14" s="285" t="s">
        <v>191</v>
      </c>
      <c r="E14" s="69">
        <v>7.5</v>
      </c>
      <c r="F14" s="69">
        <v>0.6</v>
      </c>
      <c r="G14" s="69">
        <v>4</v>
      </c>
      <c r="H14" s="69">
        <v>9.1</v>
      </c>
      <c r="I14" s="71">
        <v>8.8</v>
      </c>
      <c r="J14" s="70">
        <v>0.05</v>
      </c>
      <c r="K14" s="71">
        <v>1.9</v>
      </c>
      <c r="L14" s="72">
        <v>4</v>
      </c>
      <c r="M14" s="71">
        <v>1.8</v>
      </c>
      <c r="N14" s="190">
        <v>0.04</v>
      </c>
      <c r="O14" s="190">
        <v>0.082</v>
      </c>
      <c r="P14" s="201">
        <v>0.0011</v>
      </c>
    </row>
    <row r="15" spans="1:16" ht="15" customHeight="1" outlineLevel="1">
      <c r="A15" s="972"/>
      <c r="B15" s="38" t="s">
        <v>106</v>
      </c>
      <c r="C15" s="285" t="s">
        <v>192</v>
      </c>
      <c r="D15" s="285" t="s">
        <v>193</v>
      </c>
      <c r="E15" s="69">
        <v>7.6</v>
      </c>
      <c r="F15" s="69">
        <v>0.7</v>
      </c>
      <c r="G15" s="69">
        <v>3.9</v>
      </c>
      <c r="H15" s="69">
        <v>8.9</v>
      </c>
      <c r="I15" s="71">
        <v>9</v>
      </c>
      <c r="J15" s="70">
        <v>0.05</v>
      </c>
      <c r="K15" s="71">
        <v>2</v>
      </c>
      <c r="L15" s="72">
        <v>4</v>
      </c>
      <c r="M15" s="71">
        <v>2</v>
      </c>
      <c r="N15" s="190">
        <v>0.039</v>
      </c>
      <c r="O15" s="190">
        <v>0.087</v>
      </c>
      <c r="P15" s="89" t="s">
        <v>175</v>
      </c>
    </row>
    <row r="16" spans="1:16" ht="15" customHeight="1" outlineLevel="1">
      <c r="A16" s="973"/>
      <c r="B16" s="96" t="s">
        <v>107</v>
      </c>
      <c r="C16" s="287" t="s">
        <v>194</v>
      </c>
      <c r="D16" s="34" t="s">
        <v>195</v>
      </c>
      <c r="E16" s="73">
        <v>7.6</v>
      </c>
      <c r="F16" s="69" t="s">
        <v>163</v>
      </c>
      <c r="G16" s="73">
        <v>3.3</v>
      </c>
      <c r="H16" s="73">
        <v>8.8</v>
      </c>
      <c r="I16" s="75">
        <v>11.4</v>
      </c>
      <c r="J16" s="74">
        <v>0.06</v>
      </c>
      <c r="K16" s="75">
        <v>1.6</v>
      </c>
      <c r="L16" s="72">
        <v>2</v>
      </c>
      <c r="M16" s="75">
        <v>1.4</v>
      </c>
      <c r="N16" s="193">
        <v>0.019</v>
      </c>
      <c r="O16" s="193">
        <v>0.037</v>
      </c>
      <c r="P16" s="78" t="s">
        <v>175</v>
      </c>
    </row>
    <row r="17" spans="1:16" ht="15" customHeight="1">
      <c r="A17" s="971" t="s">
        <v>36</v>
      </c>
      <c r="B17" s="38" t="s">
        <v>108</v>
      </c>
      <c r="C17" s="285" t="s">
        <v>166</v>
      </c>
      <c r="D17" s="285" t="s">
        <v>196</v>
      </c>
      <c r="E17" s="79">
        <v>7.8</v>
      </c>
      <c r="F17" s="60">
        <v>0.6</v>
      </c>
      <c r="G17" s="79">
        <v>3.1</v>
      </c>
      <c r="H17" s="79">
        <v>9.9</v>
      </c>
      <c r="I17" s="40">
        <v>11.1</v>
      </c>
      <c r="J17" s="61">
        <v>0.06</v>
      </c>
      <c r="K17" s="40">
        <v>1.5</v>
      </c>
      <c r="L17" s="62">
        <v>1</v>
      </c>
      <c r="M17" s="40">
        <v>1</v>
      </c>
      <c r="N17" s="132">
        <v>0.035</v>
      </c>
      <c r="O17" s="86">
        <v>0.075</v>
      </c>
      <c r="P17" s="199">
        <v>0.0019</v>
      </c>
    </row>
    <row r="18" spans="1:16" ht="15" customHeight="1">
      <c r="A18" s="972"/>
      <c r="B18" s="33" t="s">
        <v>57</v>
      </c>
      <c r="C18" s="286" t="s">
        <v>197</v>
      </c>
      <c r="D18" s="286" t="s">
        <v>198</v>
      </c>
      <c r="E18" s="81">
        <v>7.2</v>
      </c>
      <c r="F18" s="69">
        <v>0.7</v>
      </c>
      <c r="G18" s="81">
        <v>3.5</v>
      </c>
      <c r="H18" s="81">
        <v>8.2</v>
      </c>
      <c r="I18" s="71">
        <v>12.9</v>
      </c>
      <c r="J18" s="70">
        <v>0.07</v>
      </c>
      <c r="K18" s="71">
        <v>1.5</v>
      </c>
      <c r="L18" s="72">
        <v>3</v>
      </c>
      <c r="M18" s="71">
        <v>1.8</v>
      </c>
      <c r="N18" s="133">
        <v>0.037</v>
      </c>
      <c r="O18" s="67">
        <v>0.076</v>
      </c>
      <c r="P18" s="89" t="s">
        <v>175</v>
      </c>
    </row>
    <row r="19" spans="1:16" ht="15" customHeight="1">
      <c r="A19" s="972"/>
      <c r="B19" s="33" t="s">
        <v>109</v>
      </c>
      <c r="C19" s="286" t="s">
        <v>199</v>
      </c>
      <c r="D19" s="286" t="s">
        <v>167</v>
      </c>
      <c r="E19" s="81">
        <v>7.1</v>
      </c>
      <c r="F19" s="69">
        <v>0.6</v>
      </c>
      <c r="G19" s="81">
        <v>3.2</v>
      </c>
      <c r="H19" s="81">
        <v>8.7</v>
      </c>
      <c r="I19" s="71">
        <v>13.3</v>
      </c>
      <c r="J19" s="70">
        <v>0.07</v>
      </c>
      <c r="K19" s="71">
        <v>1.4</v>
      </c>
      <c r="L19" s="72">
        <v>3</v>
      </c>
      <c r="M19" s="71">
        <v>1.3</v>
      </c>
      <c r="N19" s="133">
        <v>0.022</v>
      </c>
      <c r="O19" s="67">
        <v>0.047</v>
      </c>
      <c r="P19" s="68" t="s">
        <v>175</v>
      </c>
    </row>
    <row r="20" spans="1:16" ht="15" customHeight="1">
      <c r="A20" s="972"/>
      <c r="B20" s="33" t="s">
        <v>110</v>
      </c>
      <c r="C20" s="286" t="s">
        <v>200</v>
      </c>
      <c r="D20" s="286" t="s">
        <v>201</v>
      </c>
      <c r="E20" s="81">
        <v>7.5</v>
      </c>
      <c r="F20" s="69">
        <v>0.5</v>
      </c>
      <c r="G20" s="81">
        <v>3.1</v>
      </c>
      <c r="H20" s="81">
        <v>10</v>
      </c>
      <c r="I20" s="71">
        <v>10.8</v>
      </c>
      <c r="J20" s="70">
        <v>0.06</v>
      </c>
      <c r="K20" s="71">
        <v>1.5</v>
      </c>
      <c r="L20" s="72">
        <v>1</v>
      </c>
      <c r="M20" s="71">
        <v>0.9</v>
      </c>
      <c r="N20" s="133">
        <v>0.04</v>
      </c>
      <c r="O20" s="67">
        <v>0.084</v>
      </c>
      <c r="P20" s="68" t="s">
        <v>175</v>
      </c>
    </row>
    <row r="21" spans="1:16" ht="15" customHeight="1">
      <c r="A21" s="972"/>
      <c r="B21" s="44" t="s">
        <v>111</v>
      </c>
      <c r="C21" s="286" t="s">
        <v>271</v>
      </c>
      <c r="D21" s="286" t="s">
        <v>272</v>
      </c>
      <c r="E21" s="81">
        <v>7.6</v>
      </c>
      <c r="F21" s="69" t="s">
        <v>163</v>
      </c>
      <c r="G21" s="81">
        <v>2.9</v>
      </c>
      <c r="H21" s="81">
        <v>10.3</v>
      </c>
      <c r="I21" s="71">
        <v>10.7</v>
      </c>
      <c r="J21" s="70">
        <v>0.06</v>
      </c>
      <c r="K21" s="71">
        <v>1.5</v>
      </c>
      <c r="L21" s="72">
        <v>2</v>
      </c>
      <c r="M21" s="71">
        <v>1</v>
      </c>
      <c r="N21" s="133">
        <v>0.047</v>
      </c>
      <c r="O21" s="67">
        <v>0.1</v>
      </c>
      <c r="P21" s="68" t="s">
        <v>175</v>
      </c>
    </row>
    <row r="22" spans="1:16" ht="15" customHeight="1">
      <c r="A22" s="973"/>
      <c r="B22" s="34" t="s">
        <v>112</v>
      </c>
      <c r="C22" s="287" t="s">
        <v>202</v>
      </c>
      <c r="D22" s="287" t="s">
        <v>203</v>
      </c>
      <c r="E22" s="83">
        <v>7.6</v>
      </c>
      <c r="F22" s="73">
        <v>0.5</v>
      </c>
      <c r="G22" s="83">
        <v>3.5</v>
      </c>
      <c r="H22" s="83">
        <v>9.4</v>
      </c>
      <c r="I22" s="75">
        <v>9.4</v>
      </c>
      <c r="J22" s="74">
        <v>0.05</v>
      </c>
      <c r="K22" s="75">
        <v>1.6</v>
      </c>
      <c r="L22" s="76">
        <v>1</v>
      </c>
      <c r="M22" s="75">
        <v>0.9</v>
      </c>
      <c r="N22" s="134">
        <v>0.045</v>
      </c>
      <c r="O22" s="77">
        <v>0.095</v>
      </c>
      <c r="P22" s="78" t="s">
        <v>175</v>
      </c>
    </row>
    <row r="23" spans="1:16" ht="15" customHeight="1">
      <c r="A23" s="971" t="s">
        <v>33</v>
      </c>
      <c r="B23" s="30" t="s">
        <v>115</v>
      </c>
      <c r="C23" s="288" t="s">
        <v>204</v>
      </c>
      <c r="D23" s="288" t="s">
        <v>205</v>
      </c>
      <c r="E23" s="79">
        <v>7.8</v>
      </c>
      <c r="F23" s="60">
        <v>0.5</v>
      </c>
      <c r="G23" s="79">
        <v>3.7</v>
      </c>
      <c r="H23" s="79">
        <v>9.7</v>
      </c>
      <c r="I23" s="80">
        <v>7.9</v>
      </c>
      <c r="J23" s="61">
        <v>0.04</v>
      </c>
      <c r="K23" s="80">
        <v>1.6</v>
      </c>
      <c r="L23" s="62">
        <v>2</v>
      </c>
      <c r="M23" s="80">
        <v>1.1</v>
      </c>
      <c r="N23" s="188">
        <v>0.1</v>
      </c>
      <c r="O23" s="188">
        <v>0.22</v>
      </c>
      <c r="P23" s="198">
        <v>0.0029</v>
      </c>
    </row>
    <row r="24" spans="1:16" ht="15" customHeight="1">
      <c r="A24" s="972"/>
      <c r="B24" s="33" t="s">
        <v>116</v>
      </c>
      <c r="C24" s="282" t="s">
        <v>206</v>
      </c>
      <c r="D24" s="282" t="s">
        <v>207</v>
      </c>
      <c r="E24" s="81">
        <v>7.4</v>
      </c>
      <c r="F24" s="69">
        <v>0.6</v>
      </c>
      <c r="G24" s="81">
        <v>4.5</v>
      </c>
      <c r="H24" s="81">
        <v>10.5</v>
      </c>
      <c r="I24" s="42">
        <v>8.3</v>
      </c>
      <c r="J24" s="70">
        <v>0.05</v>
      </c>
      <c r="K24" s="42">
        <v>1.8</v>
      </c>
      <c r="L24" s="72">
        <v>6</v>
      </c>
      <c r="M24" s="42">
        <v>3.3</v>
      </c>
      <c r="N24" s="189">
        <v>0.14</v>
      </c>
      <c r="O24" s="189">
        <v>0.28</v>
      </c>
      <c r="P24" s="89" t="s">
        <v>175</v>
      </c>
    </row>
    <row r="25" spans="1:16" ht="15" customHeight="1">
      <c r="A25" s="972"/>
      <c r="B25" s="33" t="s">
        <v>117</v>
      </c>
      <c r="C25" s="282" t="s">
        <v>273</v>
      </c>
      <c r="D25" s="282" t="s">
        <v>274</v>
      </c>
      <c r="E25" s="81">
        <v>7.5</v>
      </c>
      <c r="F25" s="69">
        <v>0.5</v>
      </c>
      <c r="G25" s="81">
        <v>3.8</v>
      </c>
      <c r="H25" s="81">
        <v>10</v>
      </c>
      <c r="I25" s="42">
        <v>8.3</v>
      </c>
      <c r="J25" s="70">
        <v>0.05</v>
      </c>
      <c r="K25" s="42">
        <v>1.7</v>
      </c>
      <c r="L25" s="72">
        <v>2</v>
      </c>
      <c r="M25" s="42">
        <v>1.7</v>
      </c>
      <c r="N25" s="189">
        <v>0.1</v>
      </c>
      <c r="O25" s="189">
        <v>0.22</v>
      </c>
      <c r="P25" s="68" t="s">
        <v>175</v>
      </c>
    </row>
    <row r="26" spans="1:16" ht="15" customHeight="1">
      <c r="A26" s="972"/>
      <c r="B26" s="33" t="s">
        <v>118</v>
      </c>
      <c r="C26" s="282" t="s">
        <v>208</v>
      </c>
      <c r="D26" s="282" t="s">
        <v>209</v>
      </c>
      <c r="E26" s="81">
        <v>7.3</v>
      </c>
      <c r="F26" s="69">
        <v>1.1</v>
      </c>
      <c r="G26" s="81">
        <v>3.8</v>
      </c>
      <c r="H26" s="81">
        <v>8.5</v>
      </c>
      <c r="I26" s="42">
        <v>10.8</v>
      </c>
      <c r="J26" s="70">
        <v>0.06</v>
      </c>
      <c r="K26" s="42">
        <v>1.6</v>
      </c>
      <c r="L26" s="72">
        <v>3</v>
      </c>
      <c r="M26" s="42">
        <v>2.3</v>
      </c>
      <c r="N26" s="189">
        <v>0.098</v>
      </c>
      <c r="O26" s="189">
        <v>0.21</v>
      </c>
      <c r="P26" s="68" t="s">
        <v>175</v>
      </c>
    </row>
    <row r="27" spans="1:16" ht="15" customHeight="1">
      <c r="A27" s="972"/>
      <c r="B27" s="33" t="s">
        <v>119</v>
      </c>
      <c r="C27" s="282" t="s">
        <v>210</v>
      </c>
      <c r="D27" s="282" t="s">
        <v>211</v>
      </c>
      <c r="E27" s="81">
        <v>7.6</v>
      </c>
      <c r="F27" s="69">
        <v>0.7</v>
      </c>
      <c r="G27" s="81">
        <v>3.9</v>
      </c>
      <c r="H27" s="81">
        <v>9.7</v>
      </c>
      <c r="I27" s="42">
        <v>9.2</v>
      </c>
      <c r="J27" s="70">
        <v>0.05</v>
      </c>
      <c r="K27" s="42">
        <v>1.6</v>
      </c>
      <c r="L27" s="72">
        <v>3</v>
      </c>
      <c r="M27" s="42">
        <v>2</v>
      </c>
      <c r="N27" s="190">
        <v>0.094</v>
      </c>
      <c r="O27" s="189">
        <v>0.2</v>
      </c>
      <c r="P27" s="68" t="s">
        <v>175</v>
      </c>
    </row>
    <row r="28" spans="1:16" ht="15" customHeight="1">
      <c r="A28" s="973"/>
      <c r="B28" s="34" t="s">
        <v>120</v>
      </c>
      <c r="C28" s="283" t="s">
        <v>212</v>
      </c>
      <c r="D28" s="283" t="s">
        <v>213</v>
      </c>
      <c r="E28" s="83">
        <v>7.5</v>
      </c>
      <c r="F28" s="69">
        <v>0.5</v>
      </c>
      <c r="G28" s="83">
        <v>3.6</v>
      </c>
      <c r="H28" s="83">
        <v>9.9</v>
      </c>
      <c r="I28" s="85">
        <v>8</v>
      </c>
      <c r="J28" s="74">
        <v>0.04</v>
      </c>
      <c r="K28" s="85">
        <v>1.6</v>
      </c>
      <c r="L28" s="76">
        <v>2</v>
      </c>
      <c r="M28" s="85">
        <v>1.5</v>
      </c>
      <c r="N28" s="191">
        <v>0.095</v>
      </c>
      <c r="O28" s="191">
        <v>0.19</v>
      </c>
      <c r="P28" s="78" t="s">
        <v>175</v>
      </c>
    </row>
    <row r="29" spans="1:16" ht="15" customHeight="1" outlineLevel="1">
      <c r="A29" s="971" t="s">
        <v>37</v>
      </c>
      <c r="B29" s="38" t="s">
        <v>121</v>
      </c>
      <c r="C29" s="285" t="s">
        <v>214</v>
      </c>
      <c r="D29" s="285" t="s">
        <v>215</v>
      </c>
      <c r="E29" s="60">
        <v>7.4</v>
      </c>
      <c r="F29" s="87">
        <v>0.6</v>
      </c>
      <c r="G29" s="60">
        <v>2.7</v>
      </c>
      <c r="H29" s="60">
        <v>9.1</v>
      </c>
      <c r="I29" s="40">
        <v>6.7</v>
      </c>
      <c r="J29" s="61">
        <v>0.04</v>
      </c>
      <c r="K29" s="40">
        <v>1.2</v>
      </c>
      <c r="L29" s="62" t="s">
        <v>164</v>
      </c>
      <c r="M29" s="40">
        <v>0.7</v>
      </c>
      <c r="N29" s="188">
        <v>0.24</v>
      </c>
      <c r="O29" s="188">
        <v>0.52</v>
      </c>
      <c r="P29" s="200"/>
    </row>
    <row r="30" spans="1:16" ht="15" customHeight="1" outlineLevel="1">
      <c r="A30" s="972"/>
      <c r="B30" s="33" t="s">
        <v>122</v>
      </c>
      <c r="C30" s="286" t="s">
        <v>216</v>
      </c>
      <c r="D30" s="286" t="s">
        <v>217</v>
      </c>
      <c r="E30" s="69">
        <v>7</v>
      </c>
      <c r="F30" s="69" t="s">
        <v>163</v>
      </c>
      <c r="G30" s="69">
        <v>2.1</v>
      </c>
      <c r="H30" s="69">
        <v>8.5</v>
      </c>
      <c r="I30" s="71">
        <v>8</v>
      </c>
      <c r="J30" s="70">
        <v>0.05</v>
      </c>
      <c r="K30" s="71">
        <v>1</v>
      </c>
      <c r="L30" s="72" t="s">
        <v>164</v>
      </c>
      <c r="M30" s="71">
        <v>0.3</v>
      </c>
      <c r="N30" s="189">
        <v>0.21</v>
      </c>
      <c r="O30" s="189">
        <v>0.44</v>
      </c>
      <c r="P30" s="201">
        <v>0.0047</v>
      </c>
    </row>
    <row r="31" spans="1:16" ht="15" customHeight="1" outlineLevel="1">
      <c r="A31" s="972"/>
      <c r="B31" s="33" t="s">
        <v>123</v>
      </c>
      <c r="C31" s="286" t="s">
        <v>168</v>
      </c>
      <c r="D31" s="286" t="s">
        <v>218</v>
      </c>
      <c r="E31" s="69">
        <v>7.4</v>
      </c>
      <c r="F31" s="69">
        <v>0.5</v>
      </c>
      <c r="G31" s="69">
        <v>3.2</v>
      </c>
      <c r="H31" s="69">
        <v>8.8</v>
      </c>
      <c r="I31" s="71">
        <v>8.3</v>
      </c>
      <c r="J31" s="70">
        <v>0.05</v>
      </c>
      <c r="K31" s="71">
        <v>1.4</v>
      </c>
      <c r="L31" s="72">
        <v>3</v>
      </c>
      <c r="M31" s="71">
        <v>1.3</v>
      </c>
      <c r="N31" s="189">
        <v>0.29</v>
      </c>
      <c r="O31" s="189">
        <v>0.62</v>
      </c>
      <c r="P31" s="89" t="s">
        <v>175</v>
      </c>
    </row>
    <row r="32" spans="1:16" ht="15" customHeight="1" outlineLevel="1">
      <c r="A32" s="972"/>
      <c r="B32" s="33" t="s">
        <v>124</v>
      </c>
      <c r="C32" s="286" t="s">
        <v>219</v>
      </c>
      <c r="D32" s="286" t="s">
        <v>220</v>
      </c>
      <c r="E32" s="69">
        <v>6.7</v>
      </c>
      <c r="F32" s="69" t="s">
        <v>163</v>
      </c>
      <c r="G32" s="69">
        <v>1.2</v>
      </c>
      <c r="H32" s="69">
        <v>8.4</v>
      </c>
      <c r="I32" s="71">
        <v>9</v>
      </c>
      <c r="J32" s="70">
        <v>0.05</v>
      </c>
      <c r="K32" s="71">
        <v>0.6</v>
      </c>
      <c r="L32" s="72" t="s">
        <v>164</v>
      </c>
      <c r="M32" s="71">
        <v>0.4</v>
      </c>
      <c r="N32" s="190">
        <v>0.085</v>
      </c>
      <c r="O32" s="189">
        <v>0.18</v>
      </c>
      <c r="P32" s="68" t="s">
        <v>175</v>
      </c>
    </row>
    <row r="33" spans="1:16" ht="15" customHeight="1" outlineLevel="1">
      <c r="A33" s="972"/>
      <c r="B33" s="33" t="s">
        <v>125</v>
      </c>
      <c r="C33" s="286" t="s">
        <v>221</v>
      </c>
      <c r="D33" s="286" t="s">
        <v>222</v>
      </c>
      <c r="E33" s="69">
        <v>7.1</v>
      </c>
      <c r="F33" s="69">
        <v>0.6</v>
      </c>
      <c r="G33" s="69">
        <v>2.8</v>
      </c>
      <c r="H33" s="69">
        <v>9.1</v>
      </c>
      <c r="I33" s="71">
        <v>10.3</v>
      </c>
      <c r="J33" s="70">
        <v>0.06</v>
      </c>
      <c r="K33" s="71">
        <v>1.2</v>
      </c>
      <c r="L33" s="72">
        <v>2</v>
      </c>
      <c r="M33" s="71">
        <v>1.4</v>
      </c>
      <c r="N33" s="189">
        <v>0.12</v>
      </c>
      <c r="O33" s="189">
        <v>0.26</v>
      </c>
      <c r="P33" s="68" t="s">
        <v>175</v>
      </c>
    </row>
    <row r="34" spans="1:16" ht="15" customHeight="1" outlineLevel="1">
      <c r="A34" s="973"/>
      <c r="B34" s="34" t="s">
        <v>126</v>
      </c>
      <c r="C34" s="287" t="s">
        <v>275</v>
      </c>
      <c r="D34" s="287" t="s">
        <v>276</v>
      </c>
      <c r="E34" s="73">
        <v>6.9</v>
      </c>
      <c r="F34" s="73">
        <v>0.8</v>
      </c>
      <c r="G34" s="73">
        <v>4.5</v>
      </c>
      <c r="H34" s="73">
        <v>7.8</v>
      </c>
      <c r="I34" s="313">
        <v>306</v>
      </c>
      <c r="J34" s="74">
        <v>1.71</v>
      </c>
      <c r="K34" s="75">
        <v>2.1</v>
      </c>
      <c r="L34" s="76">
        <v>7</v>
      </c>
      <c r="M34" s="75">
        <v>3.9</v>
      </c>
      <c r="N34" s="191">
        <v>0.15</v>
      </c>
      <c r="O34" s="191">
        <v>0.3</v>
      </c>
      <c r="P34" s="78" t="s">
        <v>175</v>
      </c>
    </row>
    <row r="35" spans="1:16" ht="15" customHeight="1">
      <c r="A35" s="975" t="s">
        <v>148</v>
      </c>
      <c r="B35" s="30" t="s">
        <v>138</v>
      </c>
      <c r="C35" s="995" t="s">
        <v>281</v>
      </c>
      <c r="D35" s="995" t="s">
        <v>282</v>
      </c>
      <c r="E35" s="79">
        <v>7.8</v>
      </c>
      <c r="F35" s="60">
        <v>1.2</v>
      </c>
      <c r="G35" s="79">
        <v>5.9</v>
      </c>
      <c r="H35" s="79">
        <v>8.7</v>
      </c>
      <c r="I35" s="80">
        <v>7.5</v>
      </c>
      <c r="J35" s="97">
        <v>0.04</v>
      </c>
      <c r="K35" s="80">
        <v>2.3</v>
      </c>
      <c r="L35" s="98">
        <v>3</v>
      </c>
      <c r="M35" s="80">
        <v>2.4</v>
      </c>
      <c r="N35" s="192">
        <v>0.037</v>
      </c>
      <c r="O35" s="192">
        <v>0.078</v>
      </c>
      <c r="P35" s="200" t="s">
        <v>175</v>
      </c>
    </row>
    <row r="36" spans="1:16" ht="15" customHeight="1">
      <c r="A36" s="972"/>
      <c r="B36" s="38" t="s">
        <v>139</v>
      </c>
      <c r="C36" s="996"/>
      <c r="D36" s="996"/>
      <c r="E36" s="81">
        <v>7.6</v>
      </c>
      <c r="F36" s="69">
        <v>1.6</v>
      </c>
      <c r="G36" s="81">
        <v>6.3</v>
      </c>
      <c r="H36" s="81">
        <v>8.8</v>
      </c>
      <c r="I36" s="42">
        <v>7.8</v>
      </c>
      <c r="J36" s="82">
        <v>0.04</v>
      </c>
      <c r="K36" s="42">
        <v>2.2</v>
      </c>
      <c r="L36" s="90">
        <v>4</v>
      </c>
      <c r="M36" s="42">
        <v>2.9</v>
      </c>
      <c r="N36" s="190">
        <v>0.045</v>
      </c>
      <c r="O36" s="190">
        <v>0.094</v>
      </c>
      <c r="P36" s="202">
        <v>0.0018</v>
      </c>
    </row>
    <row r="37" spans="1:16" ht="15" customHeight="1">
      <c r="A37" s="972"/>
      <c r="B37" s="33" t="s">
        <v>141</v>
      </c>
      <c r="C37" s="991" t="s">
        <v>277</v>
      </c>
      <c r="D37" s="991" t="s">
        <v>278</v>
      </c>
      <c r="E37" s="69">
        <v>8.7</v>
      </c>
      <c r="F37" s="69">
        <v>1</v>
      </c>
      <c r="G37" s="69">
        <v>6.8</v>
      </c>
      <c r="H37" s="69">
        <v>10.2</v>
      </c>
      <c r="I37" s="71">
        <v>7.5</v>
      </c>
      <c r="J37" s="70">
        <v>0.04</v>
      </c>
      <c r="K37" s="71">
        <v>2.9</v>
      </c>
      <c r="L37" s="72">
        <v>2</v>
      </c>
      <c r="M37" s="71">
        <v>2</v>
      </c>
      <c r="N37" s="190">
        <v>0.028</v>
      </c>
      <c r="O37" s="190">
        <v>0.063</v>
      </c>
      <c r="P37" s="89" t="s">
        <v>175</v>
      </c>
    </row>
    <row r="38" spans="1:16" ht="15" customHeight="1">
      <c r="A38" s="972"/>
      <c r="B38" s="33" t="s">
        <v>140</v>
      </c>
      <c r="C38" s="994"/>
      <c r="D38" s="994"/>
      <c r="E38" s="69">
        <v>8.5</v>
      </c>
      <c r="F38" s="69">
        <v>1.2</v>
      </c>
      <c r="G38" s="69">
        <v>6.3</v>
      </c>
      <c r="H38" s="69">
        <v>9.5</v>
      </c>
      <c r="I38" s="71">
        <v>7.7</v>
      </c>
      <c r="J38" s="70">
        <v>0.04</v>
      </c>
      <c r="K38" s="71">
        <v>2.8</v>
      </c>
      <c r="L38" s="72">
        <v>3</v>
      </c>
      <c r="M38" s="71">
        <v>2.5</v>
      </c>
      <c r="N38" s="190">
        <v>0.03</v>
      </c>
      <c r="O38" s="190">
        <v>0.063</v>
      </c>
      <c r="P38" s="68" t="s">
        <v>175</v>
      </c>
    </row>
    <row r="39" spans="1:16" ht="15" customHeight="1">
      <c r="A39" s="972"/>
      <c r="B39" s="33" t="s">
        <v>142</v>
      </c>
      <c r="C39" s="991" t="s">
        <v>279</v>
      </c>
      <c r="D39" s="991" t="s">
        <v>280</v>
      </c>
      <c r="E39" s="91">
        <v>8.4</v>
      </c>
      <c r="F39" s="91">
        <v>1.2</v>
      </c>
      <c r="G39" s="91">
        <v>6.4</v>
      </c>
      <c r="H39" s="91">
        <v>8.5</v>
      </c>
      <c r="I39" s="93">
        <v>7.5</v>
      </c>
      <c r="J39" s="92">
        <v>0.04</v>
      </c>
      <c r="K39" s="93">
        <v>2.7</v>
      </c>
      <c r="L39" s="94">
        <v>3</v>
      </c>
      <c r="M39" s="93">
        <v>2.5</v>
      </c>
      <c r="N39" s="194">
        <v>0.028</v>
      </c>
      <c r="O39" s="194">
        <v>0.063</v>
      </c>
      <c r="P39" s="95" t="s">
        <v>175</v>
      </c>
    </row>
    <row r="40" spans="1:16" ht="15" customHeight="1">
      <c r="A40" s="973"/>
      <c r="B40" s="34" t="s">
        <v>143</v>
      </c>
      <c r="C40" s="993"/>
      <c r="D40" s="993"/>
      <c r="E40" s="73">
        <v>7.7</v>
      </c>
      <c r="F40" s="73">
        <v>1.3</v>
      </c>
      <c r="G40" s="73">
        <v>6.2</v>
      </c>
      <c r="H40" s="73">
        <v>8.2</v>
      </c>
      <c r="I40" s="75">
        <v>7.6</v>
      </c>
      <c r="J40" s="74">
        <v>0.04</v>
      </c>
      <c r="K40" s="75">
        <v>2.2</v>
      </c>
      <c r="L40" s="76">
        <v>3</v>
      </c>
      <c r="M40" s="75">
        <v>2.8</v>
      </c>
      <c r="N40" s="193">
        <v>0.033</v>
      </c>
      <c r="O40" s="193">
        <v>0.072</v>
      </c>
      <c r="P40" s="78" t="s">
        <v>175</v>
      </c>
    </row>
    <row r="41" spans="1:16" ht="15" customHeight="1">
      <c r="A41" s="974" t="s">
        <v>39</v>
      </c>
      <c r="B41" s="30" t="s">
        <v>127</v>
      </c>
      <c r="C41" s="995" t="s">
        <v>285</v>
      </c>
      <c r="D41" s="995" t="s">
        <v>286</v>
      </c>
      <c r="E41" s="60">
        <v>7.5</v>
      </c>
      <c r="F41" s="60" t="s">
        <v>163</v>
      </c>
      <c r="G41" s="60">
        <v>2.9</v>
      </c>
      <c r="H41" s="60">
        <v>8.9</v>
      </c>
      <c r="I41" s="40">
        <v>5.7</v>
      </c>
      <c r="J41" s="61">
        <v>0.04</v>
      </c>
      <c r="K41" s="40">
        <v>1.4</v>
      </c>
      <c r="L41" s="62">
        <v>1</v>
      </c>
      <c r="M41" s="40">
        <v>1.3</v>
      </c>
      <c r="N41" s="192">
        <v>0.012</v>
      </c>
      <c r="O41" s="192">
        <v>0.027</v>
      </c>
      <c r="P41" s="88" t="s">
        <v>175</v>
      </c>
    </row>
    <row r="42" spans="1:16" ht="15" customHeight="1">
      <c r="A42" s="972"/>
      <c r="B42" s="38" t="s">
        <v>128</v>
      </c>
      <c r="C42" s="996"/>
      <c r="D42" s="996"/>
      <c r="E42" s="63">
        <v>7</v>
      </c>
      <c r="F42" s="63">
        <v>0.7</v>
      </c>
      <c r="G42" s="63">
        <v>3.4</v>
      </c>
      <c r="H42" s="63">
        <v>7.1</v>
      </c>
      <c r="I42" s="65">
        <v>5</v>
      </c>
      <c r="J42" s="64">
        <v>0.03</v>
      </c>
      <c r="K42" s="65">
        <v>1.7</v>
      </c>
      <c r="L42" s="66">
        <v>2</v>
      </c>
      <c r="M42" s="65">
        <v>1.2</v>
      </c>
      <c r="N42" s="195">
        <v>0.0077</v>
      </c>
      <c r="O42" s="196">
        <v>0.019</v>
      </c>
      <c r="P42" s="89" t="s">
        <v>175</v>
      </c>
    </row>
    <row r="43" spans="1:16" ht="15" customHeight="1">
      <c r="A43" s="972"/>
      <c r="B43" s="33" t="s">
        <v>129</v>
      </c>
      <c r="C43" s="991" t="s">
        <v>283</v>
      </c>
      <c r="D43" s="991" t="s">
        <v>284</v>
      </c>
      <c r="E43" s="69">
        <v>7.5</v>
      </c>
      <c r="F43" s="69">
        <v>0.8</v>
      </c>
      <c r="G43" s="81">
        <v>3.5</v>
      </c>
      <c r="H43" s="81">
        <v>8.8</v>
      </c>
      <c r="I43" s="71">
        <v>5.7</v>
      </c>
      <c r="J43" s="82">
        <v>0.03</v>
      </c>
      <c r="K43" s="42">
        <v>1.5</v>
      </c>
      <c r="L43" s="90">
        <v>2</v>
      </c>
      <c r="M43" s="42">
        <v>1.7</v>
      </c>
      <c r="N43" s="190">
        <v>0.012</v>
      </c>
      <c r="O43" s="190">
        <v>0.027</v>
      </c>
      <c r="P43" s="95" t="s">
        <v>175</v>
      </c>
    </row>
    <row r="44" spans="1:16" ht="15" customHeight="1">
      <c r="A44" s="972"/>
      <c r="B44" s="33" t="s">
        <v>144</v>
      </c>
      <c r="C44" s="994"/>
      <c r="D44" s="994"/>
      <c r="E44" s="69">
        <v>6.7</v>
      </c>
      <c r="F44" s="69">
        <v>0.7</v>
      </c>
      <c r="G44" s="81">
        <v>3.2</v>
      </c>
      <c r="H44" s="81">
        <v>6.4</v>
      </c>
      <c r="I44" s="71">
        <v>4.7</v>
      </c>
      <c r="J44" s="82">
        <v>0.03</v>
      </c>
      <c r="K44" s="42">
        <v>1.4</v>
      </c>
      <c r="L44" s="90">
        <v>4</v>
      </c>
      <c r="M44" s="42">
        <v>1.5</v>
      </c>
      <c r="N44" s="197">
        <v>0.0083</v>
      </c>
      <c r="O44" s="190">
        <v>0.019</v>
      </c>
      <c r="P44" s="202">
        <v>0.0013</v>
      </c>
    </row>
    <row r="45" spans="1:16" ht="15" customHeight="1">
      <c r="A45" s="972"/>
      <c r="B45" s="33" t="s">
        <v>130</v>
      </c>
      <c r="C45" s="991" t="s">
        <v>169</v>
      </c>
      <c r="D45" s="991" t="s">
        <v>170</v>
      </c>
      <c r="E45" s="91">
        <v>7.4</v>
      </c>
      <c r="F45" s="91">
        <v>0.6</v>
      </c>
      <c r="G45" s="91">
        <v>3.4</v>
      </c>
      <c r="H45" s="91">
        <v>8.6</v>
      </c>
      <c r="I45" s="93">
        <v>5.7</v>
      </c>
      <c r="J45" s="92">
        <v>0.04</v>
      </c>
      <c r="K45" s="93">
        <v>1.9</v>
      </c>
      <c r="L45" s="94">
        <v>2</v>
      </c>
      <c r="M45" s="93">
        <v>1.1</v>
      </c>
      <c r="N45" s="194">
        <v>0.01</v>
      </c>
      <c r="O45" s="194">
        <v>0.023</v>
      </c>
      <c r="P45" s="203" t="s">
        <v>175</v>
      </c>
    </row>
    <row r="46" spans="1:16" ht="15" customHeight="1">
      <c r="A46" s="973"/>
      <c r="B46" s="96" t="s">
        <v>131</v>
      </c>
      <c r="C46" s="993"/>
      <c r="D46" s="993"/>
      <c r="E46" s="73">
        <v>7.5</v>
      </c>
      <c r="F46" s="73">
        <v>1</v>
      </c>
      <c r="G46" s="73">
        <v>3.2</v>
      </c>
      <c r="H46" s="73">
        <v>8.7</v>
      </c>
      <c r="I46" s="75">
        <v>6</v>
      </c>
      <c r="J46" s="74">
        <v>0.03</v>
      </c>
      <c r="K46" s="75">
        <v>1.5</v>
      </c>
      <c r="L46" s="76">
        <v>2</v>
      </c>
      <c r="M46" s="75">
        <v>1.3</v>
      </c>
      <c r="N46" s="193">
        <v>0.012</v>
      </c>
      <c r="O46" s="193">
        <v>0.024</v>
      </c>
      <c r="P46" s="78" t="s">
        <v>175</v>
      </c>
    </row>
    <row r="47" spans="1:16" ht="15" customHeight="1">
      <c r="A47" s="974" t="s">
        <v>40</v>
      </c>
      <c r="B47" s="30" t="s">
        <v>132</v>
      </c>
      <c r="C47" s="995" t="s">
        <v>287</v>
      </c>
      <c r="D47" s="995" t="s">
        <v>288</v>
      </c>
      <c r="E47" s="79">
        <v>6.8</v>
      </c>
      <c r="F47" s="60" t="s">
        <v>163</v>
      </c>
      <c r="G47" s="79">
        <v>2</v>
      </c>
      <c r="H47" s="79">
        <v>8.1</v>
      </c>
      <c r="I47" s="80">
        <v>11.2</v>
      </c>
      <c r="J47" s="97">
        <v>0.06</v>
      </c>
      <c r="K47" s="80">
        <v>0.9</v>
      </c>
      <c r="L47" s="62" t="s">
        <v>164</v>
      </c>
      <c r="M47" s="80">
        <v>0.6</v>
      </c>
      <c r="N47" s="132">
        <v>0.013</v>
      </c>
      <c r="O47" s="86">
        <v>0.03</v>
      </c>
      <c r="P47" s="308" t="s">
        <v>175</v>
      </c>
    </row>
    <row r="48" spans="1:16" ht="15" customHeight="1">
      <c r="A48" s="972"/>
      <c r="B48" s="33" t="s">
        <v>133</v>
      </c>
      <c r="C48" s="996"/>
      <c r="D48" s="996"/>
      <c r="E48" s="81">
        <v>6.8</v>
      </c>
      <c r="F48" s="69">
        <v>0.6</v>
      </c>
      <c r="G48" s="81">
        <v>2.2</v>
      </c>
      <c r="H48" s="81">
        <v>8.2</v>
      </c>
      <c r="I48" s="42">
        <v>11.2</v>
      </c>
      <c r="J48" s="82">
        <v>0.06</v>
      </c>
      <c r="K48" s="42">
        <v>0.8</v>
      </c>
      <c r="L48" s="90">
        <v>1</v>
      </c>
      <c r="M48" s="42">
        <v>0.9</v>
      </c>
      <c r="N48" s="133">
        <v>0.012</v>
      </c>
      <c r="O48" s="67">
        <v>0.026</v>
      </c>
      <c r="P48" s="309">
        <v>0.00092</v>
      </c>
    </row>
    <row r="49" spans="1:16" ht="15" customHeight="1">
      <c r="A49" s="972"/>
      <c r="B49" s="33" t="s">
        <v>136</v>
      </c>
      <c r="C49" s="991" t="s">
        <v>171</v>
      </c>
      <c r="D49" s="991" t="s">
        <v>172</v>
      </c>
      <c r="E49" s="69">
        <v>7</v>
      </c>
      <c r="F49" s="69" t="s">
        <v>163</v>
      </c>
      <c r="G49" s="69">
        <v>1.8</v>
      </c>
      <c r="H49" s="69">
        <v>7.8</v>
      </c>
      <c r="I49" s="71">
        <v>11.2</v>
      </c>
      <c r="J49" s="70">
        <v>0.06</v>
      </c>
      <c r="K49" s="71">
        <v>1</v>
      </c>
      <c r="L49" s="72" t="s">
        <v>164</v>
      </c>
      <c r="M49" s="71">
        <v>0.6</v>
      </c>
      <c r="N49" s="133">
        <v>0.01</v>
      </c>
      <c r="O49" s="67">
        <v>0.023</v>
      </c>
      <c r="P49" s="68" t="s">
        <v>175</v>
      </c>
    </row>
    <row r="50" spans="1:16" ht="15" customHeight="1">
      <c r="A50" s="972"/>
      <c r="B50" s="33" t="s">
        <v>137</v>
      </c>
      <c r="C50" s="994"/>
      <c r="D50" s="994"/>
      <c r="E50" s="69">
        <v>6.9</v>
      </c>
      <c r="F50" s="69">
        <v>0.5</v>
      </c>
      <c r="G50" s="69">
        <v>2</v>
      </c>
      <c r="H50" s="69">
        <v>8.3</v>
      </c>
      <c r="I50" s="71">
        <v>11.3</v>
      </c>
      <c r="J50" s="70">
        <v>0.06</v>
      </c>
      <c r="K50" s="71">
        <v>1</v>
      </c>
      <c r="L50" s="72">
        <v>2</v>
      </c>
      <c r="M50" s="71">
        <v>1.2</v>
      </c>
      <c r="N50" s="133">
        <v>0.018</v>
      </c>
      <c r="O50" s="67">
        <v>0.036</v>
      </c>
      <c r="P50" s="68" t="s">
        <v>175</v>
      </c>
    </row>
    <row r="51" spans="1:16" ht="15" customHeight="1">
      <c r="A51" s="972"/>
      <c r="B51" s="38" t="s">
        <v>134</v>
      </c>
      <c r="C51" s="991" t="s">
        <v>173</v>
      </c>
      <c r="D51" s="991" t="s">
        <v>174</v>
      </c>
      <c r="E51" s="63">
        <v>6.9</v>
      </c>
      <c r="F51" s="63">
        <v>0.6</v>
      </c>
      <c r="G51" s="63">
        <v>2.2</v>
      </c>
      <c r="H51" s="63">
        <v>8.3</v>
      </c>
      <c r="I51" s="65">
        <v>11.2</v>
      </c>
      <c r="J51" s="64">
        <v>0.06</v>
      </c>
      <c r="K51" s="65">
        <v>1.2</v>
      </c>
      <c r="L51" s="66" t="s">
        <v>164</v>
      </c>
      <c r="M51" s="65">
        <v>0.6</v>
      </c>
      <c r="N51" s="135">
        <v>0.042</v>
      </c>
      <c r="O51" s="177">
        <v>0.089</v>
      </c>
      <c r="P51" s="89" t="s">
        <v>175</v>
      </c>
    </row>
    <row r="52" spans="1:16" ht="15" customHeight="1">
      <c r="A52" s="973"/>
      <c r="B52" s="34" t="s">
        <v>135</v>
      </c>
      <c r="C52" s="992"/>
      <c r="D52" s="992"/>
      <c r="E52" s="73">
        <v>6.9</v>
      </c>
      <c r="F52" s="73">
        <v>0.8</v>
      </c>
      <c r="G52" s="73">
        <v>2.1</v>
      </c>
      <c r="H52" s="73">
        <v>8.1</v>
      </c>
      <c r="I52" s="75">
        <v>11.2</v>
      </c>
      <c r="J52" s="74">
        <v>0.06</v>
      </c>
      <c r="K52" s="75">
        <v>0.9</v>
      </c>
      <c r="L52" s="76" t="s">
        <v>164</v>
      </c>
      <c r="M52" s="75">
        <v>0.7</v>
      </c>
      <c r="N52" s="134">
        <v>0.012</v>
      </c>
      <c r="O52" s="77">
        <v>0.024</v>
      </c>
      <c r="P52" s="78" t="s">
        <v>175</v>
      </c>
    </row>
    <row r="53" spans="1:16" ht="15" customHeight="1">
      <c r="A53" s="967" t="s">
        <v>151</v>
      </c>
      <c r="B53" s="829" t="s">
        <v>153</v>
      </c>
      <c r="C53" s="995" t="s">
        <v>253</v>
      </c>
      <c r="D53" s="995" t="s">
        <v>254</v>
      </c>
      <c r="E53" s="173">
        <v>8.3</v>
      </c>
      <c r="F53" s="63">
        <v>1.2</v>
      </c>
      <c r="G53" s="173">
        <v>3.4</v>
      </c>
      <c r="H53" s="173">
        <v>8.2</v>
      </c>
      <c r="I53" s="174">
        <v>3910</v>
      </c>
      <c r="J53" s="175">
        <v>25.18</v>
      </c>
      <c r="K53" s="142">
        <v>1.9</v>
      </c>
      <c r="L53" s="176">
        <v>3</v>
      </c>
      <c r="M53" s="142">
        <v>1.9</v>
      </c>
      <c r="N53" s="197">
        <v>0.0065</v>
      </c>
      <c r="O53" s="190">
        <v>0.017</v>
      </c>
      <c r="P53" s="203" t="s">
        <v>175</v>
      </c>
    </row>
    <row r="54" spans="1:16" ht="15" customHeight="1">
      <c r="A54" s="968"/>
      <c r="B54" s="878" t="s">
        <v>154</v>
      </c>
      <c r="C54" s="992"/>
      <c r="D54" s="992"/>
      <c r="E54" s="83">
        <v>8.2</v>
      </c>
      <c r="F54" s="73">
        <v>0.7</v>
      </c>
      <c r="G54" s="83">
        <v>1.4</v>
      </c>
      <c r="H54" s="83">
        <v>8</v>
      </c>
      <c r="I54" s="143">
        <v>5170</v>
      </c>
      <c r="J54" s="84">
        <v>32.96</v>
      </c>
      <c r="K54" s="85">
        <v>1.2</v>
      </c>
      <c r="L54" s="99">
        <v>2</v>
      </c>
      <c r="M54" s="85">
        <v>0.5</v>
      </c>
      <c r="N54" s="876">
        <v>0.0083</v>
      </c>
      <c r="O54" s="194">
        <v>0.018</v>
      </c>
      <c r="P54" s="307">
        <v>0.00095</v>
      </c>
    </row>
    <row r="55" spans="1:16" ht="15" customHeight="1">
      <c r="A55" s="967" t="s">
        <v>150</v>
      </c>
      <c r="B55" s="38" t="s">
        <v>113</v>
      </c>
      <c r="C55" s="285" t="s">
        <v>259</v>
      </c>
      <c r="D55" s="38" t="s">
        <v>260</v>
      </c>
      <c r="E55" s="173">
        <v>8</v>
      </c>
      <c r="F55" s="63">
        <v>1.1</v>
      </c>
      <c r="G55" s="173">
        <v>3.5</v>
      </c>
      <c r="H55" s="173">
        <v>5.7</v>
      </c>
      <c r="I55" s="174">
        <v>4440</v>
      </c>
      <c r="J55" s="175">
        <v>27.96</v>
      </c>
      <c r="K55" s="142">
        <v>2.1</v>
      </c>
      <c r="L55" s="176">
        <v>6</v>
      </c>
      <c r="M55" s="142">
        <v>4.6</v>
      </c>
      <c r="N55" s="132">
        <v>0.042</v>
      </c>
      <c r="O55" s="86">
        <v>0.09</v>
      </c>
      <c r="P55" s="178">
        <v>0.0015</v>
      </c>
    </row>
    <row r="56" spans="1:16" ht="15" customHeight="1">
      <c r="A56" s="968"/>
      <c r="B56" s="34" t="s">
        <v>114</v>
      </c>
      <c r="C56" s="289" t="s">
        <v>261</v>
      </c>
      <c r="D56" s="96" t="s">
        <v>262</v>
      </c>
      <c r="E56" s="83">
        <v>8</v>
      </c>
      <c r="F56" s="73">
        <v>0.6</v>
      </c>
      <c r="G56" s="83">
        <v>2.9</v>
      </c>
      <c r="H56" s="83">
        <v>6.4</v>
      </c>
      <c r="I56" s="143">
        <v>4630</v>
      </c>
      <c r="J56" s="84">
        <v>29.23</v>
      </c>
      <c r="K56" s="85">
        <v>1.8</v>
      </c>
      <c r="L56" s="76">
        <v>2</v>
      </c>
      <c r="M56" s="85">
        <v>3.4</v>
      </c>
      <c r="N56" s="134">
        <v>0.033</v>
      </c>
      <c r="O56" s="77">
        <v>0.071</v>
      </c>
      <c r="P56" s="78" t="s">
        <v>175</v>
      </c>
    </row>
    <row r="57" spans="1:16" ht="15" customHeight="1">
      <c r="A57" s="969" t="s">
        <v>149</v>
      </c>
      <c r="B57" s="30" t="s">
        <v>155</v>
      </c>
      <c r="C57" s="995" t="s">
        <v>265</v>
      </c>
      <c r="D57" s="995" t="s">
        <v>266</v>
      </c>
      <c r="E57" s="79">
        <v>8.2</v>
      </c>
      <c r="F57" s="60" t="s">
        <v>163</v>
      </c>
      <c r="G57" s="79">
        <v>1.3</v>
      </c>
      <c r="H57" s="79">
        <v>8</v>
      </c>
      <c r="I57" s="179">
        <v>5080</v>
      </c>
      <c r="J57" s="97">
        <v>33.2</v>
      </c>
      <c r="K57" s="80">
        <v>1.2</v>
      </c>
      <c r="L57" s="62" t="s">
        <v>164</v>
      </c>
      <c r="M57" s="80">
        <v>0.4</v>
      </c>
      <c r="N57" s="180">
        <v>0.0085</v>
      </c>
      <c r="O57" s="190">
        <v>0.021</v>
      </c>
      <c r="P57" s="95" t="s">
        <v>175</v>
      </c>
    </row>
    <row r="58" spans="1:16" ht="15" customHeight="1">
      <c r="A58" s="970"/>
      <c r="B58" s="96" t="s">
        <v>156</v>
      </c>
      <c r="C58" s="992"/>
      <c r="D58" s="992"/>
      <c r="E58" s="83">
        <v>8.1</v>
      </c>
      <c r="F58" s="73" t="s">
        <v>163</v>
      </c>
      <c r="G58" s="83">
        <v>1.4</v>
      </c>
      <c r="H58" s="83">
        <v>7.6</v>
      </c>
      <c r="I58" s="143">
        <v>5240</v>
      </c>
      <c r="J58" s="84">
        <v>33.58</v>
      </c>
      <c r="K58" s="85">
        <v>1.1</v>
      </c>
      <c r="L58" s="76">
        <v>2</v>
      </c>
      <c r="M58" s="85">
        <v>0.7</v>
      </c>
      <c r="N58" s="877">
        <v>0.0077</v>
      </c>
      <c r="O58" s="193">
        <v>0.015</v>
      </c>
      <c r="P58" s="310">
        <v>0.0013</v>
      </c>
    </row>
    <row r="59" spans="1:13" ht="15" customHeight="1">
      <c r="A59" s="130" t="s">
        <v>763</v>
      </c>
      <c r="E59" s="100"/>
      <c r="F59" s="100"/>
      <c r="G59" s="100"/>
      <c r="H59" s="100"/>
      <c r="I59" s="100"/>
      <c r="J59" s="100"/>
      <c r="K59" s="100"/>
      <c r="L59" s="100"/>
      <c r="M59" s="100"/>
    </row>
    <row r="60" spans="5:13" ht="15" customHeight="1">
      <c r="E60" s="102"/>
      <c r="F60" s="102"/>
      <c r="G60" s="102"/>
      <c r="H60" s="102"/>
      <c r="I60" s="102"/>
      <c r="J60" s="102"/>
      <c r="K60" s="102"/>
      <c r="L60" s="102"/>
      <c r="M60" s="102"/>
    </row>
    <row r="61" spans="5:13" ht="15" customHeight="1">
      <c r="E61" s="102"/>
      <c r="F61" s="102"/>
      <c r="G61" s="102"/>
      <c r="H61" s="102"/>
      <c r="I61" s="102"/>
      <c r="J61" s="102"/>
      <c r="K61" s="102"/>
      <c r="L61" s="102"/>
      <c r="M61" s="102"/>
    </row>
    <row r="62" spans="5:13" ht="15" customHeight="1">
      <c r="E62" s="102"/>
      <c r="F62" s="102"/>
      <c r="G62" s="102"/>
      <c r="H62" s="102"/>
      <c r="I62" s="102"/>
      <c r="J62" s="102"/>
      <c r="K62" s="102"/>
      <c r="L62" s="102"/>
      <c r="M62" s="102"/>
    </row>
    <row r="63" spans="5:13" ht="15" customHeight="1">
      <c r="E63" s="102"/>
      <c r="F63" s="102"/>
      <c r="G63" s="102"/>
      <c r="H63" s="102"/>
      <c r="I63" s="102"/>
      <c r="J63" s="102"/>
      <c r="K63" s="102"/>
      <c r="L63" s="102"/>
      <c r="M63" s="102"/>
    </row>
    <row r="64" spans="5:13" ht="15" customHeight="1">
      <c r="E64" s="102"/>
      <c r="F64" s="102"/>
      <c r="G64" s="102"/>
      <c r="H64" s="102"/>
      <c r="I64" s="102"/>
      <c r="J64" s="102"/>
      <c r="K64" s="102"/>
      <c r="L64" s="102"/>
      <c r="M64" s="102"/>
    </row>
    <row r="65" spans="5:13" ht="15" customHeight="1">
      <c r="E65" s="102"/>
      <c r="F65" s="102"/>
      <c r="G65" s="102"/>
      <c r="H65" s="102"/>
      <c r="I65" s="102"/>
      <c r="J65" s="102"/>
      <c r="K65" s="102"/>
      <c r="L65" s="102"/>
      <c r="M65" s="102"/>
    </row>
  </sheetData>
  <sheetProtection/>
  <mergeCells count="42">
    <mergeCell ref="C49:C50"/>
    <mergeCell ref="D49:D50"/>
    <mergeCell ref="C57:C58"/>
    <mergeCell ref="D57:D58"/>
    <mergeCell ref="C53:C54"/>
    <mergeCell ref="D53:D54"/>
    <mergeCell ref="A23:A28"/>
    <mergeCell ref="C47:C48"/>
    <mergeCell ref="D47:D48"/>
    <mergeCell ref="A17:A22"/>
    <mergeCell ref="D37:D38"/>
    <mergeCell ref="C39:C40"/>
    <mergeCell ref="D41:D42"/>
    <mergeCell ref="C45:C46"/>
    <mergeCell ref="D45:D46"/>
    <mergeCell ref="A11:A16"/>
    <mergeCell ref="C51:C52"/>
    <mergeCell ref="D51:D52"/>
    <mergeCell ref="D39:D40"/>
    <mergeCell ref="D43:D44"/>
    <mergeCell ref="C41:C42"/>
    <mergeCell ref="C43:C44"/>
    <mergeCell ref="C35:C36"/>
    <mergeCell ref="D35:D36"/>
    <mergeCell ref="C37:C38"/>
    <mergeCell ref="E2:P2"/>
    <mergeCell ref="C5:C6"/>
    <mergeCell ref="D5:D6"/>
    <mergeCell ref="A5:A10"/>
    <mergeCell ref="E3:E4"/>
    <mergeCell ref="J3:J4"/>
    <mergeCell ref="D3:D4"/>
    <mergeCell ref="A2:D2"/>
    <mergeCell ref="C3:C4"/>
    <mergeCell ref="A3:B4"/>
    <mergeCell ref="A53:A54"/>
    <mergeCell ref="A57:A58"/>
    <mergeCell ref="A29:A34"/>
    <mergeCell ref="A55:A56"/>
    <mergeCell ref="A41:A46"/>
    <mergeCell ref="A47:A52"/>
    <mergeCell ref="A35:A40"/>
  </mergeCells>
  <conditionalFormatting sqref="E5:M58">
    <cfRule type="expression" priority="1" dxfId="0" stopIfTrue="1">
      <formula>LEN(TRIM(E5))=0</formula>
    </cfRule>
  </conditionalFormatting>
  <printOptions/>
  <pageMargins left="0.9055118110236221" right="0.5905511811023623" top="0.3937007874015748" bottom="0.3937007874015748" header="0.3937007874015748" footer="0.2362204724409449"/>
  <pageSetup fitToHeight="1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19"/>
  <sheetViews>
    <sheetView view="pageBreakPreview" zoomScaleSheetLayoutView="100" zoomScalePageLayoutView="0" workbookViewId="0" topLeftCell="A10">
      <selection activeCell="F19" sqref="F19"/>
    </sheetView>
  </sheetViews>
  <sheetFormatPr defaultColWidth="9.00390625" defaultRowHeight="13.5"/>
  <cols>
    <col min="1" max="1" width="15.625" style="124" customWidth="1"/>
    <col min="2" max="2" width="8.125" style="54" customWidth="1"/>
    <col min="3" max="3" width="11.625" style="49" customWidth="1"/>
    <col min="4" max="4" width="11.625" style="163" customWidth="1"/>
    <col min="5" max="5" width="7.375" style="171" customWidth="1"/>
    <col min="6" max="6" width="10.625" style="165" customWidth="1"/>
    <col min="7" max="8" width="7.375" style="3" customWidth="1"/>
    <col min="9" max="16" width="11.00390625" style="50" customWidth="1"/>
    <col min="17" max="17" width="11.625" style="50" customWidth="1"/>
    <col min="18" max="18" width="11.125" style="50" customWidth="1"/>
    <col min="19" max="19" width="10.625" style="166" customWidth="1"/>
    <col min="20" max="21" width="10.625" style="0" customWidth="1"/>
  </cols>
  <sheetData>
    <row r="1" spans="1:21" ht="18" customHeight="1">
      <c r="A1" s="669" t="s">
        <v>60</v>
      </c>
      <c r="B1" s="1"/>
      <c r="C1" s="2"/>
      <c r="D1" s="145"/>
      <c r="E1" s="146"/>
      <c r="F1" s="147"/>
      <c r="G1" s="125"/>
      <c r="H1" s="125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9"/>
      <c r="T1" s="126"/>
      <c r="U1" s="126"/>
    </row>
    <row r="2" spans="1:21" ht="16.5" customHeight="1">
      <c r="A2" s="997" t="s">
        <v>1</v>
      </c>
      <c r="B2" s="998"/>
      <c r="C2" s="998"/>
      <c r="D2" s="999"/>
      <c r="E2" s="1006" t="s">
        <v>497</v>
      </c>
      <c r="F2" s="1006"/>
      <c r="G2" s="1006"/>
      <c r="H2" s="1006"/>
      <c r="I2" s="1006"/>
      <c r="J2" s="1006"/>
      <c r="K2" s="1006"/>
      <c r="L2" s="1006"/>
      <c r="M2" s="1006"/>
      <c r="N2" s="1006"/>
      <c r="O2" s="1006"/>
      <c r="P2" s="1006"/>
      <c r="Q2" s="1006"/>
      <c r="R2" s="1006"/>
      <c r="S2" s="1007"/>
      <c r="T2" s="1007"/>
      <c r="U2" s="1007"/>
    </row>
    <row r="3" spans="1:21" ht="16.5" customHeight="1">
      <c r="A3" s="1000"/>
      <c r="B3" s="988"/>
      <c r="C3" s="1006" t="s">
        <v>2</v>
      </c>
      <c r="D3" s="1012" t="s">
        <v>3</v>
      </c>
      <c r="E3" s="150"/>
      <c r="F3" s="151"/>
      <c r="G3" s="5"/>
      <c r="H3" s="5"/>
      <c r="I3" s="5"/>
      <c r="J3" s="6"/>
      <c r="K3" s="1008" t="s">
        <v>4</v>
      </c>
      <c r="L3" s="1009"/>
      <c r="M3" s="1009"/>
      <c r="N3" s="1009"/>
      <c r="O3" s="1009"/>
      <c r="P3" s="1009"/>
      <c r="Q3" s="1009"/>
      <c r="R3" s="1010"/>
      <c r="S3" s="136"/>
      <c r="T3" s="141"/>
      <c r="U3" s="140"/>
    </row>
    <row r="4" spans="1:21" ht="16.5" customHeight="1">
      <c r="A4" s="1001"/>
      <c r="B4" s="988"/>
      <c r="C4" s="1011"/>
      <c r="D4" s="1013"/>
      <c r="E4" s="152" t="s">
        <v>5</v>
      </c>
      <c r="F4" s="153" t="s">
        <v>6</v>
      </c>
      <c r="G4" s="5" t="s">
        <v>7</v>
      </c>
      <c r="H4" s="5" t="s">
        <v>0</v>
      </c>
      <c r="I4" s="5" t="s">
        <v>8</v>
      </c>
      <c r="J4" s="6" t="s">
        <v>9</v>
      </c>
      <c r="K4" s="7" t="s">
        <v>10</v>
      </c>
      <c r="L4" s="8" t="s">
        <v>11</v>
      </c>
      <c r="M4" s="8" t="s">
        <v>12</v>
      </c>
      <c r="N4" s="8" t="s">
        <v>13</v>
      </c>
      <c r="O4" s="8" t="s">
        <v>14</v>
      </c>
      <c r="P4" s="9" t="s">
        <v>15</v>
      </c>
      <c r="Q4" s="10" t="s">
        <v>16</v>
      </c>
      <c r="R4" s="11" t="s">
        <v>17</v>
      </c>
      <c r="S4" s="137" t="s">
        <v>18</v>
      </c>
      <c r="T4" s="137" t="s">
        <v>19</v>
      </c>
      <c r="U4" s="17" t="s">
        <v>20</v>
      </c>
    </row>
    <row r="5" spans="1:21" ht="16.5" customHeight="1">
      <c r="A5" s="1001"/>
      <c r="B5" s="988"/>
      <c r="C5" s="1011"/>
      <c r="D5" s="1013"/>
      <c r="E5" s="150"/>
      <c r="F5" s="151" t="s">
        <v>21</v>
      </c>
      <c r="G5" s="5"/>
      <c r="H5" s="5"/>
      <c r="I5" s="5"/>
      <c r="J5" s="5"/>
      <c r="K5" s="12" t="s">
        <v>22</v>
      </c>
      <c r="L5" s="13" t="s">
        <v>23</v>
      </c>
      <c r="M5" s="13" t="s">
        <v>24</v>
      </c>
      <c r="N5" s="13" t="s">
        <v>25</v>
      </c>
      <c r="O5" s="13" t="s">
        <v>26</v>
      </c>
      <c r="P5" s="14" t="s">
        <v>27</v>
      </c>
      <c r="Q5" s="15"/>
      <c r="R5" s="16"/>
      <c r="S5" s="154"/>
      <c r="T5" s="138"/>
      <c r="U5" s="17"/>
    </row>
    <row r="6" spans="1:21" ht="16.5" customHeight="1">
      <c r="A6" s="989"/>
      <c r="B6" s="990"/>
      <c r="C6" s="1011"/>
      <c r="D6" s="1013"/>
      <c r="E6" s="155"/>
      <c r="F6" s="156" t="s">
        <v>28</v>
      </c>
      <c r="G6" s="18" t="s">
        <v>29</v>
      </c>
      <c r="H6" s="18" t="s">
        <v>29</v>
      </c>
      <c r="I6" s="18" t="s">
        <v>500</v>
      </c>
      <c r="J6" s="157" t="s">
        <v>30</v>
      </c>
      <c r="K6" s="158" t="s">
        <v>29</v>
      </c>
      <c r="L6" s="159" t="s">
        <v>29</v>
      </c>
      <c r="M6" s="159" t="s">
        <v>29</v>
      </c>
      <c r="N6" s="159" t="s">
        <v>29</v>
      </c>
      <c r="O6" s="159" t="s">
        <v>29</v>
      </c>
      <c r="P6" s="160" t="s">
        <v>29</v>
      </c>
      <c r="Q6" s="157" t="s">
        <v>31</v>
      </c>
      <c r="R6" s="161" t="s">
        <v>31</v>
      </c>
      <c r="S6" s="139" t="s">
        <v>501</v>
      </c>
      <c r="T6" s="139" t="s">
        <v>501</v>
      </c>
      <c r="U6" s="19" t="s">
        <v>501</v>
      </c>
    </row>
    <row r="7" spans="1:21" ht="16.5" customHeight="1">
      <c r="A7" s="981" t="s">
        <v>58</v>
      </c>
      <c r="B7" s="20" t="s">
        <v>32</v>
      </c>
      <c r="C7" s="290" t="s">
        <v>289</v>
      </c>
      <c r="D7" s="290" t="s">
        <v>290</v>
      </c>
      <c r="E7" s="204">
        <v>6.6</v>
      </c>
      <c r="F7" s="111">
        <v>211</v>
      </c>
      <c r="G7" s="23">
        <v>27.1</v>
      </c>
      <c r="H7" s="204">
        <v>2.6</v>
      </c>
      <c r="I7" s="111">
        <v>3</v>
      </c>
      <c r="J7" s="205">
        <v>2.7</v>
      </c>
      <c r="K7" s="206">
        <v>21.1</v>
      </c>
      <c r="L7" s="207">
        <v>27.5</v>
      </c>
      <c r="M7" s="207">
        <v>31.3</v>
      </c>
      <c r="N7" s="207">
        <v>16.2</v>
      </c>
      <c r="O7" s="207">
        <v>0.7</v>
      </c>
      <c r="P7" s="208">
        <v>3.2</v>
      </c>
      <c r="Q7" s="209">
        <v>0.82</v>
      </c>
      <c r="R7" s="210">
        <v>19</v>
      </c>
      <c r="S7" s="276">
        <v>170</v>
      </c>
      <c r="T7" s="276">
        <v>360</v>
      </c>
      <c r="U7" s="281" t="s">
        <v>503</v>
      </c>
    </row>
    <row r="8" spans="1:21" ht="16.5" customHeight="1">
      <c r="A8" s="1002"/>
      <c r="B8" s="24" t="s">
        <v>61</v>
      </c>
      <c r="C8" s="286" t="s">
        <v>179</v>
      </c>
      <c r="D8" s="286" t="s">
        <v>165</v>
      </c>
      <c r="E8" s="27">
        <v>7</v>
      </c>
      <c r="F8" s="103">
        <v>26</v>
      </c>
      <c r="G8" s="26">
        <v>46.1</v>
      </c>
      <c r="H8" s="27">
        <v>7.2</v>
      </c>
      <c r="I8" s="103">
        <v>10</v>
      </c>
      <c r="J8" s="211">
        <v>2.657</v>
      </c>
      <c r="K8" s="112">
        <v>4.5</v>
      </c>
      <c r="L8" s="212">
        <v>9.5</v>
      </c>
      <c r="M8" s="212">
        <v>28</v>
      </c>
      <c r="N8" s="212">
        <v>18.4</v>
      </c>
      <c r="O8" s="212">
        <v>13.9</v>
      </c>
      <c r="P8" s="213">
        <v>25.7</v>
      </c>
      <c r="Q8" s="104">
        <v>0.17</v>
      </c>
      <c r="R8" s="224">
        <v>9.5</v>
      </c>
      <c r="S8" s="277">
        <v>520</v>
      </c>
      <c r="T8" s="277">
        <v>1100</v>
      </c>
      <c r="U8" s="28" t="s">
        <v>176</v>
      </c>
    </row>
    <row r="9" spans="1:21" ht="16.5" customHeight="1">
      <c r="A9" s="1002"/>
      <c r="B9" s="24" t="s">
        <v>62</v>
      </c>
      <c r="C9" s="286" t="s">
        <v>180</v>
      </c>
      <c r="D9" s="286" t="s">
        <v>182</v>
      </c>
      <c r="E9" s="27">
        <v>7.2</v>
      </c>
      <c r="F9" s="103">
        <v>11</v>
      </c>
      <c r="G9" s="26">
        <v>41.2</v>
      </c>
      <c r="H9" s="27">
        <v>5.9</v>
      </c>
      <c r="I9" s="103">
        <v>8</v>
      </c>
      <c r="J9" s="215">
        <v>2.699</v>
      </c>
      <c r="K9" s="112">
        <v>17.5</v>
      </c>
      <c r="L9" s="212">
        <v>5.3</v>
      </c>
      <c r="M9" s="212">
        <v>6.7</v>
      </c>
      <c r="N9" s="212">
        <v>30.8</v>
      </c>
      <c r="O9" s="212">
        <v>20.4</v>
      </c>
      <c r="P9" s="213">
        <v>19.3</v>
      </c>
      <c r="Q9" s="104">
        <v>0.12</v>
      </c>
      <c r="R9" s="214">
        <v>19</v>
      </c>
      <c r="S9" s="277">
        <v>480</v>
      </c>
      <c r="T9" s="277">
        <v>1100</v>
      </c>
      <c r="U9" s="28" t="s">
        <v>175</v>
      </c>
    </row>
    <row r="10" spans="1:21" ht="16.5" customHeight="1">
      <c r="A10" s="1002"/>
      <c r="B10" s="24" t="s">
        <v>63</v>
      </c>
      <c r="C10" s="286" t="s">
        <v>181</v>
      </c>
      <c r="D10" s="286" t="s">
        <v>183</v>
      </c>
      <c r="E10" s="27">
        <v>7</v>
      </c>
      <c r="F10" s="103">
        <v>168</v>
      </c>
      <c r="G10" s="26">
        <v>28.5</v>
      </c>
      <c r="H10" s="27">
        <v>2.1</v>
      </c>
      <c r="I10" s="103">
        <v>1</v>
      </c>
      <c r="J10" s="215">
        <v>2.754</v>
      </c>
      <c r="K10" s="112">
        <v>0.4</v>
      </c>
      <c r="L10" s="212">
        <v>2.0999999999999943</v>
      </c>
      <c r="M10" s="212">
        <v>43.2</v>
      </c>
      <c r="N10" s="212">
        <v>48.1</v>
      </c>
      <c r="O10" s="212">
        <v>2.3</v>
      </c>
      <c r="P10" s="213">
        <v>3.9</v>
      </c>
      <c r="Q10" s="104">
        <v>0.24</v>
      </c>
      <c r="R10" s="216">
        <v>4.75</v>
      </c>
      <c r="S10" s="277">
        <v>170</v>
      </c>
      <c r="T10" s="277">
        <v>310</v>
      </c>
      <c r="U10" s="28" t="s">
        <v>175</v>
      </c>
    </row>
    <row r="11" spans="1:21" ht="16.5" customHeight="1">
      <c r="A11" s="1003"/>
      <c r="B11" s="24" t="s">
        <v>64</v>
      </c>
      <c r="C11" s="291" t="s">
        <v>184</v>
      </c>
      <c r="D11" s="291" t="s">
        <v>185</v>
      </c>
      <c r="E11" s="27">
        <v>7.3</v>
      </c>
      <c r="F11" s="103">
        <v>156</v>
      </c>
      <c r="G11" s="26">
        <v>22.1</v>
      </c>
      <c r="H11" s="27">
        <v>2</v>
      </c>
      <c r="I11" s="217">
        <v>1</v>
      </c>
      <c r="J11" s="211">
        <v>2.666</v>
      </c>
      <c r="K11" s="112">
        <v>31.8</v>
      </c>
      <c r="L11" s="212">
        <v>34</v>
      </c>
      <c r="M11" s="212">
        <v>26.8</v>
      </c>
      <c r="N11" s="212">
        <v>5.4</v>
      </c>
      <c r="O11" s="212">
        <v>0.4</v>
      </c>
      <c r="P11" s="213">
        <v>1.6</v>
      </c>
      <c r="Q11" s="25">
        <v>1.3</v>
      </c>
      <c r="R11" s="214">
        <v>19</v>
      </c>
      <c r="S11" s="278">
        <v>120</v>
      </c>
      <c r="T11" s="278">
        <v>270</v>
      </c>
      <c r="U11" s="29" t="s">
        <v>175</v>
      </c>
    </row>
    <row r="12" spans="1:21" ht="16.5" customHeight="1">
      <c r="A12" s="981" t="s">
        <v>38</v>
      </c>
      <c r="B12" s="129" t="s">
        <v>65</v>
      </c>
      <c r="C12" s="284" t="s">
        <v>186</v>
      </c>
      <c r="D12" s="284" t="s">
        <v>187</v>
      </c>
      <c r="E12" s="204">
        <v>7.3</v>
      </c>
      <c r="F12" s="111">
        <v>214</v>
      </c>
      <c r="G12" s="23">
        <v>21</v>
      </c>
      <c r="H12" s="204">
        <v>2.7</v>
      </c>
      <c r="I12" s="241" t="s">
        <v>164</v>
      </c>
      <c r="J12" s="205">
        <v>2.808</v>
      </c>
      <c r="K12" s="218">
        <v>43.8</v>
      </c>
      <c r="L12" s="207">
        <v>31.4</v>
      </c>
      <c r="M12" s="207">
        <v>19.5</v>
      </c>
      <c r="N12" s="207">
        <v>3.6</v>
      </c>
      <c r="O12" s="219">
        <v>0.1</v>
      </c>
      <c r="P12" s="220">
        <v>1.6</v>
      </c>
      <c r="Q12" s="31">
        <v>1.7</v>
      </c>
      <c r="R12" s="250">
        <v>9.5</v>
      </c>
      <c r="S12" s="276">
        <v>240</v>
      </c>
      <c r="T12" s="276">
        <v>540</v>
      </c>
      <c r="U12" s="41" t="s">
        <v>175</v>
      </c>
    </row>
    <row r="13" spans="1:21" ht="16.5" customHeight="1">
      <c r="A13" s="1002"/>
      <c r="B13" s="44" t="s">
        <v>66</v>
      </c>
      <c r="C13" s="285" t="s">
        <v>188</v>
      </c>
      <c r="D13" s="285" t="s">
        <v>189</v>
      </c>
      <c r="E13" s="27">
        <v>7</v>
      </c>
      <c r="F13" s="103">
        <v>165</v>
      </c>
      <c r="G13" s="26">
        <v>35.6</v>
      </c>
      <c r="H13" s="27">
        <v>5.7</v>
      </c>
      <c r="I13" s="103">
        <v>4</v>
      </c>
      <c r="J13" s="215">
        <v>2.756</v>
      </c>
      <c r="K13" s="112">
        <v>30.2</v>
      </c>
      <c r="L13" s="212">
        <v>13.3</v>
      </c>
      <c r="M13" s="212">
        <v>19.9</v>
      </c>
      <c r="N13" s="212">
        <v>12.1</v>
      </c>
      <c r="O13" s="221">
        <v>10.8</v>
      </c>
      <c r="P13" s="222">
        <v>13.7</v>
      </c>
      <c r="Q13" s="104">
        <v>0.57</v>
      </c>
      <c r="R13" s="214">
        <v>19</v>
      </c>
      <c r="S13" s="277">
        <v>630</v>
      </c>
      <c r="T13" s="277">
        <v>1400</v>
      </c>
      <c r="U13" s="29" t="s">
        <v>175</v>
      </c>
    </row>
    <row r="14" spans="1:21" ht="16.5" customHeight="1">
      <c r="A14" s="1002"/>
      <c r="B14" s="33" t="s">
        <v>105</v>
      </c>
      <c r="C14" s="285" t="s">
        <v>190</v>
      </c>
      <c r="D14" s="285" t="s">
        <v>191</v>
      </c>
      <c r="E14" s="27">
        <v>7.1</v>
      </c>
      <c r="F14" s="103">
        <v>212</v>
      </c>
      <c r="G14" s="26">
        <v>19.8</v>
      </c>
      <c r="H14" s="27">
        <v>2</v>
      </c>
      <c r="I14" s="217" t="s">
        <v>164</v>
      </c>
      <c r="J14" s="215">
        <v>2.749</v>
      </c>
      <c r="K14" s="112">
        <v>49.4</v>
      </c>
      <c r="L14" s="212">
        <v>23.4</v>
      </c>
      <c r="M14" s="212">
        <v>23.3</v>
      </c>
      <c r="N14" s="212">
        <v>3</v>
      </c>
      <c r="O14" s="1004">
        <v>0.9</v>
      </c>
      <c r="P14" s="1005"/>
      <c r="Q14" s="25">
        <v>2</v>
      </c>
      <c r="R14" s="224">
        <v>26.5</v>
      </c>
      <c r="S14" s="277">
        <v>350</v>
      </c>
      <c r="T14" s="277">
        <v>730</v>
      </c>
      <c r="U14" s="294">
        <v>0.71</v>
      </c>
    </row>
    <row r="15" spans="1:21" ht="16.5" customHeight="1">
      <c r="A15" s="1002"/>
      <c r="B15" s="43" t="s">
        <v>146</v>
      </c>
      <c r="C15" s="292" t="s">
        <v>192</v>
      </c>
      <c r="D15" s="285" t="s">
        <v>193</v>
      </c>
      <c r="E15" s="27">
        <v>7.1</v>
      </c>
      <c r="F15" s="103">
        <v>230</v>
      </c>
      <c r="G15" s="26">
        <v>32.8</v>
      </c>
      <c r="H15" s="27">
        <v>4.3</v>
      </c>
      <c r="I15" s="103">
        <v>3</v>
      </c>
      <c r="J15" s="215">
        <v>2.753</v>
      </c>
      <c r="K15" s="112">
        <v>14.6</v>
      </c>
      <c r="L15" s="212">
        <v>10.2</v>
      </c>
      <c r="M15" s="212">
        <v>28</v>
      </c>
      <c r="N15" s="212">
        <v>25.3</v>
      </c>
      <c r="O15" s="221">
        <v>8.9</v>
      </c>
      <c r="P15" s="223">
        <v>13</v>
      </c>
      <c r="Q15" s="104">
        <v>0.27</v>
      </c>
      <c r="R15" s="214">
        <v>19</v>
      </c>
      <c r="S15" s="277">
        <v>390</v>
      </c>
      <c r="T15" s="277">
        <v>870</v>
      </c>
      <c r="U15" s="293" t="s">
        <v>175</v>
      </c>
    </row>
    <row r="16" spans="1:21" ht="16.5" customHeight="1">
      <c r="A16" s="1003"/>
      <c r="B16" s="34" t="s">
        <v>147</v>
      </c>
      <c r="C16" s="311" t="s">
        <v>194</v>
      </c>
      <c r="D16" s="34" t="s">
        <v>195</v>
      </c>
      <c r="E16" s="182">
        <v>7.4</v>
      </c>
      <c r="F16" s="114">
        <v>264</v>
      </c>
      <c r="G16" s="36">
        <v>27</v>
      </c>
      <c r="H16" s="182">
        <v>1.6</v>
      </c>
      <c r="I16" s="225" t="s">
        <v>164</v>
      </c>
      <c r="J16" s="226">
        <v>2.745</v>
      </c>
      <c r="K16" s="227">
        <v>0.3</v>
      </c>
      <c r="L16" s="228">
        <v>21.4</v>
      </c>
      <c r="M16" s="228">
        <v>69.2</v>
      </c>
      <c r="N16" s="228">
        <v>6.699999999999994</v>
      </c>
      <c r="O16" s="229">
        <v>0.2</v>
      </c>
      <c r="P16" s="230">
        <v>2.2</v>
      </c>
      <c r="Q16" s="231">
        <v>0.57</v>
      </c>
      <c r="R16" s="232">
        <v>9.5</v>
      </c>
      <c r="S16" s="278">
        <v>31</v>
      </c>
      <c r="T16" s="278">
        <v>76</v>
      </c>
      <c r="U16" s="29" t="s">
        <v>175</v>
      </c>
    </row>
    <row r="17" spans="1:21" ht="16.5" customHeight="1">
      <c r="A17" s="981" t="s">
        <v>36</v>
      </c>
      <c r="B17" s="38" t="s">
        <v>67</v>
      </c>
      <c r="C17" s="285" t="s">
        <v>166</v>
      </c>
      <c r="D17" s="285" t="s">
        <v>196</v>
      </c>
      <c r="E17" s="184">
        <v>7.1</v>
      </c>
      <c r="F17" s="115">
        <v>203</v>
      </c>
      <c r="G17" s="39">
        <v>17.7</v>
      </c>
      <c r="H17" s="184">
        <v>2.1</v>
      </c>
      <c r="I17" s="115">
        <v>1</v>
      </c>
      <c r="J17" s="233">
        <v>2.725</v>
      </c>
      <c r="K17" s="234">
        <v>39.3</v>
      </c>
      <c r="L17" s="235">
        <v>39.2</v>
      </c>
      <c r="M17" s="235">
        <v>17.6</v>
      </c>
      <c r="N17" s="235">
        <v>2.6</v>
      </c>
      <c r="O17" s="235">
        <v>0.2</v>
      </c>
      <c r="P17" s="236">
        <v>1.1</v>
      </c>
      <c r="Q17" s="22">
        <v>1.6</v>
      </c>
      <c r="R17" s="237">
        <v>19</v>
      </c>
      <c r="S17" s="276">
        <v>450</v>
      </c>
      <c r="T17" s="276">
        <v>960</v>
      </c>
      <c r="U17" s="295">
        <v>0.98</v>
      </c>
    </row>
    <row r="18" spans="1:21" ht="16.5" customHeight="1">
      <c r="A18" s="1002"/>
      <c r="B18" s="33" t="s">
        <v>68</v>
      </c>
      <c r="C18" s="286" t="s">
        <v>197</v>
      </c>
      <c r="D18" s="286" t="s">
        <v>198</v>
      </c>
      <c r="E18" s="27">
        <v>7</v>
      </c>
      <c r="F18" s="103">
        <v>224</v>
      </c>
      <c r="G18" s="26">
        <v>16</v>
      </c>
      <c r="H18" s="27">
        <v>1.7</v>
      </c>
      <c r="I18" s="103">
        <v>1</v>
      </c>
      <c r="J18" s="215">
        <v>2.711</v>
      </c>
      <c r="K18" s="112">
        <v>48.6</v>
      </c>
      <c r="L18" s="212">
        <v>29.9</v>
      </c>
      <c r="M18" s="212">
        <v>17.2</v>
      </c>
      <c r="N18" s="212">
        <v>2.9</v>
      </c>
      <c r="O18" s="221">
        <v>0.4</v>
      </c>
      <c r="P18" s="222">
        <v>1</v>
      </c>
      <c r="Q18" s="25">
        <v>1.9</v>
      </c>
      <c r="R18" s="224">
        <v>26.5</v>
      </c>
      <c r="S18" s="277">
        <v>170</v>
      </c>
      <c r="T18" s="277">
        <v>360</v>
      </c>
      <c r="U18" s="28" t="s">
        <v>175</v>
      </c>
    </row>
    <row r="19" spans="1:21" ht="16.5" customHeight="1">
      <c r="A19" s="1002"/>
      <c r="B19" s="33" t="s">
        <v>69</v>
      </c>
      <c r="C19" s="286" t="s">
        <v>199</v>
      </c>
      <c r="D19" s="286" t="s">
        <v>167</v>
      </c>
      <c r="E19" s="27">
        <v>7.1</v>
      </c>
      <c r="F19" s="103">
        <v>251</v>
      </c>
      <c r="G19" s="26">
        <v>27.1</v>
      </c>
      <c r="H19" s="27">
        <v>2.7</v>
      </c>
      <c r="I19" s="103">
        <v>3</v>
      </c>
      <c r="J19" s="215">
        <v>2.672</v>
      </c>
      <c r="K19" s="112">
        <v>23.3</v>
      </c>
      <c r="L19" s="212">
        <v>10.8</v>
      </c>
      <c r="M19" s="212">
        <v>35.5</v>
      </c>
      <c r="N19" s="212">
        <v>19.6</v>
      </c>
      <c r="O19" s="212">
        <v>4.8</v>
      </c>
      <c r="P19" s="113">
        <v>6</v>
      </c>
      <c r="Q19" s="104">
        <v>0.41</v>
      </c>
      <c r="R19" s="224">
        <v>26.5</v>
      </c>
      <c r="S19" s="277">
        <v>170</v>
      </c>
      <c r="T19" s="277">
        <v>360</v>
      </c>
      <c r="U19" s="28" t="s">
        <v>175</v>
      </c>
    </row>
    <row r="20" spans="1:21" ht="16.5" customHeight="1">
      <c r="A20" s="1002"/>
      <c r="B20" s="33" t="s">
        <v>70</v>
      </c>
      <c r="C20" s="286" t="s">
        <v>200</v>
      </c>
      <c r="D20" s="286" t="s">
        <v>201</v>
      </c>
      <c r="E20" s="27">
        <v>7.3</v>
      </c>
      <c r="F20" s="103">
        <v>239</v>
      </c>
      <c r="G20" s="26">
        <v>18.8</v>
      </c>
      <c r="H20" s="27">
        <v>3.1</v>
      </c>
      <c r="I20" s="103">
        <v>1</v>
      </c>
      <c r="J20" s="215">
        <v>2.72</v>
      </c>
      <c r="K20" s="112">
        <v>48.3</v>
      </c>
      <c r="L20" s="212">
        <v>26.9</v>
      </c>
      <c r="M20" s="212">
        <v>17.8</v>
      </c>
      <c r="N20" s="212">
        <v>4.8</v>
      </c>
      <c r="O20" s="212">
        <v>0.8</v>
      </c>
      <c r="P20" s="113">
        <v>1.4</v>
      </c>
      <c r="Q20" s="25">
        <v>1.9</v>
      </c>
      <c r="R20" s="214">
        <v>19</v>
      </c>
      <c r="S20" s="277">
        <v>530</v>
      </c>
      <c r="T20" s="277">
        <v>1200</v>
      </c>
      <c r="U20" s="28" t="s">
        <v>175</v>
      </c>
    </row>
    <row r="21" spans="1:21" ht="16.5" customHeight="1">
      <c r="A21" s="1003"/>
      <c r="B21" s="34" t="s">
        <v>71</v>
      </c>
      <c r="C21" s="287" t="s">
        <v>202</v>
      </c>
      <c r="D21" s="287" t="s">
        <v>203</v>
      </c>
      <c r="E21" s="182">
        <v>7.1</v>
      </c>
      <c r="F21" s="114">
        <v>264</v>
      </c>
      <c r="G21" s="36">
        <v>20.8</v>
      </c>
      <c r="H21" s="182">
        <v>2.7</v>
      </c>
      <c r="I21" s="225">
        <v>1</v>
      </c>
      <c r="J21" s="226">
        <v>2.718</v>
      </c>
      <c r="K21" s="227">
        <v>24.6</v>
      </c>
      <c r="L21" s="228">
        <v>28.3</v>
      </c>
      <c r="M21" s="228">
        <v>37.1</v>
      </c>
      <c r="N21" s="228">
        <v>7.3</v>
      </c>
      <c r="O21" s="228">
        <v>1</v>
      </c>
      <c r="P21" s="238">
        <v>1.7</v>
      </c>
      <c r="Q21" s="231">
        <v>0.91</v>
      </c>
      <c r="R21" s="239">
        <v>19</v>
      </c>
      <c r="S21" s="279">
        <v>560</v>
      </c>
      <c r="T21" s="279">
        <v>1200</v>
      </c>
      <c r="U21" s="37" t="s">
        <v>175</v>
      </c>
    </row>
    <row r="22" spans="1:21" ht="16.5" customHeight="1">
      <c r="A22" s="981" t="s">
        <v>33</v>
      </c>
      <c r="B22" s="30" t="s">
        <v>77</v>
      </c>
      <c r="C22" s="284" t="s">
        <v>204</v>
      </c>
      <c r="D22" s="284" t="s">
        <v>205</v>
      </c>
      <c r="E22" s="204">
        <v>7.1</v>
      </c>
      <c r="F22" s="111">
        <v>186</v>
      </c>
      <c r="G22" s="23">
        <v>16</v>
      </c>
      <c r="H22" s="204">
        <v>0.9</v>
      </c>
      <c r="I22" s="111">
        <v>1</v>
      </c>
      <c r="J22" s="205">
        <v>2.669</v>
      </c>
      <c r="K22" s="218">
        <v>60.2</v>
      </c>
      <c r="L22" s="207">
        <v>31.4</v>
      </c>
      <c r="M22" s="207">
        <v>7.1</v>
      </c>
      <c r="N22" s="207">
        <v>0.7</v>
      </c>
      <c r="O22" s="1014">
        <v>0.6</v>
      </c>
      <c r="P22" s="1015"/>
      <c r="Q22" s="31">
        <v>2.7</v>
      </c>
      <c r="R22" s="210">
        <v>37.5</v>
      </c>
      <c r="S22" s="276">
        <v>620</v>
      </c>
      <c r="T22" s="276">
        <v>1300</v>
      </c>
      <c r="U22" s="296">
        <v>0.26</v>
      </c>
    </row>
    <row r="23" spans="1:21" ht="16.5" customHeight="1">
      <c r="A23" s="1002"/>
      <c r="B23" s="33" t="s">
        <v>78</v>
      </c>
      <c r="C23" s="286" t="s">
        <v>206</v>
      </c>
      <c r="D23" s="286" t="s">
        <v>207</v>
      </c>
      <c r="E23" s="27">
        <v>7.1</v>
      </c>
      <c r="F23" s="103">
        <v>205</v>
      </c>
      <c r="G23" s="26">
        <v>47.4</v>
      </c>
      <c r="H23" s="27">
        <v>6.5</v>
      </c>
      <c r="I23" s="103">
        <v>9</v>
      </c>
      <c r="J23" s="215">
        <v>2.652</v>
      </c>
      <c r="K23" s="112">
        <v>9.9</v>
      </c>
      <c r="L23" s="212">
        <v>3.3999999999999915</v>
      </c>
      <c r="M23" s="212">
        <v>19.2</v>
      </c>
      <c r="N23" s="212">
        <v>36.7</v>
      </c>
      <c r="O23" s="212">
        <v>9.9</v>
      </c>
      <c r="P23" s="113">
        <v>20.9</v>
      </c>
      <c r="Q23" s="104">
        <v>0.18</v>
      </c>
      <c r="R23" s="214">
        <v>19</v>
      </c>
      <c r="S23" s="277">
        <v>3200</v>
      </c>
      <c r="T23" s="277">
        <v>6900</v>
      </c>
      <c r="U23" s="28" t="s">
        <v>175</v>
      </c>
    </row>
    <row r="24" spans="1:21" ht="16.5" customHeight="1">
      <c r="A24" s="1002"/>
      <c r="B24" s="33" t="s">
        <v>79</v>
      </c>
      <c r="C24" s="286" t="s">
        <v>208</v>
      </c>
      <c r="D24" s="286" t="s">
        <v>209</v>
      </c>
      <c r="E24" s="27">
        <v>7.1</v>
      </c>
      <c r="F24" s="103">
        <v>226</v>
      </c>
      <c r="G24" s="26">
        <v>19.2</v>
      </c>
      <c r="H24" s="27">
        <v>1.2</v>
      </c>
      <c r="I24" s="103">
        <v>1</v>
      </c>
      <c r="J24" s="215">
        <v>2.693</v>
      </c>
      <c r="K24" s="112">
        <v>30.6</v>
      </c>
      <c r="L24" s="212">
        <v>26.2</v>
      </c>
      <c r="M24" s="212">
        <v>34.4</v>
      </c>
      <c r="N24" s="212">
        <v>6.7</v>
      </c>
      <c r="O24" s="212">
        <v>0.4</v>
      </c>
      <c r="P24" s="113">
        <v>1.7</v>
      </c>
      <c r="Q24" s="25">
        <v>1</v>
      </c>
      <c r="R24" s="214">
        <v>19</v>
      </c>
      <c r="S24" s="277">
        <v>290</v>
      </c>
      <c r="T24" s="277">
        <v>640</v>
      </c>
      <c r="U24" s="28" t="s">
        <v>175</v>
      </c>
    </row>
    <row r="25" spans="1:21" ht="16.5" customHeight="1">
      <c r="A25" s="1002"/>
      <c r="B25" s="33" t="s">
        <v>80</v>
      </c>
      <c r="C25" s="286" t="s">
        <v>210</v>
      </c>
      <c r="D25" s="286" t="s">
        <v>211</v>
      </c>
      <c r="E25" s="27">
        <v>7</v>
      </c>
      <c r="F25" s="103">
        <v>249</v>
      </c>
      <c r="G25" s="26">
        <v>15.5</v>
      </c>
      <c r="H25" s="27">
        <v>1.4</v>
      </c>
      <c r="I25" s="103">
        <v>1</v>
      </c>
      <c r="J25" s="215">
        <v>2.707</v>
      </c>
      <c r="K25" s="112">
        <v>46.7</v>
      </c>
      <c r="L25" s="212">
        <v>13.4</v>
      </c>
      <c r="M25" s="212">
        <v>26.9</v>
      </c>
      <c r="N25" s="212">
        <v>11</v>
      </c>
      <c r="O25" s="212">
        <v>0.6</v>
      </c>
      <c r="P25" s="113">
        <v>1.4</v>
      </c>
      <c r="Q25" s="25">
        <v>1.6</v>
      </c>
      <c r="R25" s="214">
        <v>37.5</v>
      </c>
      <c r="S25" s="277">
        <v>490</v>
      </c>
      <c r="T25" s="277">
        <v>1000</v>
      </c>
      <c r="U25" s="28" t="s">
        <v>175</v>
      </c>
    </row>
    <row r="26" spans="1:21" ht="16.5" customHeight="1">
      <c r="A26" s="1003"/>
      <c r="B26" s="34" t="s">
        <v>81</v>
      </c>
      <c r="C26" s="287" t="s">
        <v>212</v>
      </c>
      <c r="D26" s="287" t="s">
        <v>213</v>
      </c>
      <c r="E26" s="182">
        <v>7</v>
      </c>
      <c r="F26" s="114">
        <v>279</v>
      </c>
      <c r="G26" s="36">
        <v>18.8</v>
      </c>
      <c r="H26" s="182">
        <v>1.7</v>
      </c>
      <c r="I26" s="114">
        <v>2</v>
      </c>
      <c r="J26" s="226">
        <v>2.692</v>
      </c>
      <c r="K26" s="227">
        <v>33.2</v>
      </c>
      <c r="L26" s="228">
        <v>20.3</v>
      </c>
      <c r="M26" s="228">
        <v>36.5</v>
      </c>
      <c r="N26" s="228">
        <v>7.8</v>
      </c>
      <c r="O26" s="228">
        <v>0.5</v>
      </c>
      <c r="P26" s="238">
        <v>1.7</v>
      </c>
      <c r="Q26" s="231">
        <v>0.96</v>
      </c>
      <c r="R26" s="232">
        <v>26.5</v>
      </c>
      <c r="S26" s="279">
        <v>510</v>
      </c>
      <c r="T26" s="279">
        <v>1100</v>
      </c>
      <c r="U26" s="37" t="s">
        <v>175</v>
      </c>
    </row>
    <row r="27" spans="1:21" ht="16.5" customHeight="1">
      <c r="A27" s="981" t="s">
        <v>37</v>
      </c>
      <c r="B27" s="38" t="s">
        <v>82</v>
      </c>
      <c r="C27" s="285" t="s">
        <v>214</v>
      </c>
      <c r="D27" s="285" t="s">
        <v>215</v>
      </c>
      <c r="E27" s="204">
        <v>7</v>
      </c>
      <c r="F27" s="111">
        <v>282</v>
      </c>
      <c r="G27" s="23">
        <v>24.9</v>
      </c>
      <c r="H27" s="204">
        <v>2.2</v>
      </c>
      <c r="I27" s="241">
        <v>2</v>
      </c>
      <c r="J27" s="205">
        <v>2.654</v>
      </c>
      <c r="K27" s="218">
        <v>32.5</v>
      </c>
      <c r="L27" s="207">
        <v>28.3</v>
      </c>
      <c r="M27" s="207">
        <v>22.8</v>
      </c>
      <c r="N27" s="207">
        <v>10.1</v>
      </c>
      <c r="O27" s="207">
        <v>2.3</v>
      </c>
      <c r="P27" s="242">
        <v>4</v>
      </c>
      <c r="Q27" s="31">
        <v>1.2</v>
      </c>
      <c r="R27" s="250">
        <v>26.5</v>
      </c>
      <c r="S27" s="276">
        <v>4500</v>
      </c>
      <c r="T27" s="276">
        <v>10000</v>
      </c>
      <c r="U27" s="297" t="s">
        <v>175</v>
      </c>
    </row>
    <row r="28" spans="1:21" ht="16.5" customHeight="1">
      <c r="A28" s="1002"/>
      <c r="B28" s="33" t="s">
        <v>83</v>
      </c>
      <c r="C28" s="286" t="s">
        <v>216</v>
      </c>
      <c r="D28" s="286" t="s">
        <v>217</v>
      </c>
      <c r="E28" s="27">
        <v>7.3</v>
      </c>
      <c r="F28" s="103">
        <v>289</v>
      </c>
      <c r="G28" s="26">
        <v>8</v>
      </c>
      <c r="H28" s="27">
        <v>0.5</v>
      </c>
      <c r="I28" s="217">
        <v>1</v>
      </c>
      <c r="J28" s="215">
        <v>2.66</v>
      </c>
      <c r="K28" s="112">
        <v>78.4</v>
      </c>
      <c r="L28" s="212">
        <v>18.1</v>
      </c>
      <c r="M28" s="212">
        <v>3</v>
      </c>
      <c r="N28" s="212">
        <v>0.2</v>
      </c>
      <c r="O28" s="1016">
        <v>0.3</v>
      </c>
      <c r="P28" s="1005"/>
      <c r="Q28" s="25">
        <v>6.1</v>
      </c>
      <c r="R28" s="224">
        <v>26.5</v>
      </c>
      <c r="S28" s="277">
        <v>1800</v>
      </c>
      <c r="T28" s="277">
        <v>3800</v>
      </c>
      <c r="U28" s="298">
        <v>0.26</v>
      </c>
    </row>
    <row r="29" spans="1:21" ht="16.5" customHeight="1">
      <c r="A29" s="1002"/>
      <c r="B29" s="33" t="s">
        <v>84</v>
      </c>
      <c r="C29" s="286" t="s">
        <v>168</v>
      </c>
      <c r="D29" s="286" t="s">
        <v>218</v>
      </c>
      <c r="E29" s="27">
        <v>6.4</v>
      </c>
      <c r="F29" s="103">
        <v>341</v>
      </c>
      <c r="G29" s="26">
        <v>13.3</v>
      </c>
      <c r="H29" s="27">
        <v>0.8</v>
      </c>
      <c r="I29" s="217" t="s">
        <v>164</v>
      </c>
      <c r="J29" s="215">
        <v>2.65</v>
      </c>
      <c r="K29" s="112">
        <v>49.6</v>
      </c>
      <c r="L29" s="212">
        <v>39.8</v>
      </c>
      <c r="M29" s="212">
        <v>7.2</v>
      </c>
      <c r="N29" s="212">
        <v>2.6</v>
      </c>
      <c r="O29" s="1016">
        <v>0.8</v>
      </c>
      <c r="P29" s="1005"/>
      <c r="Q29" s="25">
        <v>2</v>
      </c>
      <c r="R29" s="214">
        <v>19</v>
      </c>
      <c r="S29" s="277">
        <v>2600</v>
      </c>
      <c r="T29" s="277">
        <v>5700</v>
      </c>
      <c r="U29" s="293" t="s">
        <v>175</v>
      </c>
    </row>
    <row r="30" spans="1:21" ht="16.5" customHeight="1">
      <c r="A30" s="1002"/>
      <c r="B30" s="33" t="s">
        <v>85</v>
      </c>
      <c r="C30" s="286" t="s">
        <v>219</v>
      </c>
      <c r="D30" s="286" t="s">
        <v>220</v>
      </c>
      <c r="E30" s="27">
        <v>6.5</v>
      </c>
      <c r="F30" s="103">
        <v>346</v>
      </c>
      <c r="G30" s="26">
        <v>21.1</v>
      </c>
      <c r="H30" s="27">
        <v>1</v>
      </c>
      <c r="I30" s="217">
        <v>2</v>
      </c>
      <c r="J30" s="215">
        <v>2.65</v>
      </c>
      <c r="K30" s="112">
        <v>23.7</v>
      </c>
      <c r="L30" s="212">
        <v>26.1</v>
      </c>
      <c r="M30" s="212">
        <v>39.4</v>
      </c>
      <c r="N30" s="212">
        <v>9.4</v>
      </c>
      <c r="O30" s="221">
        <v>0.3</v>
      </c>
      <c r="P30" s="223">
        <v>1.1</v>
      </c>
      <c r="Q30" s="104">
        <v>0.85</v>
      </c>
      <c r="R30" s="224">
        <v>26.5</v>
      </c>
      <c r="S30" s="277">
        <v>1700</v>
      </c>
      <c r="T30" s="277">
        <v>3800</v>
      </c>
      <c r="U30" s="28" t="s">
        <v>175</v>
      </c>
    </row>
    <row r="31" spans="1:21" ht="16.5" customHeight="1">
      <c r="A31" s="1003"/>
      <c r="B31" s="33" t="s">
        <v>86</v>
      </c>
      <c r="C31" s="286" t="s">
        <v>221</v>
      </c>
      <c r="D31" s="286" t="s">
        <v>222</v>
      </c>
      <c r="E31" s="27">
        <v>6.6</v>
      </c>
      <c r="F31" s="103">
        <v>261</v>
      </c>
      <c r="G31" s="26">
        <v>17.1</v>
      </c>
      <c r="H31" s="27">
        <v>1</v>
      </c>
      <c r="I31" s="217" t="s">
        <v>164</v>
      </c>
      <c r="J31" s="215">
        <v>2.669</v>
      </c>
      <c r="K31" s="112">
        <v>51.6</v>
      </c>
      <c r="L31" s="212">
        <v>27.9</v>
      </c>
      <c r="M31" s="212">
        <v>15.9</v>
      </c>
      <c r="N31" s="212">
        <v>3</v>
      </c>
      <c r="O31" s="221">
        <v>0.2</v>
      </c>
      <c r="P31" s="223">
        <v>1.4</v>
      </c>
      <c r="Q31" s="25">
        <v>2.1</v>
      </c>
      <c r="R31" s="224">
        <v>9.5</v>
      </c>
      <c r="S31" s="279">
        <v>380</v>
      </c>
      <c r="T31" s="279">
        <v>790</v>
      </c>
      <c r="U31" s="37" t="s">
        <v>175</v>
      </c>
    </row>
    <row r="32" spans="1:21" ht="16.5" customHeight="1">
      <c r="A32" s="975" t="s">
        <v>148</v>
      </c>
      <c r="B32" s="30" t="s">
        <v>72</v>
      </c>
      <c r="C32" s="284" t="s">
        <v>223</v>
      </c>
      <c r="D32" s="284" t="s">
        <v>224</v>
      </c>
      <c r="E32" s="204">
        <v>7.2</v>
      </c>
      <c r="F32" s="111">
        <v>111</v>
      </c>
      <c r="G32" s="23">
        <v>76.8</v>
      </c>
      <c r="H32" s="204">
        <v>26.7</v>
      </c>
      <c r="I32" s="111">
        <v>80</v>
      </c>
      <c r="J32" s="205">
        <v>2.406</v>
      </c>
      <c r="K32" s="206">
        <v>0</v>
      </c>
      <c r="L32" s="207">
        <v>0.29999999999999716</v>
      </c>
      <c r="M32" s="207">
        <v>1.8</v>
      </c>
      <c r="N32" s="207">
        <v>21.8</v>
      </c>
      <c r="O32" s="219">
        <v>29.9</v>
      </c>
      <c r="P32" s="240">
        <v>46.2</v>
      </c>
      <c r="Q32" s="249">
        <v>0.0099</v>
      </c>
      <c r="R32" s="210">
        <v>2</v>
      </c>
      <c r="S32" s="276">
        <v>5400</v>
      </c>
      <c r="T32" s="276">
        <v>12000</v>
      </c>
      <c r="U32" s="299">
        <v>8.8</v>
      </c>
    </row>
    <row r="33" spans="1:21" ht="16.5" customHeight="1">
      <c r="A33" s="1018"/>
      <c r="B33" s="33" t="s">
        <v>73</v>
      </c>
      <c r="C33" s="286" t="s">
        <v>225</v>
      </c>
      <c r="D33" s="285" t="s">
        <v>226</v>
      </c>
      <c r="E33" s="27">
        <v>6.6</v>
      </c>
      <c r="F33" s="103">
        <v>75</v>
      </c>
      <c r="G33" s="26">
        <v>54.4</v>
      </c>
      <c r="H33" s="27">
        <v>11.1</v>
      </c>
      <c r="I33" s="103">
        <v>39</v>
      </c>
      <c r="J33" s="215">
        <v>2.598</v>
      </c>
      <c r="K33" s="112">
        <v>10.9</v>
      </c>
      <c r="L33" s="212">
        <v>13.4</v>
      </c>
      <c r="M33" s="212">
        <v>16.1</v>
      </c>
      <c r="N33" s="212">
        <v>13.2</v>
      </c>
      <c r="O33" s="221">
        <v>18.1</v>
      </c>
      <c r="P33" s="222">
        <v>28.3</v>
      </c>
      <c r="Q33" s="104">
        <v>0.13</v>
      </c>
      <c r="R33" s="214">
        <v>19</v>
      </c>
      <c r="S33" s="277">
        <v>2600</v>
      </c>
      <c r="T33" s="277">
        <v>5500</v>
      </c>
      <c r="U33" s="28" t="s">
        <v>175</v>
      </c>
    </row>
    <row r="34" spans="1:21" ht="16.5" customHeight="1">
      <c r="A34" s="1018"/>
      <c r="B34" s="33" t="s">
        <v>74</v>
      </c>
      <c r="C34" s="286" t="s">
        <v>227</v>
      </c>
      <c r="D34" s="285" t="s">
        <v>228</v>
      </c>
      <c r="E34" s="27">
        <v>6.6</v>
      </c>
      <c r="F34" s="103">
        <v>46</v>
      </c>
      <c r="G34" s="26">
        <v>43.9</v>
      </c>
      <c r="H34" s="27">
        <v>6.4</v>
      </c>
      <c r="I34" s="103">
        <v>13</v>
      </c>
      <c r="J34" s="215">
        <v>2.677</v>
      </c>
      <c r="K34" s="112">
        <v>14.7</v>
      </c>
      <c r="L34" s="212">
        <v>11.9</v>
      </c>
      <c r="M34" s="212">
        <v>17.3</v>
      </c>
      <c r="N34" s="212">
        <v>17.1</v>
      </c>
      <c r="O34" s="221">
        <v>16.9</v>
      </c>
      <c r="P34" s="222">
        <v>22.1</v>
      </c>
      <c r="Q34" s="104">
        <v>0.17</v>
      </c>
      <c r="R34" s="224">
        <v>9.5</v>
      </c>
      <c r="S34" s="277">
        <v>860</v>
      </c>
      <c r="T34" s="277">
        <v>1900</v>
      </c>
      <c r="U34" s="28" t="s">
        <v>175</v>
      </c>
    </row>
    <row r="35" spans="1:21" ht="16.5" customHeight="1">
      <c r="A35" s="1018"/>
      <c r="B35" s="33" t="s">
        <v>75</v>
      </c>
      <c r="C35" s="286" t="s">
        <v>229</v>
      </c>
      <c r="D35" s="285" t="s">
        <v>230</v>
      </c>
      <c r="E35" s="27">
        <v>7.2</v>
      </c>
      <c r="F35" s="103">
        <v>127</v>
      </c>
      <c r="G35" s="26">
        <v>33.1</v>
      </c>
      <c r="H35" s="27">
        <v>3.6</v>
      </c>
      <c r="I35" s="103">
        <v>4</v>
      </c>
      <c r="J35" s="215">
        <v>2.682</v>
      </c>
      <c r="K35" s="112">
        <v>4</v>
      </c>
      <c r="L35" s="212">
        <v>12.2</v>
      </c>
      <c r="M35" s="212">
        <v>46.5</v>
      </c>
      <c r="N35" s="212">
        <v>20.5</v>
      </c>
      <c r="O35" s="221">
        <v>8.6</v>
      </c>
      <c r="P35" s="222">
        <v>8.2</v>
      </c>
      <c r="Q35" s="104">
        <v>0.35</v>
      </c>
      <c r="R35" s="224">
        <v>9.5</v>
      </c>
      <c r="S35" s="277">
        <v>2000</v>
      </c>
      <c r="T35" s="277">
        <v>4200</v>
      </c>
      <c r="U35" s="28" t="s">
        <v>175</v>
      </c>
    </row>
    <row r="36" spans="1:21" ht="16.5" customHeight="1">
      <c r="A36" s="1019"/>
      <c r="B36" s="34" t="s">
        <v>76</v>
      </c>
      <c r="C36" s="287" t="s">
        <v>231</v>
      </c>
      <c r="D36" s="289" t="s">
        <v>232</v>
      </c>
      <c r="E36" s="182">
        <v>6.6</v>
      </c>
      <c r="F36" s="114">
        <v>126</v>
      </c>
      <c r="G36" s="36">
        <v>77.2</v>
      </c>
      <c r="H36" s="182">
        <v>22.4</v>
      </c>
      <c r="I36" s="114">
        <v>110</v>
      </c>
      <c r="J36" s="226">
        <v>2.349</v>
      </c>
      <c r="K36" s="245">
        <v>0</v>
      </c>
      <c r="L36" s="228">
        <v>0.5</v>
      </c>
      <c r="M36" s="228">
        <v>2.3</v>
      </c>
      <c r="N36" s="228">
        <v>13.6</v>
      </c>
      <c r="O36" s="229">
        <v>33.5</v>
      </c>
      <c r="P36" s="246">
        <v>50.1</v>
      </c>
      <c r="Q36" s="269">
        <v>0.0049</v>
      </c>
      <c r="R36" s="239">
        <v>2</v>
      </c>
      <c r="S36" s="279">
        <v>12000</v>
      </c>
      <c r="T36" s="279">
        <v>26000</v>
      </c>
      <c r="U36" s="37" t="s">
        <v>175</v>
      </c>
    </row>
    <row r="37" spans="1:21" ht="16.5" customHeight="1">
      <c r="A37" s="974" t="s">
        <v>39</v>
      </c>
      <c r="B37" s="30" t="s">
        <v>87</v>
      </c>
      <c r="C37" s="284" t="s">
        <v>233</v>
      </c>
      <c r="D37" s="284" t="s">
        <v>234</v>
      </c>
      <c r="E37" s="204">
        <v>6.5</v>
      </c>
      <c r="F37" s="111">
        <v>68</v>
      </c>
      <c r="G37" s="23">
        <v>64.8</v>
      </c>
      <c r="H37" s="204">
        <v>8.8</v>
      </c>
      <c r="I37" s="111">
        <v>18</v>
      </c>
      <c r="J37" s="205">
        <v>2.567</v>
      </c>
      <c r="K37" s="218">
        <v>21.9</v>
      </c>
      <c r="L37" s="248">
        <v>0</v>
      </c>
      <c r="M37" s="207">
        <v>0.09999999999999432</v>
      </c>
      <c r="N37" s="207">
        <v>0.7999999999999972</v>
      </c>
      <c r="O37" s="219">
        <v>28.3</v>
      </c>
      <c r="P37" s="240">
        <v>48.9</v>
      </c>
      <c r="Q37" s="249">
        <v>0.0058</v>
      </c>
      <c r="R37" s="210">
        <v>19</v>
      </c>
      <c r="S37" s="276">
        <v>200</v>
      </c>
      <c r="T37" s="276">
        <v>470</v>
      </c>
      <c r="U37" s="41" t="s">
        <v>175</v>
      </c>
    </row>
    <row r="38" spans="1:21" ht="16.5" customHeight="1">
      <c r="A38" s="1018"/>
      <c r="B38" s="33" t="s">
        <v>88</v>
      </c>
      <c r="C38" s="285" t="s">
        <v>235</v>
      </c>
      <c r="D38" s="285" t="s">
        <v>236</v>
      </c>
      <c r="E38" s="27">
        <v>6.4</v>
      </c>
      <c r="F38" s="103">
        <v>145</v>
      </c>
      <c r="G38" s="26">
        <v>77</v>
      </c>
      <c r="H38" s="27">
        <v>12.7</v>
      </c>
      <c r="I38" s="103">
        <v>30</v>
      </c>
      <c r="J38" s="215">
        <v>2.528</v>
      </c>
      <c r="K38" s="112">
        <v>2.1</v>
      </c>
      <c r="L38" s="212">
        <v>1.2</v>
      </c>
      <c r="M38" s="212">
        <v>1.5</v>
      </c>
      <c r="N38" s="212">
        <v>1.6000000000000085</v>
      </c>
      <c r="O38" s="221">
        <v>46.1</v>
      </c>
      <c r="P38" s="222">
        <v>47.5</v>
      </c>
      <c r="Q38" s="244">
        <v>0.0057</v>
      </c>
      <c r="R38" s="216">
        <v>4.75</v>
      </c>
      <c r="S38" s="277">
        <v>390</v>
      </c>
      <c r="T38" s="277">
        <v>860</v>
      </c>
      <c r="U38" s="29" t="s">
        <v>175</v>
      </c>
    </row>
    <row r="39" spans="1:21" ht="16.5" customHeight="1">
      <c r="A39" s="1018"/>
      <c r="B39" s="33" t="s">
        <v>89</v>
      </c>
      <c r="C39" s="285" t="s">
        <v>237</v>
      </c>
      <c r="D39" s="285" t="s">
        <v>238</v>
      </c>
      <c r="E39" s="27">
        <v>6.4</v>
      </c>
      <c r="F39" s="103">
        <v>40</v>
      </c>
      <c r="G39" s="26">
        <v>66.2</v>
      </c>
      <c r="H39" s="27">
        <v>11.1</v>
      </c>
      <c r="I39" s="103">
        <v>25</v>
      </c>
      <c r="J39" s="215">
        <v>2.575</v>
      </c>
      <c r="K39" s="243">
        <v>0</v>
      </c>
      <c r="L39" s="212">
        <v>0.09999999999999432</v>
      </c>
      <c r="M39" s="212">
        <v>0.10000000000000853</v>
      </c>
      <c r="N39" s="212">
        <v>2.7</v>
      </c>
      <c r="O39" s="221">
        <v>53</v>
      </c>
      <c r="P39" s="222">
        <v>44.1</v>
      </c>
      <c r="Q39" s="244">
        <v>0.0068</v>
      </c>
      <c r="R39" s="214">
        <v>2</v>
      </c>
      <c r="S39" s="277">
        <v>350</v>
      </c>
      <c r="T39" s="277">
        <v>770</v>
      </c>
      <c r="U39" s="300">
        <v>1.6</v>
      </c>
    </row>
    <row r="40" spans="1:21" ht="16.5" customHeight="1">
      <c r="A40" s="1018"/>
      <c r="B40" s="33" t="s">
        <v>97</v>
      </c>
      <c r="C40" s="285" t="s">
        <v>239</v>
      </c>
      <c r="D40" s="285" t="s">
        <v>240</v>
      </c>
      <c r="E40" s="27">
        <v>6.6</v>
      </c>
      <c r="F40" s="103">
        <v>91</v>
      </c>
      <c r="G40" s="26">
        <v>65.3</v>
      </c>
      <c r="H40" s="27">
        <v>8.5</v>
      </c>
      <c r="I40" s="103">
        <v>27</v>
      </c>
      <c r="J40" s="215">
        <v>2.547</v>
      </c>
      <c r="K40" s="243">
        <v>0</v>
      </c>
      <c r="L40" s="212">
        <v>1.3</v>
      </c>
      <c r="M40" s="212">
        <v>1.6000000000000085</v>
      </c>
      <c r="N40" s="212">
        <v>6.8999999999999915</v>
      </c>
      <c r="O40" s="221">
        <v>31.1</v>
      </c>
      <c r="P40" s="222">
        <v>59.1</v>
      </c>
      <c r="Q40" s="244">
        <v>0.0019</v>
      </c>
      <c r="R40" s="214">
        <v>2</v>
      </c>
      <c r="S40" s="277">
        <v>240</v>
      </c>
      <c r="T40" s="277">
        <v>550</v>
      </c>
      <c r="U40" s="293" t="s">
        <v>175</v>
      </c>
    </row>
    <row r="41" spans="1:21" ht="16.5" customHeight="1">
      <c r="A41" s="1019"/>
      <c r="B41" s="34" t="s">
        <v>90</v>
      </c>
      <c r="C41" s="285" t="s">
        <v>241</v>
      </c>
      <c r="D41" s="285" t="s">
        <v>242</v>
      </c>
      <c r="E41" s="182">
        <v>6.7</v>
      </c>
      <c r="F41" s="114">
        <v>22</v>
      </c>
      <c r="G41" s="36">
        <v>53.1</v>
      </c>
      <c r="H41" s="182">
        <v>6.2</v>
      </c>
      <c r="I41" s="114">
        <v>16</v>
      </c>
      <c r="J41" s="226">
        <v>2.668</v>
      </c>
      <c r="K41" s="245">
        <v>0</v>
      </c>
      <c r="L41" s="228">
        <v>0.29999999999999716</v>
      </c>
      <c r="M41" s="228">
        <v>4.400000000000006</v>
      </c>
      <c r="N41" s="228">
        <v>39.3</v>
      </c>
      <c r="O41" s="229">
        <v>23.9</v>
      </c>
      <c r="P41" s="246">
        <v>32.1</v>
      </c>
      <c r="Q41" s="247">
        <v>0.05</v>
      </c>
      <c r="R41" s="239">
        <v>2</v>
      </c>
      <c r="S41" s="279">
        <v>350</v>
      </c>
      <c r="T41" s="279">
        <v>770</v>
      </c>
      <c r="U41" s="37" t="s">
        <v>175</v>
      </c>
    </row>
    <row r="42" spans="1:21" ht="16.5" customHeight="1">
      <c r="A42" s="974" t="s">
        <v>40</v>
      </c>
      <c r="B42" s="181" t="s">
        <v>91</v>
      </c>
      <c r="C42" s="284" t="s">
        <v>243</v>
      </c>
      <c r="D42" s="284" t="s">
        <v>245</v>
      </c>
      <c r="E42" s="204">
        <v>7</v>
      </c>
      <c r="F42" s="111">
        <v>55</v>
      </c>
      <c r="G42" s="23">
        <v>82.6</v>
      </c>
      <c r="H42" s="204">
        <v>10.4</v>
      </c>
      <c r="I42" s="241">
        <v>29</v>
      </c>
      <c r="J42" s="205">
        <v>2.559</v>
      </c>
      <c r="K42" s="206">
        <v>0</v>
      </c>
      <c r="L42" s="207">
        <v>0.09999999999999432</v>
      </c>
      <c r="M42" s="207">
        <v>4.7</v>
      </c>
      <c r="N42" s="207">
        <v>30.6</v>
      </c>
      <c r="O42" s="219">
        <v>16.1</v>
      </c>
      <c r="P42" s="240">
        <v>48.5</v>
      </c>
      <c r="Q42" s="249">
        <v>0.0073</v>
      </c>
      <c r="R42" s="210">
        <v>2</v>
      </c>
      <c r="S42" s="277">
        <v>1900</v>
      </c>
      <c r="T42" s="277">
        <v>4100</v>
      </c>
      <c r="U42" s="41" t="s">
        <v>504</v>
      </c>
    </row>
    <row r="43" spans="1:21" ht="16.5" customHeight="1">
      <c r="A43" s="1018"/>
      <c r="B43" s="33" t="s">
        <v>92</v>
      </c>
      <c r="C43" s="286" t="s">
        <v>244</v>
      </c>
      <c r="D43" s="285" t="s">
        <v>246</v>
      </c>
      <c r="E43" s="27">
        <v>6.9</v>
      </c>
      <c r="F43" s="214">
        <v>-36</v>
      </c>
      <c r="G43" s="26">
        <v>67.5</v>
      </c>
      <c r="H43" s="27">
        <v>7.5</v>
      </c>
      <c r="I43" s="103">
        <v>17</v>
      </c>
      <c r="J43" s="215">
        <v>2.628</v>
      </c>
      <c r="K43" s="112">
        <v>0.8</v>
      </c>
      <c r="L43" s="212">
        <v>1.4000000000000057</v>
      </c>
      <c r="M43" s="212">
        <v>3.5</v>
      </c>
      <c r="N43" s="212">
        <v>36.6</v>
      </c>
      <c r="O43" s="221">
        <v>16.6</v>
      </c>
      <c r="P43" s="222">
        <v>41.1</v>
      </c>
      <c r="Q43" s="107">
        <v>0.026</v>
      </c>
      <c r="R43" s="216">
        <v>4.75</v>
      </c>
      <c r="S43" s="277">
        <v>850</v>
      </c>
      <c r="T43" s="277">
        <v>1900</v>
      </c>
      <c r="U43" s="28" t="s">
        <v>175</v>
      </c>
    </row>
    <row r="44" spans="1:21" ht="16.5" customHeight="1">
      <c r="A44" s="1018"/>
      <c r="B44" s="33" t="s">
        <v>98</v>
      </c>
      <c r="C44" s="286" t="s">
        <v>247</v>
      </c>
      <c r="D44" s="285" t="s">
        <v>249</v>
      </c>
      <c r="E44" s="27">
        <v>7.1</v>
      </c>
      <c r="F44" s="214">
        <v>-15</v>
      </c>
      <c r="G44" s="26">
        <v>68.8</v>
      </c>
      <c r="H44" s="27">
        <v>8.3</v>
      </c>
      <c r="I44" s="103">
        <v>16</v>
      </c>
      <c r="J44" s="215">
        <v>2.646</v>
      </c>
      <c r="K44" s="243">
        <v>0</v>
      </c>
      <c r="L44" s="212">
        <v>0.20000000000000284</v>
      </c>
      <c r="M44" s="212">
        <v>3.3</v>
      </c>
      <c r="N44" s="212">
        <v>25.2</v>
      </c>
      <c r="O44" s="221">
        <v>29</v>
      </c>
      <c r="P44" s="222">
        <v>42.3</v>
      </c>
      <c r="Q44" s="107">
        <v>0.016</v>
      </c>
      <c r="R44" s="214">
        <v>2</v>
      </c>
      <c r="S44" s="277">
        <v>79</v>
      </c>
      <c r="T44" s="277">
        <v>170</v>
      </c>
      <c r="U44" s="28" t="s">
        <v>175</v>
      </c>
    </row>
    <row r="45" spans="1:21" ht="16.5" customHeight="1">
      <c r="A45" s="1018"/>
      <c r="B45" s="33" t="s">
        <v>99</v>
      </c>
      <c r="C45" s="291" t="s">
        <v>248</v>
      </c>
      <c r="D45" s="285" t="s">
        <v>250</v>
      </c>
      <c r="E45" s="251">
        <v>6.9</v>
      </c>
      <c r="F45" s="252">
        <v>176</v>
      </c>
      <c r="G45" s="253">
        <v>24.6</v>
      </c>
      <c r="H45" s="251">
        <v>2.2</v>
      </c>
      <c r="I45" s="252">
        <v>2</v>
      </c>
      <c r="J45" s="254">
        <v>2.756</v>
      </c>
      <c r="K45" s="255">
        <v>32</v>
      </c>
      <c r="L45" s="256">
        <v>16.9</v>
      </c>
      <c r="M45" s="256">
        <v>36.4</v>
      </c>
      <c r="N45" s="256">
        <v>9.7</v>
      </c>
      <c r="O45" s="257">
        <v>1.2</v>
      </c>
      <c r="P45" s="258">
        <v>3.8</v>
      </c>
      <c r="Q45" s="316">
        <v>0.82</v>
      </c>
      <c r="R45" s="259">
        <v>19</v>
      </c>
      <c r="S45" s="278">
        <v>32</v>
      </c>
      <c r="T45" s="278">
        <v>75</v>
      </c>
      <c r="U45" s="29" t="s">
        <v>175</v>
      </c>
    </row>
    <row r="46" spans="1:21" ht="16.5" customHeight="1">
      <c r="A46" s="1019"/>
      <c r="B46" s="34" t="s">
        <v>93</v>
      </c>
      <c r="C46" s="34" t="s">
        <v>173</v>
      </c>
      <c r="D46" s="285" t="s">
        <v>174</v>
      </c>
      <c r="E46" s="182">
        <v>7.2</v>
      </c>
      <c r="F46" s="114">
        <v>73</v>
      </c>
      <c r="G46" s="36">
        <v>30</v>
      </c>
      <c r="H46" s="182">
        <v>2</v>
      </c>
      <c r="I46" s="114">
        <v>4</v>
      </c>
      <c r="J46" s="226">
        <v>2.672</v>
      </c>
      <c r="K46" s="227">
        <v>0.3</v>
      </c>
      <c r="L46" s="228">
        <v>4.1000000000000085</v>
      </c>
      <c r="M46" s="228">
        <v>73.9</v>
      </c>
      <c r="N46" s="228">
        <v>17.4</v>
      </c>
      <c r="O46" s="229">
        <v>0.7</v>
      </c>
      <c r="P46" s="246">
        <v>3.6</v>
      </c>
      <c r="Q46" s="231">
        <v>0.32</v>
      </c>
      <c r="R46" s="232">
        <v>9.5</v>
      </c>
      <c r="S46" s="279">
        <v>68</v>
      </c>
      <c r="T46" s="280">
        <v>150</v>
      </c>
      <c r="U46" s="37" t="s">
        <v>175</v>
      </c>
    </row>
    <row r="47" spans="1:21" ht="16.5" customHeight="1">
      <c r="A47" s="967" t="s">
        <v>151</v>
      </c>
      <c r="B47" s="38" t="s">
        <v>157</v>
      </c>
      <c r="C47" s="284" t="s">
        <v>251</v>
      </c>
      <c r="D47" s="284" t="s">
        <v>252</v>
      </c>
      <c r="E47" s="22">
        <v>7.7</v>
      </c>
      <c r="F47" s="115">
        <v>174</v>
      </c>
      <c r="G47" s="39">
        <v>20.8</v>
      </c>
      <c r="H47" s="184">
        <v>1.6</v>
      </c>
      <c r="I47" s="260" t="s">
        <v>164</v>
      </c>
      <c r="J47" s="233">
        <v>2.715</v>
      </c>
      <c r="K47" s="261">
        <v>0</v>
      </c>
      <c r="L47" s="262">
        <v>4.900000000000006</v>
      </c>
      <c r="M47" s="262">
        <v>48.2</v>
      </c>
      <c r="N47" s="262">
        <v>37.4</v>
      </c>
      <c r="O47" s="262">
        <v>3.9</v>
      </c>
      <c r="P47" s="116">
        <v>5.6</v>
      </c>
      <c r="Q47" s="263">
        <v>0.27</v>
      </c>
      <c r="R47" s="237">
        <v>2</v>
      </c>
      <c r="S47" s="276">
        <v>32</v>
      </c>
      <c r="T47" s="276">
        <v>68</v>
      </c>
      <c r="U47" s="186" t="s">
        <v>175</v>
      </c>
    </row>
    <row r="48" spans="1:21" ht="16.5" customHeight="1">
      <c r="A48" s="1020"/>
      <c r="B48" s="33" t="s">
        <v>158</v>
      </c>
      <c r="C48" s="286" t="s">
        <v>253</v>
      </c>
      <c r="D48" s="286" t="s">
        <v>254</v>
      </c>
      <c r="E48" s="25">
        <v>7.9</v>
      </c>
      <c r="F48" s="214">
        <v>-49</v>
      </c>
      <c r="G48" s="26">
        <v>42.8</v>
      </c>
      <c r="H48" s="27">
        <v>4.6</v>
      </c>
      <c r="I48" s="264">
        <v>4</v>
      </c>
      <c r="J48" s="215">
        <v>2.73</v>
      </c>
      <c r="K48" s="105">
        <v>0</v>
      </c>
      <c r="L48" s="265">
        <v>0.20000000000000284</v>
      </c>
      <c r="M48" s="265">
        <v>1.3999999999999915</v>
      </c>
      <c r="N48" s="265">
        <v>64.7</v>
      </c>
      <c r="O48" s="265">
        <v>17</v>
      </c>
      <c r="P48" s="108">
        <v>16.7</v>
      </c>
      <c r="Q48" s="104">
        <v>0.11</v>
      </c>
      <c r="R48" s="214">
        <v>2</v>
      </c>
      <c r="S48" s="277">
        <v>270</v>
      </c>
      <c r="T48" s="277">
        <v>580</v>
      </c>
      <c r="U48" s="45" t="s">
        <v>503</v>
      </c>
    </row>
    <row r="49" spans="1:21" ht="16.5" customHeight="1">
      <c r="A49" s="968"/>
      <c r="B49" s="34" t="s">
        <v>159</v>
      </c>
      <c r="C49" s="287" t="s">
        <v>255</v>
      </c>
      <c r="D49" s="287" t="s">
        <v>256</v>
      </c>
      <c r="E49" s="35">
        <v>7.9</v>
      </c>
      <c r="F49" s="239">
        <v>-72</v>
      </c>
      <c r="G49" s="36">
        <v>48.5</v>
      </c>
      <c r="H49" s="182">
        <v>6.5</v>
      </c>
      <c r="I49" s="266">
        <v>10</v>
      </c>
      <c r="J49" s="226">
        <v>2.691</v>
      </c>
      <c r="K49" s="267">
        <v>0</v>
      </c>
      <c r="L49" s="268">
        <v>0.29999999999999716</v>
      </c>
      <c r="M49" s="268">
        <v>0.4000000000000057</v>
      </c>
      <c r="N49" s="268">
        <v>21.7</v>
      </c>
      <c r="O49" s="268">
        <v>54.6</v>
      </c>
      <c r="P49" s="183">
        <v>23</v>
      </c>
      <c r="Q49" s="247">
        <v>0.039</v>
      </c>
      <c r="R49" s="239">
        <v>2</v>
      </c>
      <c r="S49" s="279">
        <v>180</v>
      </c>
      <c r="T49" s="279">
        <v>380</v>
      </c>
      <c r="U49" s="37" t="s">
        <v>175</v>
      </c>
    </row>
    <row r="50" spans="1:21" ht="16.5" customHeight="1">
      <c r="A50" s="969" t="s">
        <v>152</v>
      </c>
      <c r="B50" s="30" t="s">
        <v>94</v>
      </c>
      <c r="C50" s="285" t="s">
        <v>257</v>
      </c>
      <c r="D50" s="284" t="s">
        <v>258</v>
      </c>
      <c r="E50" s="31">
        <v>7.8</v>
      </c>
      <c r="F50" s="111">
        <v>156</v>
      </c>
      <c r="G50" s="23">
        <v>35.4</v>
      </c>
      <c r="H50" s="204">
        <v>3.6</v>
      </c>
      <c r="I50" s="270">
        <v>3</v>
      </c>
      <c r="J50" s="205">
        <v>2.701</v>
      </c>
      <c r="K50" s="271">
        <v>1.5</v>
      </c>
      <c r="L50" s="272">
        <v>2.9000000000000057</v>
      </c>
      <c r="M50" s="272">
        <v>20.6</v>
      </c>
      <c r="N50" s="272">
        <v>47.6</v>
      </c>
      <c r="O50" s="32">
        <v>12.7</v>
      </c>
      <c r="P50" s="273">
        <v>14.7</v>
      </c>
      <c r="Q50" s="209">
        <v>0.16</v>
      </c>
      <c r="R50" s="250">
        <v>9.5</v>
      </c>
      <c r="S50" s="276">
        <v>84</v>
      </c>
      <c r="T50" s="276">
        <v>180</v>
      </c>
      <c r="U50" s="46" t="s">
        <v>175</v>
      </c>
    </row>
    <row r="51" spans="1:21" ht="16.5" customHeight="1">
      <c r="A51" s="1020"/>
      <c r="B51" s="33" t="s">
        <v>95</v>
      </c>
      <c r="C51" s="286" t="s">
        <v>259</v>
      </c>
      <c r="D51" s="285" t="s">
        <v>260</v>
      </c>
      <c r="E51" s="25">
        <v>8.1</v>
      </c>
      <c r="F51" s="274">
        <v>186</v>
      </c>
      <c r="G51" s="26">
        <v>24.7</v>
      </c>
      <c r="H51" s="27">
        <v>1.1</v>
      </c>
      <c r="I51" s="264" t="s">
        <v>164</v>
      </c>
      <c r="J51" s="215">
        <v>2.734</v>
      </c>
      <c r="K51" s="314">
        <v>0.3</v>
      </c>
      <c r="L51" s="265">
        <v>0.5</v>
      </c>
      <c r="M51" s="265">
        <v>47.8</v>
      </c>
      <c r="N51" s="265">
        <v>46.9</v>
      </c>
      <c r="O51" s="265">
        <v>1.1</v>
      </c>
      <c r="P51" s="108">
        <v>3.4</v>
      </c>
      <c r="Q51" s="104">
        <v>0.25</v>
      </c>
      <c r="R51" s="214">
        <v>19</v>
      </c>
      <c r="S51" s="277">
        <v>27</v>
      </c>
      <c r="T51" s="277">
        <v>63</v>
      </c>
      <c r="U51" s="45" t="s">
        <v>505</v>
      </c>
    </row>
    <row r="52" spans="1:21" ht="16.5" customHeight="1">
      <c r="A52" s="968"/>
      <c r="B52" s="34" t="s">
        <v>96</v>
      </c>
      <c r="C52" s="287" t="s">
        <v>261</v>
      </c>
      <c r="D52" s="289" t="s">
        <v>262</v>
      </c>
      <c r="E52" s="35">
        <v>8.1</v>
      </c>
      <c r="F52" s="114">
        <v>178</v>
      </c>
      <c r="G52" s="36">
        <v>22</v>
      </c>
      <c r="H52" s="182">
        <v>1.1</v>
      </c>
      <c r="I52" s="275" t="s">
        <v>164</v>
      </c>
      <c r="J52" s="226">
        <v>2.754</v>
      </c>
      <c r="K52" s="267">
        <v>0</v>
      </c>
      <c r="L52" s="268">
        <v>0.5</v>
      </c>
      <c r="M52" s="268">
        <v>49.5</v>
      </c>
      <c r="N52" s="268">
        <v>46.9</v>
      </c>
      <c r="O52" s="268">
        <v>0.4</v>
      </c>
      <c r="P52" s="183">
        <v>2.7</v>
      </c>
      <c r="Q52" s="231">
        <v>0.25</v>
      </c>
      <c r="R52" s="239">
        <v>2</v>
      </c>
      <c r="S52" s="279">
        <v>13</v>
      </c>
      <c r="T52" s="279">
        <v>29</v>
      </c>
      <c r="U52" s="47" t="s">
        <v>175</v>
      </c>
    </row>
    <row r="53" spans="1:21" ht="16.5" customHeight="1">
      <c r="A53" s="969" t="s">
        <v>149</v>
      </c>
      <c r="B53" s="30" t="s">
        <v>160</v>
      </c>
      <c r="C53" s="285" t="s">
        <v>263</v>
      </c>
      <c r="D53" s="285" t="s">
        <v>264</v>
      </c>
      <c r="E53" s="204">
        <v>8.1</v>
      </c>
      <c r="F53" s="111">
        <v>234</v>
      </c>
      <c r="G53" s="23">
        <v>26.3</v>
      </c>
      <c r="H53" s="204">
        <v>2</v>
      </c>
      <c r="I53" s="162">
        <v>1</v>
      </c>
      <c r="J53" s="205">
        <v>2.773</v>
      </c>
      <c r="K53" s="218">
        <v>0.2</v>
      </c>
      <c r="L53" s="207">
        <v>0.29999999999999716</v>
      </c>
      <c r="M53" s="207">
        <v>2.3</v>
      </c>
      <c r="N53" s="207">
        <v>92</v>
      </c>
      <c r="O53" s="219">
        <v>2.5</v>
      </c>
      <c r="P53" s="240">
        <v>2.7</v>
      </c>
      <c r="Q53" s="209">
        <v>0.16</v>
      </c>
      <c r="R53" s="315">
        <v>4.75</v>
      </c>
      <c r="S53" s="276">
        <v>58</v>
      </c>
      <c r="T53" s="276">
        <v>140</v>
      </c>
      <c r="U53" s="41" t="s">
        <v>175</v>
      </c>
    </row>
    <row r="54" spans="1:21" ht="16.5" customHeight="1">
      <c r="A54" s="1020"/>
      <c r="B54" s="38" t="s">
        <v>161</v>
      </c>
      <c r="C54" s="286" t="s">
        <v>265</v>
      </c>
      <c r="D54" s="286" t="s">
        <v>266</v>
      </c>
      <c r="E54" s="27">
        <v>8</v>
      </c>
      <c r="F54" s="103">
        <v>275</v>
      </c>
      <c r="G54" s="26">
        <v>26</v>
      </c>
      <c r="H54" s="27">
        <v>2.2</v>
      </c>
      <c r="I54" s="312" t="s">
        <v>164</v>
      </c>
      <c r="J54" s="215">
        <v>2.784</v>
      </c>
      <c r="K54" s="112">
        <v>1</v>
      </c>
      <c r="L54" s="212">
        <v>0.9000000000000057</v>
      </c>
      <c r="M54" s="212">
        <v>3.8</v>
      </c>
      <c r="N54" s="212">
        <v>89.6</v>
      </c>
      <c r="O54" s="221">
        <v>1.9</v>
      </c>
      <c r="P54" s="222">
        <v>2.8</v>
      </c>
      <c r="Q54" s="104">
        <v>0.16</v>
      </c>
      <c r="R54" s="216">
        <v>4.75</v>
      </c>
      <c r="S54" s="277">
        <v>58</v>
      </c>
      <c r="T54" s="277">
        <v>130</v>
      </c>
      <c r="U54" s="45" t="s">
        <v>506</v>
      </c>
    </row>
    <row r="55" spans="1:21" ht="16.5" customHeight="1">
      <c r="A55" s="968"/>
      <c r="B55" s="96" t="s">
        <v>162</v>
      </c>
      <c r="C55" s="287" t="s">
        <v>267</v>
      </c>
      <c r="D55" s="287" t="s">
        <v>268</v>
      </c>
      <c r="E55" s="182">
        <v>8</v>
      </c>
      <c r="F55" s="114">
        <v>266</v>
      </c>
      <c r="G55" s="36">
        <v>27.4</v>
      </c>
      <c r="H55" s="182">
        <v>2.4</v>
      </c>
      <c r="I55" s="106">
        <v>1</v>
      </c>
      <c r="J55" s="226">
        <v>2.771</v>
      </c>
      <c r="K55" s="245">
        <v>0</v>
      </c>
      <c r="L55" s="228">
        <v>0.7000000000000028</v>
      </c>
      <c r="M55" s="228">
        <v>2</v>
      </c>
      <c r="N55" s="228">
        <v>90</v>
      </c>
      <c r="O55" s="229">
        <v>2.9</v>
      </c>
      <c r="P55" s="246">
        <v>4.4</v>
      </c>
      <c r="Q55" s="231">
        <v>0.16</v>
      </c>
      <c r="R55" s="239">
        <v>2</v>
      </c>
      <c r="S55" s="279">
        <v>61</v>
      </c>
      <c r="T55" s="280">
        <v>120</v>
      </c>
      <c r="U55" s="47" t="s">
        <v>175</v>
      </c>
    </row>
    <row r="56" spans="1:5" ht="16.5" customHeight="1">
      <c r="A56" s="130" t="s">
        <v>502</v>
      </c>
      <c r="E56" s="164"/>
    </row>
    <row r="57" spans="1:5" ht="13.5" customHeight="1">
      <c r="A57" s="144"/>
      <c r="B57" s="48"/>
      <c r="E57" s="164"/>
    </row>
    <row r="58" spans="1:16" ht="13.5">
      <c r="A58" s="144"/>
      <c r="B58" s="48"/>
      <c r="E58" s="164"/>
      <c r="P58" s="167"/>
    </row>
    <row r="61" spans="1:8" ht="13.5">
      <c r="A61" s="172"/>
      <c r="B61" s="4"/>
      <c r="E61" s="168"/>
      <c r="F61" s="169"/>
      <c r="G61" s="50"/>
      <c r="H61" s="50"/>
    </row>
    <row r="62" spans="1:8" ht="13.5">
      <c r="A62" s="172"/>
      <c r="B62" s="4"/>
      <c r="E62" s="168"/>
      <c r="F62" s="169"/>
      <c r="G62" s="50"/>
      <c r="H62" s="50"/>
    </row>
    <row r="63" spans="1:8" ht="13.5">
      <c r="A63" s="172"/>
      <c r="B63" s="4"/>
      <c r="E63" s="168"/>
      <c r="F63" s="169"/>
      <c r="G63" s="50"/>
      <c r="H63" s="50"/>
    </row>
    <row r="64" spans="1:8" ht="13.5">
      <c r="A64" s="172"/>
      <c r="B64" s="4"/>
      <c r="E64" s="168"/>
      <c r="F64" s="169"/>
      <c r="G64" s="50"/>
      <c r="H64" s="50"/>
    </row>
    <row r="65" spans="1:8" ht="13.5">
      <c r="A65" s="172"/>
      <c r="B65" s="4"/>
      <c r="E65" s="168"/>
      <c r="F65" s="169"/>
      <c r="G65" s="50"/>
      <c r="H65" s="50"/>
    </row>
    <row r="66" spans="1:8" ht="13.5">
      <c r="A66" s="172"/>
      <c r="B66" s="4"/>
      <c r="E66" s="168"/>
      <c r="F66" s="169"/>
      <c r="G66" s="50"/>
      <c r="H66" s="50"/>
    </row>
    <row r="67" spans="1:8" ht="13.5">
      <c r="A67" s="172"/>
      <c r="B67" s="4"/>
      <c r="E67" s="168"/>
      <c r="F67" s="169"/>
      <c r="G67" s="50"/>
      <c r="H67" s="50"/>
    </row>
    <row r="68" spans="1:8" ht="13.5">
      <c r="A68" s="172"/>
      <c r="B68" s="4"/>
      <c r="E68" s="168"/>
      <c r="F68" s="169"/>
      <c r="G68" s="50"/>
      <c r="H68" s="50"/>
    </row>
    <row r="69" spans="1:8" ht="13.5">
      <c r="A69" s="172"/>
      <c r="B69" s="4"/>
      <c r="E69" s="168"/>
      <c r="F69" s="169"/>
      <c r="G69" s="50"/>
      <c r="H69" s="50"/>
    </row>
    <row r="70" spans="1:8" ht="13.5">
      <c r="A70" s="172"/>
      <c r="B70" s="4"/>
      <c r="E70" s="168"/>
      <c r="F70" s="169"/>
      <c r="G70" s="50"/>
      <c r="H70" s="50"/>
    </row>
    <row r="71" spans="1:8" ht="13.5">
      <c r="A71" s="172"/>
      <c r="B71" s="4"/>
      <c r="E71" s="168"/>
      <c r="F71" s="169"/>
      <c r="G71" s="50"/>
      <c r="H71" s="50"/>
    </row>
    <row r="72" spans="1:8" ht="13.5">
      <c r="A72" s="172"/>
      <c r="B72" s="4"/>
      <c r="E72" s="168"/>
      <c r="F72" s="169"/>
      <c r="G72" s="50"/>
      <c r="H72" s="50"/>
    </row>
    <row r="73" spans="1:8" ht="13.5">
      <c r="A73" s="172"/>
      <c r="B73" s="4"/>
      <c r="E73" s="168"/>
      <c r="F73" s="169"/>
      <c r="G73" s="50"/>
      <c r="H73" s="50"/>
    </row>
    <row r="74" spans="1:8" ht="13.5">
      <c r="A74" s="172"/>
      <c r="B74" s="4"/>
      <c r="E74" s="168"/>
      <c r="F74" s="169"/>
      <c r="G74" s="50"/>
      <c r="H74" s="50"/>
    </row>
    <row r="75" spans="1:8" ht="13.5">
      <c r="A75" s="172"/>
      <c r="B75" s="4"/>
      <c r="E75" s="168"/>
      <c r="F75" s="169"/>
      <c r="G75" s="50"/>
      <c r="H75" s="50"/>
    </row>
    <row r="76" spans="1:8" ht="13.5">
      <c r="A76" s="172"/>
      <c r="B76" s="4"/>
      <c r="E76" s="168"/>
      <c r="F76" s="169"/>
      <c r="G76" s="50"/>
      <c r="H76" s="50"/>
    </row>
    <row r="77" spans="1:8" ht="13.5">
      <c r="A77" s="172"/>
      <c r="B77" s="4"/>
      <c r="E77" s="168"/>
      <c r="F77" s="169"/>
      <c r="G77" s="50"/>
      <c r="H77" s="50"/>
    </row>
    <row r="78" spans="1:8" ht="13.5">
      <c r="A78" s="172"/>
      <c r="B78" s="4"/>
      <c r="E78" s="168"/>
      <c r="F78" s="169"/>
      <c r="G78" s="50"/>
      <c r="H78" s="50"/>
    </row>
    <row r="79" spans="1:8" ht="13.5">
      <c r="A79" s="172"/>
      <c r="B79" s="4"/>
      <c r="E79" s="168"/>
      <c r="F79" s="169"/>
      <c r="G79" s="50"/>
      <c r="H79" s="50"/>
    </row>
    <row r="80" spans="1:8" ht="13.5">
      <c r="A80" s="172"/>
      <c r="B80" s="4"/>
      <c r="E80" s="168"/>
      <c r="F80" s="169"/>
      <c r="G80" s="50"/>
      <c r="H80" s="50"/>
    </row>
    <row r="81" spans="1:8" ht="13.5">
      <c r="A81" s="172"/>
      <c r="B81" s="4"/>
      <c r="E81" s="168"/>
      <c r="F81" s="169"/>
      <c r="G81" s="50"/>
      <c r="H81" s="50"/>
    </row>
    <row r="82" spans="1:8" ht="13.5">
      <c r="A82" s="172"/>
      <c r="B82" s="4"/>
      <c r="E82" s="168"/>
      <c r="F82" s="169"/>
      <c r="G82" s="50"/>
      <c r="H82" s="50"/>
    </row>
    <row r="83" spans="1:8" ht="13.5">
      <c r="A83" s="172"/>
      <c r="B83" s="4"/>
      <c r="E83" s="168"/>
      <c r="F83" s="169"/>
      <c r="G83" s="50"/>
      <c r="H83" s="50"/>
    </row>
    <row r="84" spans="1:8" ht="13.5">
      <c r="A84" s="172"/>
      <c r="B84" s="4"/>
      <c r="E84" s="168"/>
      <c r="F84" s="169"/>
      <c r="G84" s="50"/>
      <c r="H84" s="50"/>
    </row>
    <row r="85" spans="1:8" ht="13.5">
      <c r="A85" s="172"/>
      <c r="B85" s="4"/>
      <c r="E85" s="168"/>
      <c r="F85" s="169"/>
      <c r="G85" s="50"/>
      <c r="H85" s="50"/>
    </row>
    <row r="86" spans="1:8" ht="13.5">
      <c r="A86" s="172"/>
      <c r="B86" s="4"/>
      <c r="E86" s="168"/>
      <c r="F86" s="169"/>
      <c r="G86" s="50"/>
      <c r="H86" s="50"/>
    </row>
    <row r="87" spans="1:8" ht="13.5">
      <c r="A87" s="172"/>
      <c r="B87" s="4"/>
      <c r="E87" s="168"/>
      <c r="F87" s="169"/>
      <c r="G87" s="50"/>
      <c r="H87" s="50"/>
    </row>
    <row r="88" spans="1:8" ht="13.5">
      <c r="A88" s="172"/>
      <c r="B88" s="4"/>
      <c r="E88" s="168"/>
      <c r="F88" s="169"/>
      <c r="G88" s="50"/>
      <c r="H88" s="50"/>
    </row>
    <row r="89" spans="1:8" ht="13.5">
      <c r="A89" s="172"/>
      <c r="B89" s="4"/>
      <c r="E89" s="168"/>
      <c r="F89" s="169"/>
      <c r="G89" s="50"/>
      <c r="H89" s="50"/>
    </row>
    <row r="90" spans="1:8" ht="13.5">
      <c r="A90" s="172"/>
      <c r="B90" s="4"/>
      <c r="E90" s="168"/>
      <c r="F90" s="169"/>
      <c r="G90" s="50"/>
      <c r="H90" s="50"/>
    </row>
    <row r="91" spans="1:8" ht="13.5">
      <c r="A91" s="172"/>
      <c r="B91" s="4"/>
      <c r="E91" s="168"/>
      <c r="F91" s="169"/>
      <c r="G91" s="50"/>
      <c r="H91" s="50"/>
    </row>
    <row r="92" spans="1:8" ht="13.5">
      <c r="A92" s="172"/>
      <c r="B92" s="4"/>
      <c r="E92" s="168"/>
      <c r="F92" s="169"/>
      <c r="G92" s="50"/>
      <c r="H92" s="50"/>
    </row>
    <row r="93" spans="1:8" ht="13.5">
      <c r="A93" s="172"/>
      <c r="B93" s="4"/>
      <c r="E93" s="168"/>
      <c r="F93" s="169"/>
      <c r="G93" s="50"/>
      <c r="H93" s="50"/>
    </row>
    <row r="94" spans="1:8" ht="13.5">
      <c r="A94" s="172"/>
      <c r="B94" s="4"/>
      <c r="E94" s="168"/>
      <c r="F94" s="169"/>
      <c r="G94" s="50"/>
      <c r="H94" s="50"/>
    </row>
    <row r="95" spans="1:8" ht="13.5">
      <c r="A95" s="172"/>
      <c r="B95" s="4"/>
      <c r="E95" s="168"/>
      <c r="F95" s="169"/>
      <c r="G95" s="50"/>
      <c r="H95" s="50"/>
    </row>
    <row r="96" spans="1:8" ht="13.5">
      <c r="A96" s="172"/>
      <c r="B96" s="4"/>
      <c r="E96" s="168"/>
      <c r="F96" s="169"/>
      <c r="G96" s="50"/>
      <c r="H96" s="50"/>
    </row>
    <row r="97" spans="1:7" ht="13.5">
      <c r="A97" s="1017"/>
      <c r="B97" s="48"/>
      <c r="E97" s="164"/>
      <c r="F97" s="164"/>
      <c r="G97" s="51"/>
    </row>
    <row r="98" spans="1:8" ht="13.5">
      <c r="A98" s="1017"/>
      <c r="B98" s="48"/>
      <c r="E98" s="164"/>
      <c r="F98" s="164"/>
      <c r="G98" s="51"/>
      <c r="H98" s="109"/>
    </row>
    <row r="99" spans="1:8" ht="13.5">
      <c r="A99" s="1017"/>
      <c r="B99" s="48"/>
      <c r="E99" s="164"/>
      <c r="F99" s="164"/>
      <c r="G99" s="51"/>
      <c r="H99" s="109"/>
    </row>
    <row r="100" spans="1:8" ht="13.5">
      <c r="A100" s="1017"/>
      <c r="B100" s="48"/>
      <c r="E100" s="164"/>
      <c r="F100" s="164"/>
      <c r="G100" s="51"/>
      <c r="H100" s="109"/>
    </row>
    <row r="101" spans="1:8" ht="13.5">
      <c r="A101" s="1017"/>
      <c r="B101" s="48"/>
      <c r="E101" s="164"/>
      <c r="F101" s="164"/>
      <c r="G101" s="51"/>
      <c r="H101" s="109"/>
    </row>
    <row r="102" spans="1:8" ht="13.5">
      <c r="A102" s="1017"/>
      <c r="B102" s="48"/>
      <c r="E102" s="164"/>
      <c r="F102" s="164"/>
      <c r="G102" s="51"/>
      <c r="H102" s="109"/>
    </row>
    <row r="103" spans="1:7" ht="13.5">
      <c r="A103" s="1017"/>
      <c r="B103" s="48"/>
      <c r="E103" s="164"/>
      <c r="F103" s="164"/>
      <c r="G103" s="51"/>
    </row>
    <row r="104" spans="1:7" ht="13.5">
      <c r="A104" s="1017"/>
      <c r="B104" s="48"/>
      <c r="E104" s="164"/>
      <c r="F104" s="164"/>
      <c r="G104" s="51"/>
    </row>
    <row r="105" spans="1:7" ht="13.5">
      <c r="A105" s="1017"/>
      <c r="B105" s="48"/>
      <c r="E105" s="164"/>
      <c r="F105" s="164"/>
      <c r="G105" s="51"/>
    </row>
    <row r="106" spans="1:7" ht="13.5">
      <c r="A106" s="1017"/>
      <c r="B106" s="48"/>
      <c r="E106" s="164"/>
      <c r="F106" s="164"/>
      <c r="G106" s="51"/>
    </row>
    <row r="107" spans="1:7" ht="13.5">
      <c r="A107" s="144"/>
      <c r="B107" s="52"/>
      <c r="E107" s="164"/>
      <c r="F107" s="170"/>
      <c r="G107" s="53"/>
    </row>
    <row r="108" spans="1:7" ht="13.5">
      <c r="A108" s="144"/>
      <c r="B108" s="52"/>
      <c r="E108" s="164"/>
      <c r="F108" s="170"/>
      <c r="G108" s="53"/>
    </row>
    <row r="109" spans="1:7" ht="13.5">
      <c r="A109" s="144"/>
      <c r="B109" s="52"/>
      <c r="E109" s="164"/>
      <c r="F109" s="170"/>
      <c r="G109" s="53"/>
    </row>
    <row r="110" spans="1:7" ht="13.5">
      <c r="A110" s="144"/>
      <c r="B110" s="52"/>
      <c r="E110" s="164"/>
      <c r="F110" s="170"/>
      <c r="G110" s="53"/>
    </row>
    <row r="111" spans="1:7" ht="13.5">
      <c r="A111" s="144"/>
      <c r="B111" s="52"/>
      <c r="E111" s="164"/>
      <c r="F111" s="170"/>
      <c r="G111" s="53"/>
    </row>
    <row r="112" spans="1:7" ht="13.5">
      <c r="A112" s="144"/>
      <c r="B112" s="52"/>
      <c r="E112" s="164"/>
      <c r="F112" s="170"/>
      <c r="G112" s="53"/>
    </row>
    <row r="113" spans="1:7" ht="13.5">
      <c r="A113" s="144"/>
      <c r="B113" s="52"/>
      <c r="E113" s="164"/>
      <c r="F113" s="170"/>
      <c r="G113" s="53"/>
    </row>
    <row r="114" spans="1:7" ht="13.5">
      <c r="A114" s="144"/>
      <c r="B114" s="52"/>
      <c r="E114" s="164"/>
      <c r="F114" s="170"/>
      <c r="G114" s="53"/>
    </row>
    <row r="115" spans="1:7" ht="13.5">
      <c r="A115" s="144"/>
      <c r="B115" s="52"/>
      <c r="E115" s="164"/>
      <c r="F115" s="170"/>
      <c r="G115" s="53"/>
    </row>
    <row r="116" spans="1:7" ht="13.5">
      <c r="A116" s="144"/>
      <c r="B116" s="52"/>
      <c r="E116" s="164"/>
      <c r="F116" s="170"/>
      <c r="G116" s="53"/>
    </row>
    <row r="117" spans="1:7" ht="13.5">
      <c r="A117" s="144"/>
      <c r="B117" s="52"/>
      <c r="E117" s="164"/>
      <c r="F117" s="170"/>
      <c r="G117" s="53"/>
    </row>
    <row r="118" spans="1:7" ht="13.5">
      <c r="A118" s="144"/>
      <c r="B118" s="52"/>
      <c r="E118" s="164"/>
      <c r="F118" s="170"/>
      <c r="G118" s="53"/>
    </row>
    <row r="119" spans="1:7" ht="13.5">
      <c r="A119" s="144"/>
      <c r="B119" s="52"/>
      <c r="E119" s="164"/>
      <c r="F119" s="170"/>
      <c r="G119" s="53"/>
    </row>
  </sheetData>
  <sheetProtection/>
  <mergeCells count="22">
    <mergeCell ref="A97:A106"/>
    <mergeCell ref="A37:A41"/>
    <mergeCell ref="A42:A46"/>
    <mergeCell ref="A32:A36"/>
    <mergeCell ref="A53:A55"/>
    <mergeCell ref="A50:A52"/>
    <mergeCell ref="A47:A49"/>
    <mergeCell ref="A22:A26"/>
    <mergeCell ref="A17:A21"/>
    <mergeCell ref="A27:A31"/>
    <mergeCell ref="O22:P22"/>
    <mergeCell ref="O28:P28"/>
    <mergeCell ref="O29:P29"/>
    <mergeCell ref="A2:D2"/>
    <mergeCell ref="A3:B6"/>
    <mergeCell ref="A12:A16"/>
    <mergeCell ref="O14:P14"/>
    <mergeCell ref="E2:U2"/>
    <mergeCell ref="K3:R3"/>
    <mergeCell ref="A7:A11"/>
    <mergeCell ref="C3:C6"/>
    <mergeCell ref="D3:D6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scale="59" r:id="rId1"/>
  <rowBreaks count="1" manualBreakCount="1">
    <brk id="5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A293"/>
  <sheetViews>
    <sheetView tabSelected="1" view="pageBreakPreview" zoomScaleSheetLayoutView="100" zoomScalePageLayoutView="0" workbookViewId="0" topLeftCell="H292">
      <selection activeCell="R285" sqref="R285"/>
    </sheetView>
  </sheetViews>
  <sheetFormatPr defaultColWidth="9.00390625" defaultRowHeight="13.5"/>
  <cols>
    <col min="1" max="1" width="2.875" style="117" customWidth="1"/>
    <col min="2" max="2" width="16.75390625" style="117" customWidth="1"/>
    <col min="3" max="3" width="9.125" style="118" customWidth="1"/>
    <col min="4" max="6" width="9.00390625" style="54" customWidth="1"/>
    <col min="7" max="7" width="11.625" style="54" customWidth="1"/>
    <col min="8" max="8" width="26.625" style="119" customWidth="1"/>
    <col min="9" max="9" width="18.125" style="119" customWidth="1"/>
    <col min="10" max="10" width="8.625" style="120" customWidth="1"/>
    <col min="11" max="11" width="11.125" style="121" customWidth="1"/>
    <col min="12" max="12" width="11.125" style="122" customWidth="1"/>
    <col min="13" max="13" width="26.75390625" style="123" customWidth="1"/>
    <col min="14" max="14" width="11.125" style="121" customWidth="1"/>
    <col min="15" max="15" width="11.125" style="119" customWidth="1"/>
    <col min="16" max="16" width="10.25390625" style="119" customWidth="1"/>
    <col min="17" max="17" width="11.625" style="119" customWidth="1"/>
    <col min="24" max="24" width="22.125" style="0" customWidth="1"/>
  </cols>
  <sheetData>
    <row r="1" spans="1:17" s="54" customFormat="1" ht="18" customHeight="1">
      <c r="A1" s="1033" t="s">
        <v>1</v>
      </c>
      <c r="B1" s="1034"/>
      <c r="C1" s="1037" t="s">
        <v>291</v>
      </c>
      <c r="D1" s="1021" t="s">
        <v>430</v>
      </c>
      <c r="E1" s="1153" t="s">
        <v>431</v>
      </c>
      <c r="F1" s="1155" t="s">
        <v>432</v>
      </c>
      <c r="G1" s="1155" t="s">
        <v>433</v>
      </c>
      <c r="H1" s="1162" t="s">
        <v>434</v>
      </c>
      <c r="I1" s="1162" t="s">
        <v>435</v>
      </c>
      <c r="J1" s="1166" t="s">
        <v>292</v>
      </c>
      <c r="K1" s="1169" t="s">
        <v>293</v>
      </c>
      <c r="L1" s="1164" t="s">
        <v>436</v>
      </c>
      <c r="M1" s="1164"/>
      <c r="N1" s="1083" t="s">
        <v>295</v>
      </c>
      <c r="O1" s="1135"/>
      <c r="P1" s="1136"/>
      <c r="Q1" s="1137" t="s">
        <v>437</v>
      </c>
    </row>
    <row r="2" spans="1:20" s="54" customFormat="1" ht="18" customHeight="1">
      <c r="A2" s="1035"/>
      <c r="B2" s="1036"/>
      <c r="C2" s="1038"/>
      <c r="D2" s="1152"/>
      <c r="E2" s="1154"/>
      <c r="F2" s="1156"/>
      <c r="G2" s="1156"/>
      <c r="H2" s="1114"/>
      <c r="I2" s="1114"/>
      <c r="J2" s="1167"/>
      <c r="K2" s="1170"/>
      <c r="L2" s="612" t="s">
        <v>294</v>
      </c>
      <c r="M2" s="319" t="s">
        <v>296</v>
      </c>
      <c r="N2" s="613" t="s">
        <v>297</v>
      </c>
      <c r="O2" s="614" t="s">
        <v>438</v>
      </c>
      <c r="P2" s="615" t="s">
        <v>439</v>
      </c>
      <c r="Q2" s="1114"/>
      <c r="S2" s="439"/>
      <c r="T2" s="439"/>
    </row>
    <row r="3" spans="1:26" s="54" customFormat="1" ht="18" customHeight="1">
      <c r="A3" s="1149" t="s">
        <v>58</v>
      </c>
      <c r="B3" s="995" t="s">
        <v>327</v>
      </c>
      <c r="C3" s="1157">
        <v>41534</v>
      </c>
      <c r="D3" s="779" t="s">
        <v>448</v>
      </c>
      <c r="E3" s="890" t="s">
        <v>454</v>
      </c>
      <c r="F3" s="879" t="s">
        <v>535</v>
      </c>
      <c r="G3" s="880" t="s">
        <v>535</v>
      </c>
      <c r="H3" s="357" t="s">
        <v>549</v>
      </c>
      <c r="I3" s="358" t="s">
        <v>550</v>
      </c>
      <c r="J3" s="359">
        <v>3</v>
      </c>
      <c r="K3" s="851">
        <f>459/1000</f>
        <v>0.459</v>
      </c>
      <c r="L3" s="852" t="s">
        <v>320</v>
      </c>
      <c r="M3" s="30" t="s">
        <v>175</v>
      </c>
      <c r="N3" s="847">
        <f>SUM(O3,P3)</f>
        <v>13.9</v>
      </c>
      <c r="O3" s="853">
        <v>4.1</v>
      </c>
      <c r="P3" s="854">
        <v>9.8</v>
      </c>
      <c r="Q3" s="855" t="s">
        <v>551</v>
      </c>
      <c r="R3" s="617"/>
      <c r="S3" s="618"/>
      <c r="T3" s="625"/>
      <c r="U3" s="304"/>
      <c r="V3" s="304"/>
      <c r="W3" s="304"/>
      <c r="X3" s="109"/>
      <c r="Y3" s="320"/>
      <c r="Z3" s="320"/>
    </row>
    <row r="4" spans="1:26" s="54" customFormat="1" ht="18" customHeight="1">
      <c r="A4" s="1150"/>
      <c r="B4" s="1031"/>
      <c r="C4" s="1158"/>
      <c r="D4" s="779" t="s">
        <v>448</v>
      </c>
      <c r="E4" s="890" t="s">
        <v>454</v>
      </c>
      <c r="F4" s="879" t="s">
        <v>535</v>
      </c>
      <c r="G4" s="880" t="s">
        <v>535</v>
      </c>
      <c r="H4" s="827" t="s">
        <v>552</v>
      </c>
      <c r="I4" s="828" t="s">
        <v>553</v>
      </c>
      <c r="J4" s="376">
        <v>5</v>
      </c>
      <c r="K4" s="377">
        <f>56.7/1000</f>
        <v>0.0567</v>
      </c>
      <c r="L4" s="378" t="s">
        <v>328</v>
      </c>
      <c r="M4" s="829" t="s">
        <v>318</v>
      </c>
      <c r="N4" s="850">
        <f>SUM(O4,P4)</f>
        <v>16.1</v>
      </c>
      <c r="O4" s="830">
        <v>5.1</v>
      </c>
      <c r="P4" s="831">
        <v>11</v>
      </c>
      <c r="Q4" s="630" t="s">
        <v>538</v>
      </c>
      <c r="R4" s="617"/>
      <c r="S4" s="617"/>
      <c r="T4" s="625"/>
      <c r="U4" s="304"/>
      <c r="V4" s="304"/>
      <c r="W4" s="304"/>
      <c r="X4" s="48"/>
      <c r="Y4" s="320"/>
      <c r="Z4" s="320"/>
    </row>
    <row r="5" spans="1:26" s="54" customFormat="1" ht="18" customHeight="1">
      <c r="A5" s="1150"/>
      <c r="B5" s="1031"/>
      <c r="C5" s="1158"/>
      <c r="D5" s="781" t="s">
        <v>448</v>
      </c>
      <c r="E5" s="891" t="s">
        <v>449</v>
      </c>
      <c r="F5" s="892" t="s">
        <v>554</v>
      </c>
      <c r="G5" s="893" t="s">
        <v>555</v>
      </c>
      <c r="H5" s="361" t="s">
        <v>556</v>
      </c>
      <c r="I5" s="362" t="s">
        <v>557</v>
      </c>
      <c r="J5" s="363">
        <v>1</v>
      </c>
      <c r="K5" s="364">
        <f>491.6/1000</f>
        <v>0.49160000000000004</v>
      </c>
      <c r="L5" s="365" t="s">
        <v>328</v>
      </c>
      <c r="M5" s="34" t="s">
        <v>175</v>
      </c>
      <c r="N5" s="819">
        <f>SUM(O5,P5)</f>
        <v>38</v>
      </c>
      <c r="O5" s="696">
        <v>12</v>
      </c>
      <c r="P5" s="681">
        <v>26</v>
      </c>
      <c r="Q5" s="632" t="s">
        <v>532</v>
      </c>
      <c r="R5" s="617"/>
      <c r="S5" s="617"/>
      <c r="T5" s="625"/>
      <c r="U5" s="304"/>
      <c r="V5" s="304"/>
      <c r="W5" s="304"/>
      <c r="X5" s="48"/>
      <c r="Y5" s="320"/>
      <c r="Z5" s="320"/>
    </row>
    <row r="6" spans="1:26" s="54" customFormat="1" ht="18" customHeight="1">
      <c r="A6" s="1150"/>
      <c r="B6" s="1030" t="s">
        <v>480</v>
      </c>
      <c r="C6" s="1165">
        <v>41510</v>
      </c>
      <c r="D6" s="764" t="s">
        <v>440</v>
      </c>
      <c r="E6" s="894" t="s">
        <v>558</v>
      </c>
      <c r="F6" s="894" t="s">
        <v>558</v>
      </c>
      <c r="G6" s="895" t="s">
        <v>558</v>
      </c>
      <c r="H6" s="322" t="s">
        <v>558</v>
      </c>
      <c r="I6" s="323" t="s">
        <v>298</v>
      </c>
      <c r="J6" s="324" t="s">
        <v>175</v>
      </c>
      <c r="K6" s="325">
        <f>62.7289/1000</f>
        <v>0.0627289</v>
      </c>
      <c r="L6" s="326" t="s">
        <v>175</v>
      </c>
      <c r="M6" s="327" t="s">
        <v>175</v>
      </c>
      <c r="N6" s="816">
        <f>SUM(O6,P6)</f>
        <v>460</v>
      </c>
      <c r="O6" s="697">
        <v>140</v>
      </c>
      <c r="P6" s="682">
        <v>320</v>
      </c>
      <c r="Q6" s="628" t="s">
        <v>538</v>
      </c>
      <c r="R6" s="618"/>
      <c r="S6" s="618"/>
      <c r="T6" s="625"/>
      <c r="U6" s="625"/>
      <c r="V6" s="625"/>
      <c r="W6" s="625"/>
      <c r="X6" s="48"/>
      <c r="Y6" s="320"/>
      <c r="Z6" s="124"/>
    </row>
    <row r="7" spans="1:26" s="54" customFormat="1" ht="18" customHeight="1">
      <c r="A7" s="1150"/>
      <c r="B7" s="1031"/>
      <c r="C7" s="1161"/>
      <c r="D7" s="765" t="s">
        <v>441</v>
      </c>
      <c r="E7" s="766" t="s">
        <v>442</v>
      </c>
      <c r="F7" s="639" t="s">
        <v>507</v>
      </c>
      <c r="G7" s="369" t="s">
        <v>508</v>
      </c>
      <c r="H7" s="328" t="s">
        <v>509</v>
      </c>
      <c r="I7" s="329" t="s">
        <v>508</v>
      </c>
      <c r="J7" s="1075">
        <v>46</v>
      </c>
      <c r="K7" s="1078">
        <f>13.3/1000</f>
        <v>0.013300000000000001</v>
      </c>
      <c r="L7" s="1069" t="s">
        <v>300</v>
      </c>
      <c r="M7" s="1060" t="s">
        <v>175</v>
      </c>
      <c r="N7" s="1142">
        <f>SUM(O7,P7)</f>
        <v>131</v>
      </c>
      <c r="O7" s="1159">
        <v>42</v>
      </c>
      <c r="P7" s="1146">
        <v>89</v>
      </c>
      <c r="Q7" s="1132" t="s">
        <v>510</v>
      </c>
      <c r="R7" s="618"/>
      <c r="S7" s="618"/>
      <c r="T7" s="625"/>
      <c r="U7" s="304"/>
      <c r="V7" s="304"/>
      <c r="W7" s="304"/>
      <c r="X7" s="48"/>
      <c r="Y7" s="1063"/>
      <c r="Z7" s="1130"/>
    </row>
    <row r="8" spans="1:26" s="54" customFormat="1" ht="18" customHeight="1">
      <c r="A8" s="1150"/>
      <c r="B8" s="1031"/>
      <c r="C8" s="1161"/>
      <c r="D8" s="765" t="s">
        <v>441</v>
      </c>
      <c r="E8" s="766" t="s">
        <v>442</v>
      </c>
      <c r="F8" s="639" t="s">
        <v>507</v>
      </c>
      <c r="G8" s="369" t="s">
        <v>508</v>
      </c>
      <c r="H8" s="328" t="s">
        <v>511</v>
      </c>
      <c r="I8" s="330" t="s">
        <v>512</v>
      </c>
      <c r="J8" s="1077"/>
      <c r="K8" s="1080"/>
      <c r="L8" s="1071"/>
      <c r="M8" s="1072"/>
      <c r="N8" s="1144"/>
      <c r="O8" s="1160"/>
      <c r="P8" s="1147"/>
      <c r="Q8" s="1133"/>
      <c r="R8" s="618"/>
      <c r="S8" s="618"/>
      <c r="T8" s="625"/>
      <c r="U8" s="304"/>
      <c r="V8" s="304"/>
      <c r="W8" s="304"/>
      <c r="X8" s="48"/>
      <c r="Y8" s="1064"/>
      <c r="Z8" s="1130"/>
    </row>
    <row r="9" spans="1:26" s="54" customFormat="1" ht="18" customHeight="1">
      <c r="A9" s="1150"/>
      <c r="B9" s="1031"/>
      <c r="C9" s="1161"/>
      <c r="D9" s="765" t="s">
        <v>441</v>
      </c>
      <c r="E9" s="766" t="s">
        <v>442</v>
      </c>
      <c r="F9" s="639" t="s">
        <v>513</v>
      </c>
      <c r="G9" s="369" t="s">
        <v>514</v>
      </c>
      <c r="H9" s="328" t="s">
        <v>310</v>
      </c>
      <c r="I9" s="330" t="s">
        <v>515</v>
      </c>
      <c r="J9" s="1138">
        <v>141</v>
      </c>
      <c r="K9" s="1139">
        <f>58.84/1000</f>
        <v>0.05884</v>
      </c>
      <c r="L9" s="1140" t="s">
        <v>300</v>
      </c>
      <c r="M9" s="1141" t="s">
        <v>175</v>
      </c>
      <c r="N9" s="1142">
        <f>SUM(O9,P9)</f>
        <v>44</v>
      </c>
      <c r="O9" s="1131">
        <v>15</v>
      </c>
      <c r="P9" s="1134">
        <v>29</v>
      </c>
      <c r="Q9" s="1132" t="s">
        <v>516</v>
      </c>
      <c r="R9" s="617"/>
      <c r="S9" s="618"/>
      <c r="T9" s="625"/>
      <c r="U9" s="304"/>
      <c r="V9" s="304"/>
      <c r="W9" s="304"/>
      <c r="X9" s="48"/>
      <c r="Y9" s="1063"/>
      <c r="Z9" s="1130"/>
    </row>
    <row r="10" spans="1:26" s="54" customFormat="1" ht="18" customHeight="1">
      <c r="A10" s="1150"/>
      <c r="B10" s="1031"/>
      <c r="C10" s="1161"/>
      <c r="D10" s="765" t="s">
        <v>441</v>
      </c>
      <c r="E10" s="766" t="s">
        <v>442</v>
      </c>
      <c r="F10" s="639" t="s">
        <v>513</v>
      </c>
      <c r="G10" s="369" t="s">
        <v>517</v>
      </c>
      <c r="H10" s="328" t="s">
        <v>309</v>
      </c>
      <c r="I10" s="330" t="s">
        <v>517</v>
      </c>
      <c r="J10" s="1138"/>
      <c r="K10" s="1139"/>
      <c r="L10" s="1140"/>
      <c r="M10" s="1141"/>
      <c r="N10" s="1143"/>
      <c r="O10" s="1131"/>
      <c r="P10" s="1134"/>
      <c r="Q10" s="1168"/>
      <c r="R10" s="617"/>
      <c r="S10" s="618"/>
      <c r="T10" s="625"/>
      <c r="U10" s="304"/>
      <c r="V10" s="304"/>
      <c r="W10" s="304"/>
      <c r="X10" s="48"/>
      <c r="Y10" s="1064"/>
      <c r="Z10" s="1130"/>
    </row>
    <row r="11" spans="1:26" s="54" customFormat="1" ht="18" customHeight="1">
      <c r="A11" s="1150"/>
      <c r="B11" s="1031"/>
      <c r="C11" s="1161"/>
      <c r="D11" s="765" t="s">
        <v>441</v>
      </c>
      <c r="E11" s="766" t="s">
        <v>442</v>
      </c>
      <c r="F11" s="639" t="s">
        <v>513</v>
      </c>
      <c r="G11" s="369" t="s">
        <v>518</v>
      </c>
      <c r="H11" s="328" t="s">
        <v>304</v>
      </c>
      <c r="I11" s="330" t="s">
        <v>519</v>
      </c>
      <c r="J11" s="1138"/>
      <c r="K11" s="1139"/>
      <c r="L11" s="1140"/>
      <c r="M11" s="1141"/>
      <c r="N11" s="1143"/>
      <c r="O11" s="1131"/>
      <c r="P11" s="1134"/>
      <c r="Q11" s="1168"/>
      <c r="R11" s="617"/>
      <c r="S11" s="618"/>
      <c r="T11" s="625"/>
      <c r="U11" s="304"/>
      <c r="V11" s="304"/>
      <c r="W11" s="304"/>
      <c r="X11" s="48"/>
      <c r="Y11" s="1064"/>
      <c r="Z11" s="1130"/>
    </row>
    <row r="12" spans="1:26" s="54" customFormat="1" ht="18" customHeight="1">
      <c r="A12" s="1150"/>
      <c r="B12" s="1031"/>
      <c r="C12" s="1161"/>
      <c r="D12" s="765" t="s">
        <v>441</v>
      </c>
      <c r="E12" s="766" t="s">
        <v>442</v>
      </c>
      <c r="F12" s="639" t="s">
        <v>513</v>
      </c>
      <c r="G12" s="369" t="s">
        <v>518</v>
      </c>
      <c r="H12" s="328" t="s">
        <v>305</v>
      </c>
      <c r="I12" s="330" t="s">
        <v>306</v>
      </c>
      <c r="J12" s="1138"/>
      <c r="K12" s="1139"/>
      <c r="L12" s="1140"/>
      <c r="M12" s="1141"/>
      <c r="N12" s="1143"/>
      <c r="O12" s="1131"/>
      <c r="P12" s="1134"/>
      <c r="Q12" s="1168"/>
      <c r="R12" s="617"/>
      <c r="S12" s="618"/>
      <c r="T12" s="625"/>
      <c r="U12" s="304"/>
      <c r="V12" s="304"/>
      <c r="W12" s="304"/>
      <c r="X12" s="48"/>
      <c r="Y12" s="1064"/>
      <c r="Z12" s="1130"/>
    </row>
    <row r="13" spans="1:26" s="54" customFormat="1" ht="18" customHeight="1">
      <c r="A13" s="1150"/>
      <c r="B13" s="1031"/>
      <c r="C13" s="1161"/>
      <c r="D13" s="765" t="s">
        <v>441</v>
      </c>
      <c r="E13" s="766" t="s">
        <v>442</v>
      </c>
      <c r="F13" s="639" t="s">
        <v>513</v>
      </c>
      <c r="G13" s="369" t="s">
        <v>518</v>
      </c>
      <c r="H13" s="328" t="s">
        <v>520</v>
      </c>
      <c r="I13" s="330" t="s">
        <v>521</v>
      </c>
      <c r="J13" s="1138"/>
      <c r="K13" s="1139"/>
      <c r="L13" s="1140"/>
      <c r="M13" s="1141"/>
      <c r="N13" s="1143">
        <f aca="true" t="shared" si="0" ref="N13:N20">SUM(O13,S13)</f>
        <v>0</v>
      </c>
      <c r="O13" s="1145"/>
      <c r="P13" s="1148"/>
      <c r="Q13" s="1168"/>
      <c r="R13" s="626"/>
      <c r="S13" s="164"/>
      <c r="T13" s="625"/>
      <c r="U13" s="304"/>
      <c r="V13" s="304"/>
      <c r="W13" s="304"/>
      <c r="X13" s="48"/>
      <c r="Y13" s="1064"/>
      <c r="Z13" s="1130"/>
    </row>
    <row r="14" spans="1:26" s="54" customFormat="1" ht="18" customHeight="1">
      <c r="A14" s="1150"/>
      <c r="B14" s="1031"/>
      <c r="C14" s="1161"/>
      <c r="D14" s="765" t="s">
        <v>441</v>
      </c>
      <c r="E14" s="766" t="s">
        <v>442</v>
      </c>
      <c r="F14" s="639" t="s">
        <v>513</v>
      </c>
      <c r="G14" s="369" t="s">
        <v>518</v>
      </c>
      <c r="H14" s="328" t="s">
        <v>307</v>
      </c>
      <c r="I14" s="330" t="s">
        <v>522</v>
      </c>
      <c r="J14" s="1138"/>
      <c r="K14" s="1139"/>
      <c r="L14" s="1140"/>
      <c r="M14" s="1141"/>
      <c r="N14" s="1143">
        <f t="shared" si="0"/>
        <v>0</v>
      </c>
      <c r="O14" s="1145"/>
      <c r="P14" s="1148"/>
      <c r="Q14" s="1168"/>
      <c r="R14" s="626"/>
      <c r="S14" s="164"/>
      <c r="T14" s="625"/>
      <c r="U14" s="304"/>
      <c r="V14" s="304"/>
      <c r="W14" s="304"/>
      <c r="X14" s="48"/>
      <c r="Y14" s="1064"/>
      <c r="Z14" s="1130"/>
    </row>
    <row r="15" spans="1:26" s="54" customFormat="1" ht="18" customHeight="1">
      <c r="A15" s="1150"/>
      <c r="B15" s="1031"/>
      <c r="C15" s="1161"/>
      <c r="D15" s="765" t="s">
        <v>441</v>
      </c>
      <c r="E15" s="766" t="s">
        <v>442</v>
      </c>
      <c r="F15" s="639" t="s">
        <v>513</v>
      </c>
      <c r="G15" s="369" t="s">
        <v>518</v>
      </c>
      <c r="H15" s="328" t="s">
        <v>308</v>
      </c>
      <c r="I15" s="329" t="s">
        <v>523</v>
      </c>
      <c r="J15" s="1138"/>
      <c r="K15" s="1139"/>
      <c r="L15" s="1140"/>
      <c r="M15" s="1141"/>
      <c r="N15" s="1143">
        <f t="shared" si="0"/>
        <v>0</v>
      </c>
      <c r="O15" s="1145"/>
      <c r="P15" s="1148"/>
      <c r="Q15" s="1168"/>
      <c r="R15" s="626"/>
      <c r="S15" s="164"/>
      <c r="T15" s="625"/>
      <c r="U15" s="304"/>
      <c r="V15" s="304"/>
      <c r="W15" s="304"/>
      <c r="X15" s="48"/>
      <c r="Y15" s="1064"/>
      <c r="Z15" s="1130"/>
    </row>
    <row r="16" spans="1:26" s="54" customFormat="1" ht="18" customHeight="1">
      <c r="A16" s="1150"/>
      <c r="B16" s="1031"/>
      <c r="C16" s="1161"/>
      <c r="D16" s="765" t="s">
        <v>441</v>
      </c>
      <c r="E16" s="766" t="s">
        <v>442</v>
      </c>
      <c r="F16" s="639" t="s">
        <v>513</v>
      </c>
      <c r="G16" s="509" t="s">
        <v>524</v>
      </c>
      <c r="H16" s="328" t="s">
        <v>299</v>
      </c>
      <c r="I16" s="330" t="s">
        <v>525</v>
      </c>
      <c r="J16" s="1138"/>
      <c r="K16" s="1139"/>
      <c r="L16" s="1140"/>
      <c r="M16" s="1141"/>
      <c r="N16" s="1143">
        <f t="shared" si="0"/>
        <v>0</v>
      </c>
      <c r="O16" s="1145"/>
      <c r="P16" s="1148"/>
      <c r="Q16" s="1168"/>
      <c r="R16" s="626"/>
      <c r="S16" s="164"/>
      <c r="T16" s="625"/>
      <c r="U16" s="304"/>
      <c r="V16" s="304"/>
      <c r="W16" s="304"/>
      <c r="X16" s="48"/>
      <c r="Y16" s="1064"/>
      <c r="Z16" s="1130"/>
    </row>
    <row r="17" spans="1:26" s="54" customFormat="1" ht="18" customHeight="1">
      <c r="A17" s="1150"/>
      <c r="B17" s="1031"/>
      <c r="C17" s="1161"/>
      <c r="D17" s="765" t="s">
        <v>441</v>
      </c>
      <c r="E17" s="766" t="s">
        <v>442</v>
      </c>
      <c r="F17" s="639" t="s">
        <v>513</v>
      </c>
      <c r="G17" s="770" t="s">
        <v>524</v>
      </c>
      <c r="H17" s="328" t="s">
        <v>301</v>
      </c>
      <c r="I17" s="330" t="s">
        <v>526</v>
      </c>
      <c r="J17" s="1138"/>
      <c r="K17" s="1139"/>
      <c r="L17" s="1140"/>
      <c r="M17" s="1141"/>
      <c r="N17" s="1143">
        <f t="shared" si="0"/>
        <v>0</v>
      </c>
      <c r="O17" s="1145"/>
      <c r="P17" s="1148"/>
      <c r="Q17" s="1168"/>
      <c r="R17" s="626"/>
      <c r="S17" s="164"/>
      <c r="T17" s="625"/>
      <c r="U17" s="304"/>
      <c r="V17" s="304"/>
      <c r="W17" s="304"/>
      <c r="X17" s="48"/>
      <c r="Y17" s="1064"/>
      <c r="Z17" s="1130"/>
    </row>
    <row r="18" spans="1:26" s="54" customFormat="1" ht="18" customHeight="1">
      <c r="A18" s="1150"/>
      <c r="B18" s="1031"/>
      <c r="C18" s="1161"/>
      <c r="D18" s="767" t="s">
        <v>441</v>
      </c>
      <c r="E18" s="768" t="s">
        <v>442</v>
      </c>
      <c r="F18" s="769" t="s">
        <v>513</v>
      </c>
      <c r="G18" s="770" t="s">
        <v>524</v>
      </c>
      <c r="H18" s="328" t="s">
        <v>302</v>
      </c>
      <c r="I18" s="330" t="s">
        <v>527</v>
      </c>
      <c r="J18" s="1138"/>
      <c r="K18" s="1139"/>
      <c r="L18" s="1140"/>
      <c r="M18" s="1141"/>
      <c r="N18" s="1143">
        <f t="shared" si="0"/>
        <v>0</v>
      </c>
      <c r="O18" s="1145"/>
      <c r="P18" s="1148"/>
      <c r="Q18" s="1168"/>
      <c r="R18" s="626"/>
      <c r="S18" s="164"/>
      <c r="T18" s="625"/>
      <c r="U18" s="304"/>
      <c r="V18" s="304"/>
      <c r="W18" s="304"/>
      <c r="X18" s="48"/>
      <c r="Y18" s="1064"/>
      <c r="Z18" s="1130"/>
    </row>
    <row r="19" spans="1:26" s="54" customFormat="1" ht="18" customHeight="1">
      <c r="A19" s="1150"/>
      <c r="B19" s="1031"/>
      <c r="C19" s="1161"/>
      <c r="D19" s="765" t="s">
        <v>441</v>
      </c>
      <c r="E19" s="766" t="s">
        <v>442</v>
      </c>
      <c r="F19" s="639" t="s">
        <v>513</v>
      </c>
      <c r="G19" s="771" t="s">
        <v>524</v>
      </c>
      <c r="H19" s="328" t="s">
        <v>303</v>
      </c>
      <c r="I19" s="330" t="s">
        <v>528</v>
      </c>
      <c r="J19" s="1138"/>
      <c r="K19" s="1139"/>
      <c r="L19" s="1140"/>
      <c r="M19" s="1141"/>
      <c r="N19" s="1143">
        <f t="shared" si="0"/>
        <v>0</v>
      </c>
      <c r="O19" s="1145"/>
      <c r="P19" s="1148"/>
      <c r="Q19" s="1168"/>
      <c r="R19" s="626"/>
      <c r="S19" s="164"/>
      <c r="T19" s="625"/>
      <c r="U19" s="304"/>
      <c r="V19" s="304"/>
      <c r="W19" s="304"/>
      <c r="X19" s="48"/>
      <c r="Y19" s="1064"/>
      <c r="Z19" s="1130"/>
    </row>
    <row r="20" spans="1:26" s="54" customFormat="1" ht="18" customHeight="1">
      <c r="A20" s="1150"/>
      <c r="B20" s="1031"/>
      <c r="C20" s="1161"/>
      <c r="D20" s="767" t="s">
        <v>441</v>
      </c>
      <c r="E20" s="768" t="s">
        <v>442</v>
      </c>
      <c r="F20" s="769" t="s">
        <v>513</v>
      </c>
      <c r="G20" s="369" t="s">
        <v>513</v>
      </c>
      <c r="H20" s="328" t="s">
        <v>529</v>
      </c>
      <c r="I20" s="330" t="s">
        <v>311</v>
      </c>
      <c r="J20" s="1138"/>
      <c r="K20" s="1139"/>
      <c r="L20" s="1140"/>
      <c r="M20" s="1141"/>
      <c r="N20" s="1144">
        <f t="shared" si="0"/>
        <v>0</v>
      </c>
      <c r="O20" s="1145"/>
      <c r="P20" s="1148"/>
      <c r="Q20" s="1133"/>
      <c r="R20" s="626"/>
      <c r="S20" s="164"/>
      <c r="T20" s="625"/>
      <c r="U20" s="304"/>
      <c r="V20" s="304"/>
      <c r="W20" s="304"/>
      <c r="X20" s="48"/>
      <c r="Y20" s="1064"/>
      <c r="Z20" s="1130"/>
    </row>
    <row r="21" spans="1:26" s="54" customFormat="1" ht="18" customHeight="1">
      <c r="A21" s="1150"/>
      <c r="B21" s="1031"/>
      <c r="C21" s="1161"/>
      <c r="D21" s="772" t="s">
        <v>441</v>
      </c>
      <c r="E21" s="789" t="s">
        <v>443</v>
      </c>
      <c r="F21" s="879" t="s">
        <v>444</v>
      </c>
      <c r="G21" s="880" t="s">
        <v>530</v>
      </c>
      <c r="H21" s="335" t="s">
        <v>531</v>
      </c>
      <c r="I21" s="336" t="s">
        <v>312</v>
      </c>
      <c r="J21" s="337">
        <v>725</v>
      </c>
      <c r="K21" s="338">
        <f>94.1/1000</f>
        <v>0.09409999999999999</v>
      </c>
      <c r="L21" s="339" t="s">
        <v>313</v>
      </c>
      <c r="M21" s="33" t="s">
        <v>175</v>
      </c>
      <c r="N21" s="817">
        <f aca="true" t="shared" si="1" ref="N21:N29">SUM(O21,P21)</f>
        <v>40</v>
      </c>
      <c r="O21" s="685">
        <v>13</v>
      </c>
      <c r="P21" s="672">
        <v>27</v>
      </c>
      <c r="Q21" s="630" t="s">
        <v>532</v>
      </c>
      <c r="R21" s="617"/>
      <c r="S21" s="617"/>
      <c r="T21" s="625"/>
      <c r="U21" s="304"/>
      <c r="V21" s="304"/>
      <c r="W21" s="304"/>
      <c r="X21" s="48"/>
      <c r="Y21" s="320"/>
      <c r="Z21" s="320"/>
    </row>
    <row r="22" spans="1:26" s="54" customFormat="1" ht="18" customHeight="1">
      <c r="A22" s="1150"/>
      <c r="B22" s="1031"/>
      <c r="C22" s="1161"/>
      <c r="D22" s="772" t="s">
        <v>445</v>
      </c>
      <c r="E22" s="789" t="s">
        <v>446</v>
      </c>
      <c r="F22" s="879" t="s">
        <v>447</v>
      </c>
      <c r="G22" s="880" t="s">
        <v>533</v>
      </c>
      <c r="H22" s="335" t="s">
        <v>534</v>
      </c>
      <c r="I22" s="336" t="s">
        <v>533</v>
      </c>
      <c r="J22" s="337">
        <v>26</v>
      </c>
      <c r="K22" s="338">
        <f>42.6/1000</f>
        <v>0.0426</v>
      </c>
      <c r="L22" s="339" t="s">
        <v>313</v>
      </c>
      <c r="M22" s="33" t="s">
        <v>175</v>
      </c>
      <c r="N22" s="817">
        <f t="shared" si="1"/>
        <v>15.6</v>
      </c>
      <c r="O22" s="686">
        <v>4.6</v>
      </c>
      <c r="P22" s="672">
        <v>11</v>
      </c>
      <c r="Q22" s="630" t="s">
        <v>532</v>
      </c>
      <c r="R22" s="617"/>
      <c r="S22" s="618"/>
      <c r="T22" s="625"/>
      <c r="U22" s="304"/>
      <c r="V22" s="304"/>
      <c r="W22" s="304"/>
      <c r="X22" s="48"/>
      <c r="Y22" s="320"/>
      <c r="Z22" s="320"/>
    </row>
    <row r="23" spans="1:26" s="54" customFormat="1" ht="18" customHeight="1">
      <c r="A23" s="1150"/>
      <c r="B23" s="1031"/>
      <c r="C23" s="1161"/>
      <c r="D23" s="772" t="s">
        <v>448</v>
      </c>
      <c r="E23" s="789" t="s">
        <v>449</v>
      </c>
      <c r="F23" s="879" t="s">
        <v>535</v>
      </c>
      <c r="G23" s="880" t="s">
        <v>535</v>
      </c>
      <c r="H23" s="335" t="s">
        <v>536</v>
      </c>
      <c r="I23" s="340" t="s">
        <v>537</v>
      </c>
      <c r="J23" s="337">
        <v>15</v>
      </c>
      <c r="K23" s="338">
        <f>46.2/1000</f>
        <v>0.046200000000000005</v>
      </c>
      <c r="L23" s="339" t="s">
        <v>317</v>
      </c>
      <c r="M23" s="340" t="s">
        <v>318</v>
      </c>
      <c r="N23" s="817">
        <f t="shared" si="1"/>
        <v>18.8</v>
      </c>
      <c r="O23" s="686">
        <v>5.8</v>
      </c>
      <c r="P23" s="672">
        <v>13</v>
      </c>
      <c r="Q23" s="630" t="s">
        <v>538</v>
      </c>
      <c r="R23" s="617"/>
      <c r="S23" s="618"/>
      <c r="T23" s="625"/>
      <c r="U23" s="304"/>
      <c r="V23" s="304"/>
      <c r="W23" s="304"/>
      <c r="X23" s="109"/>
      <c r="Y23" s="320"/>
      <c r="Z23" s="320"/>
    </row>
    <row r="24" spans="1:26" s="54" customFormat="1" ht="18" customHeight="1">
      <c r="A24" s="1150"/>
      <c r="B24" s="1031"/>
      <c r="C24" s="1161"/>
      <c r="D24" s="772" t="s">
        <v>448</v>
      </c>
      <c r="E24" s="789" t="s">
        <v>449</v>
      </c>
      <c r="F24" s="879" t="s">
        <v>535</v>
      </c>
      <c r="G24" s="880" t="s">
        <v>535</v>
      </c>
      <c r="H24" s="335" t="s">
        <v>539</v>
      </c>
      <c r="I24" s="336" t="s">
        <v>319</v>
      </c>
      <c r="J24" s="337">
        <v>15</v>
      </c>
      <c r="K24" s="341">
        <f>288.1/1000</f>
        <v>0.2881</v>
      </c>
      <c r="L24" s="342" t="s">
        <v>320</v>
      </c>
      <c r="M24" s="340" t="s">
        <v>318</v>
      </c>
      <c r="N24" s="817">
        <f t="shared" si="1"/>
        <v>69</v>
      </c>
      <c r="O24" s="685">
        <v>21</v>
      </c>
      <c r="P24" s="672">
        <v>48</v>
      </c>
      <c r="Q24" s="630" t="s">
        <v>538</v>
      </c>
      <c r="R24" s="617"/>
      <c r="S24" s="617"/>
      <c r="T24" s="625"/>
      <c r="U24" s="304"/>
      <c r="V24" s="304"/>
      <c r="W24" s="304"/>
      <c r="X24" s="109"/>
      <c r="Y24" s="320"/>
      <c r="Z24" s="320"/>
    </row>
    <row r="25" spans="1:26" s="54" customFormat="1" ht="18" customHeight="1">
      <c r="A25" s="1150"/>
      <c r="B25" s="1031"/>
      <c r="C25" s="1161"/>
      <c r="D25" s="772" t="s">
        <v>448</v>
      </c>
      <c r="E25" s="789" t="s">
        <v>449</v>
      </c>
      <c r="F25" s="879" t="s">
        <v>535</v>
      </c>
      <c r="G25" s="880" t="s">
        <v>540</v>
      </c>
      <c r="H25" s="335" t="s">
        <v>314</v>
      </c>
      <c r="I25" s="336" t="s">
        <v>315</v>
      </c>
      <c r="J25" s="337">
        <v>94</v>
      </c>
      <c r="K25" s="338">
        <f>68.5/1000</f>
        <v>0.0685</v>
      </c>
      <c r="L25" s="339" t="s">
        <v>316</v>
      </c>
      <c r="M25" s="33" t="s">
        <v>175</v>
      </c>
      <c r="N25" s="817">
        <f t="shared" si="1"/>
        <v>18.7</v>
      </c>
      <c r="O25" s="686">
        <v>5.7</v>
      </c>
      <c r="P25" s="672">
        <v>13</v>
      </c>
      <c r="Q25" s="630" t="s">
        <v>541</v>
      </c>
      <c r="R25" s="617"/>
      <c r="S25" s="617"/>
      <c r="T25" s="625"/>
      <c r="U25" s="304"/>
      <c r="V25" s="304"/>
      <c r="W25" s="304"/>
      <c r="X25" s="109"/>
      <c r="Y25" s="320"/>
      <c r="Z25" s="320"/>
    </row>
    <row r="26" spans="1:26" s="54" customFormat="1" ht="18" customHeight="1">
      <c r="A26" s="1150"/>
      <c r="B26" s="1031"/>
      <c r="C26" s="1161"/>
      <c r="D26" s="773" t="s">
        <v>448</v>
      </c>
      <c r="E26" s="881" t="s">
        <v>449</v>
      </c>
      <c r="F26" s="637" t="s">
        <v>542</v>
      </c>
      <c r="G26" s="882" t="s">
        <v>542</v>
      </c>
      <c r="H26" s="335" t="s">
        <v>543</v>
      </c>
      <c r="I26" s="336" t="s">
        <v>544</v>
      </c>
      <c r="J26" s="337">
        <v>3</v>
      </c>
      <c r="K26" s="341">
        <f>96.5/1000</f>
        <v>0.0965</v>
      </c>
      <c r="L26" s="342" t="s">
        <v>316</v>
      </c>
      <c r="M26" s="340" t="s">
        <v>321</v>
      </c>
      <c r="N26" s="817">
        <f t="shared" si="1"/>
        <v>41</v>
      </c>
      <c r="O26" s="685">
        <v>13</v>
      </c>
      <c r="P26" s="672">
        <v>28</v>
      </c>
      <c r="Q26" s="630" t="s">
        <v>510</v>
      </c>
      <c r="R26" s="617"/>
      <c r="S26" s="618"/>
      <c r="T26" s="625"/>
      <c r="U26" s="304"/>
      <c r="V26" s="304"/>
      <c r="W26" s="304"/>
      <c r="X26" s="109"/>
      <c r="Y26" s="320"/>
      <c r="Z26" s="320"/>
    </row>
    <row r="27" spans="1:26" s="54" customFormat="1" ht="18" customHeight="1">
      <c r="A27" s="1150"/>
      <c r="B27" s="1031"/>
      <c r="C27" s="1161"/>
      <c r="D27" s="775" t="s">
        <v>448</v>
      </c>
      <c r="E27" s="883" t="s">
        <v>450</v>
      </c>
      <c r="F27" s="884" t="s">
        <v>451</v>
      </c>
      <c r="G27" s="885" t="s">
        <v>545</v>
      </c>
      <c r="H27" s="349" t="s">
        <v>324</v>
      </c>
      <c r="I27" s="344" t="s">
        <v>325</v>
      </c>
      <c r="J27" s="345">
        <v>23</v>
      </c>
      <c r="K27" s="350">
        <f>117.4/1000</f>
        <v>0.1174</v>
      </c>
      <c r="L27" s="347" t="s">
        <v>313</v>
      </c>
      <c r="M27" s="348" t="s">
        <v>175</v>
      </c>
      <c r="N27" s="818">
        <f>SUM(O27,P27)</f>
        <v>69</v>
      </c>
      <c r="O27" s="688">
        <v>22</v>
      </c>
      <c r="P27" s="673">
        <v>47</v>
      </c>
      <c r="Q27" s="631" t="s">
        <v>532</v>
      </c>
      <c r="R27" s="617"/>
      <c r="S27" s="618"/>
      <c r="T27" s="625"/>
      <c r="U27" s="304"/>
      <c r="V27" s="304"/>
      <c r="W27" s="304"/>
      <c r="X27" s="109"/>
      <c r="Y27" s="320"/>
      <c r="Z27" s="320"/>
    </row>
    <row r="28" spans="1:26" s="54" customFormat="1" ht="18" customHeight="1">
      <c r="A28" s="1150"/>
      <c r="B28" s="1031"/>
      <c r="C28" s="1161"/>
      <c r="D28" s="775" t="s">
        <v>448</v>
      </c>
      <c r="E28" s="883" t="s">
        <v>450</v>
      </c>
      <c r="F28" s="884" t="s">
        <v>451</v>
      </c>
      <c r="G28" s="886" t="s">
        <v>546</v>
      </c>
      <c r="H28" s="343" t="s">
        <v>546</v>
      </c>
      <c r="I28" s="344" t="s">
        <v>322</v>
      </c>
      <c r="J28" s="345">
        <v>27</v>
      </c>
      <c r="K28" s="346">
        <f>22.5/1000</f>
        <v>0.0225</v>
      </c>
      <c r="L28" s="347" t="s">
        <v>323</v>
      </c>
      <c r="M28" s="348" t="s">
        <v>175</v>
      </c>
      <c r="N28" s="818">
        <f t="shared" si="1"/>
        <v>299</v>
      </c>
      <c r="O28" s="688">
        <v>99</v>
      </c>
      <c r="P28" s="673">
        <v>200</v>
      </c>
      <c r="Q28" s="631" t="s">
        <v>516</v>
      </c>
      <c r="R28" s="618"/>
      <c r="S28" s="618"/>
      <c r="T28" s="625"/>
      <c r="U28" s="304"/>
      <c r="V28" s="304"/>
      <c r="W28" s="304"/>
      <c r="X28" s="48"/>
      <c r="Y28" s="320"/>
      <c r="Z28" s="320"/>
    </row>
    <row r="29" spans="1:26" s="54" customFormat="1" ht="18" customHeight="1">
      <c r="A29" s="1151"/>
      <c r="B29" s="1032"/>
      <c r="C29" s="1038"/>
      <c r="D29" s="834" t="s">
        <v>448</v>
      </c>
      <c r="E29" s="887" t="s">
        <v>450</v>
      </c>
      <c r="F29" s="888" t="s">
        <v>452</v>
      </c>
      <c r="G29" s="889" t="s">
        <v>547</v>
      </c>
      <c r="H29" s="351" t="s">
        <v>548</v>
      </c>
      <c r="I29" s="352" t="s">
        <v>326</v>
      </c>
      <c r="J29" s="353">
        <v>4</v>
      </c>
      <c r="K29" s="354">
        <f>27.3/1000</f>
        <v>0.0273</v>
      </c>
      <c r="L29" s="355" t="s">
        <v>313</v>
      </c>
      <c r="M29" s="356" t="s">
        <v>175</v>
      </c>
      <c r="N29" s="848">
        <f t="shared" si="1"/>
        <v>21.7</v>
      </c>
      <c r="O29" s="695">
        <v>6.7</v>
      </c>
      <c r="P29" s="680">
        <v>15</v>
      </c>
      <c r="Q29" s="835" t="s">
        <v>532</v>
      </c>
      <c r="R29" s="617"/>
      <c r="S29" s="618"/>
      <c r="T29" s="625"/>
      <c r="U29" s="304"/>
      <c r="V29" s="304"/>
      <c r="W29" s="304"/>
      <c r="X29" s="48"/>
      <c r="Y29" s="320"/>
      <c r="Z29" s="320"/>
    </row>
    <row r="30" ht="18" customHeight="1"/>
    <row r="31" spans="1:17" s="54" customFormat="1" ht="18" customHeight="1">
      <c r="A31" s="1033" t="s">
        <v>1</v>
      </c>
      <c r="B31" s="1034"/>
      <c r="C31" s="1037" t="s">
        <v>291</v>
      </c>
      <c r="D31" s="1021" t="s">
        <v>430</v>
      </c>
      <c r="E31" s="1153" t="s">
        <v>431</v>
      </c>
      <c r="F31" s="1155" t="s">
        <v>432</v>
      </c>
      <c r="G31" s="1155" t="s">
        <v>433</v>
      </c>
      <c r="H31" s="1162" t="s">
        <v>434</v>
      </c>
      <c r="I31" s="1162" t="s">
        <v>435</v>
      </c>
      <c r="J31" s="1166" t="s">
        <v>292</v>
      </c>
      <c r="K31" s="1169" t="s">
        <v>293</v>
      </c>
      <c r="L31" s="1164" t="s">
        <v>436</v>
      </c>
      <c r="M31" s="1164"/>
      <c r="N31" s="1083" t="s">
        <v>295</v>
      </c>
      <c r="O31" s="1135"/>
      <c r="P31" s="1136"/>
      <c r="Q31" s="1137" t="s">
        <v>437</v>
      </c>
    </row>
    <row r="32" spans="1:20" s="54" customFormat="1" ht="18" customHeight="1">
      <c r="A32" s="1035"/>
      <c r="B32" s="1036"/>
      <c r="C32" s="1038"/>
      <c r="D32" s="1152"/>
      <c r="E32" s="1154"/>
      <c r="F32" s="1156"/>
      <c r="G32" s="1156"/>
      <c r="H32" s="1114"/>
      <c r="I32" s="1114"/>
      <c r="J32" s="1167"/>
      <c r="K32" s="1170"/>
      <c r="L32" s="612" t="s">
        <v>294</v>
      </c>
      <c r="M32" s="319" t="s">
        <v>296</v>
      </c>
      <c r="N32" s="613" t="s">
        <v>297</v>
      </c>
      <c r="O32" s="614" t="s">
        <v>18</v>
      </c>
      <c r="P32" s="615" t="s">
        <v>19</v>
      </c>
      <c r="Q32" s="1114"/>
      <c r="S32" s="439"/>
      <c r="T32" s="439"/>
    </row>
    <row r="33" spans="1:17" ht="18" customHeight="1">
      <c r="A33" s="1041" t="s">
        <v>58</v>
      </c>
      <c r="B33" s="1030" t="s">
        <v>481</v>
      </c>
      <c r="C33" s="1037">
        <v>41496</v>
      </c>
      <c r="D33" s="801" t="s">
        <v>448</v>
      </c>
      <c r="E33" s="896" t="s">
        <v>454</v>
      </c>
      <c r="F33" s="897" t="s">
        <v>535</v>
      </c>
      <c r="G33" s="898" t="s">
        <v>535</v>
      </c>
      <c r="H33" s="402" t="s">
        <v>552</v>
      </c>
      <c r="I33" s="403" t="s">
        <v>341</v>
      </c>
      <c r="J33" s="404">
        <v>5</v>
      </c>
      <c r="K33" s="405">
        <f>78.6/1000</f>
        <v>0.07859999999999999</v>
      </c>
      <c r="L33" s="406" t="s">
        <v>328</v>
      </c>
      <c r="M33" s="21" t="s">
        <v>175</v>
      </c>
      <c r="N33" s="822">
        <f>SUM(O33,P33)</f>
        <v>32</v>
      </c>
      <c r="O33" s="691">
        <v>11</v>
      </c>
      <c r="P33" s="676">
        <v>21</v>
      </c>
      <c r="Q33" s="21" t="s">
        <v>532</v>
      </c>
    </row>
    <row r="34" spans="1:17" ht="18" customHeight="1">
      <c r="A34" s="1039"/>
      <c r="B34" s="1031"/>
      <c r="C34" s="1161"/>
      <c r="D34" s="773" t="s">
        <v>448</v>
      </c>
      <c r="E34" s="881" t="s">
        <v>449</v>
      </c>
      <c r="F34" s="899" t="s">
        <v>554</v>
      </c>
      <c r="G34" s="900" t="s">
        <v>555</v>
      </c>
      <c r="H34" s="408" t="s">
        <v>559</v>
      </c>
      <c r="I34" s="409" t="s">
        <v>342</v>
      </c>
      <c r="J34" s="383">
        <v>2</v>
      </c>
      <c r="K34" s="384">
        <f>246.6/1000</f>
        <v>0.24659999999999999</v>
      </c>
      <c r="L34" s="410" t="s">
        <v>343</v>
      </c>
      <c r="M34" s="24" t="s">
        <v>175</v>
      </c>
      <c r="N34" s="103">
        <f aca="true" t="shared" si="2" ref="N34:N40">SUM(O34,P34)</f>
        <v>46</v>
      </c>
      <c r="O34" s="692">
        <v>14</v>
      </c>
      <c r="P34" s="677">
        <v>32</v>
      </c>
      <c r="Q34" s="24" t="s">
        <v>560</v>
      </c>
    </row>
    <row r="35" spans="1:17" ht="18" customHeight="1">
      <c r="A35" s="1039"/>
      <c r="B35" s="1031"/>
      <c r="C35" s="1161"/>
      <c r="D35" s="779" t="s">
        <v>448</v>
      </c>
      <c r="E35" s="890" t="s">
        <v>449</v>
      </c>
      <c r="F35" s="637" t="s">
        <v>554</v>
      </c>
      <c r="G35" s="901" t="s">
        <v>555</v>
      </c>
      <c r="H35" s="408" t="s">
        <v>344</v>
      </c>
      <c r="I35" s="412" t="s">
        <v>345</v>
      </c>
      <c r="J35" s="383">
        <v>1</v>
      </c>
      <c r="K35" s="384">
        <f>515/1000</f>
        <v>0.515</v>
      </c>
      <c r="L35" s="413" t="s">
        <v>320</v>
      </c>
      <c r="M35" s="24" t="s">
        <v>175</v>
      </c>
      <c r="N35" s="103">
        <f t="shared" si="2"/>
        <v>89</v>
      </c>
      <c r="O35" s="692">
        <v>28</v>
      </c>
      <c r="P35" s="677">
        <v>61</v>
      </c>
      <c r="Q35" s="24" t="s">
        <v>551</v>
      </c>
    </row>
    <row r="36" spans="1:17" ht="18" customHeight="1">
      <c r="A36" s="1039"/>
      <c r="B36" s="1031"/>
      <c r="C36" s="1163"/>
      <c r="D36" s="779" t="s">
        <v>448</v>
      </c>
      <c r="E36" s="890" t="s">
        <v>449</v>
      </c>
      <c r="F36" s="637" t="s">
        <v>554</v>
      </c>
      <c r="G36" s="901" t="s">
        <v>555</v>
      </c>
      <c r="H36" s="408" t="s">
        <v>344</v>
      </c>
      <c r="I36" s="409" t="s">
        <v>346</v>
      </c>
      <c r="J36" s="383">
        <v>1</v>
      </c>
      <c r="K36" s="387">
        <f>1928/1000</f>
        <v>1.928</v>
      </c>
      <c r="L36" s="342" t="s">
        <v>347</v>
      </c>
      <c r="M36" s="414" t="s">
        <v>348</v>
      </c>
      <c r="N36" s="103">
        <f t="shared" si="2"/>
        <v>144</v>
      </c>
      <c r="O36" s="692">
        <v>46</v>
      </c>
      <c r="P36" s="677">
        <v>98</v>
      </c>
      <c r="Q36" s="863">
        <v>0.22</v>
      </c>
    </row>
    <row r="37" spans="1:17" ht="18" customHeight="1">
      <c r="A37" s="1039"/>
      <c r="B37" s="1031"/>
      <c r="C37" s="415">
        <v>41497</v>
      </c>
      <c r="D37" s="782" t="s">
        <v>448</v>
      </c>
      <c r="E37" s="902" t="s">
        <v>454</v>
      </c>
      <c r="F37" s="902" t="s">
        <v>561</v>
      </c>
      <c r="G37" s="903" t="s">
        <v>561</v>
      </c>
      <c r="H37" s="408" t="s">
        <v>562</v>
      </c>
      <c r="I37" s="412" t="s">
        <v>561</v>
      </c>
      <c r="J37" s="383">
        <v>1</v>
      </c>
      <c r="K37" s="387">
        <f>1153.2/1000</f>
        <v>1.1532</v>
      </c>
      <c r="L37" s="388" t="s">
        <v>328</v>
      </c>
      <c r="M37" s="414" t="s">
        <v>349</v>
      </c>
      <c r="N37" s="103">
        <f t="shared" si="2"/>
        <v>162</v>
      </c>
      <c r="O37" s="692">
        <v>52</v>
      </c>
      <c r="P37" s="677">
        <v>110</v>
      </c>
      <c r="Q37" s="24" t="s">
        <v>510</v>
      </c>
    </row>
    <row r="38" spans="1:17" ht="18" customHeight="1">
      <c r="A38" s="1039"/>
      <c r="B38" s="1031"/>
      <c r="C38" s="415">
        <v>41506</v>
      </c>
      <c r="D38" s="773" t="s">
        <v>448</v>
      </c>
      <c r="E38" s="881" t="s">
        <v>449</v>
      </c>
      <c r="F38" s="637" t="s">
        <v>535</v>
      </c>
      <c r="G38" s="901" t="s">
        <v>535</v>
      </c>
      <c r="H38" s="416" t="s">
        <v>563</v>
      </c>
      <c r="I38" s="417" t="s">
        <v>535</v>
      </c>
      <c r="J38" s="380">
        <v>1</v>
      </c>
      <c r="K38" s="418">
        <f>1500.7/1000</f>
        <v>1.5007000000000001</v>
      </c>
      <c r="L38" s="419" t="s">
        <v>350</v>
      </c>
      <c r="M38" s="420" t="s">
        <v>318</v>
      </c>
      <c r="N38" s="103">
        <f t="shared" si="2"/>
        <v>72</v>
      </c>
      <c r="O38" s="693">
        <v>24</v>
      </c>
      <c r="P38" s="678">
        <v>48</v>
      </c>
      <c r="Q38" s="864">
        <v>0.44</v>
      </c>
    </row>
    <row r="39" spans="1:17" ht="18" customHeight="1">
      <c r="A39" s="1039"/>
      <c r="B39" s="1031"/>
      <c r="C39" s="415">
        <v>41513</v>
      </c>
      <c r="D39" s="779" t="s">
        <v>448</v>
      </c>
      <c r="E39" s="890" t="s">
        <v>454</v>
      </c>
      <c r="F39" s="879" t="s">
        <v>535</v>
      </c>
      <c r="G39" s="880" t="s">
        <v>535</v>
      </c>
      <c r="H39" s="408" t="s">
        <v>549</v>
      </c>
      <c r="I39" s="412" t="s">
        <v>550</v>
      </c>
      <c r="J39" s="383">
        <v>2</v>
      </c>
      <c r="K39" s="387">
        <f>2556/1000</f>
        <v>2.556</v>
      </c>
      <c r="L39" s="413" t="s">
        <v>351</v>
      </c>
      <c r="M39" s="414" t="s">
        <v>318</v>
      </c>
      <c r="N39" s="103">
        <f t="shared" si="2"/>
        <v>104</v>
      </c>
      <c r="O39" s="692">
        <v>33</v>
      </c>
      <c r="P39" s="677">
        <v>71</v>
      </c>
      <c r="Q39" s="863">
        <v>0.43</v>
      </c>
    </row>
    <row r="40" spans="1:17" ht="18" customHeight="1">
      <c r="A40" s="1039"/>
      <c r="B40" s="1031"/>
      <c r="C40" s="415">
        <v>41515</v>
      </c>
      <c r="D40" s="779" t="s">
        <v>448</v>
      </c>
      <c r="E40" s="317" t="s">
        <v>454</v>
      </c>
      <c r="F40" s="637" t="s">
        <v>561</v>
      </c>
      <c r="G40" s="317" t="s">
        <v>564</v>
      </c>
      <c r="H40" s="408" t="s">
        <v>565</v>
      </c>
      <c r="I40" s="412" t="s">
        <v>564</v>
      </c>
      <c r="J40" s="383">
        <v>3</v>
      </c>
      <c r="K40" s="387">
        <f>3371.1/1000</f>
        <v>3.3710999999999998</v>
      </c>
      <c r="L40" s="388" t="s">
        <v>328</v>
      </c>
      <c r="M40" s="24" t="s">
        <v>175</v>
      </c>
      <c r="N40" s="103">
        <f t="shared" si="2"/>
        <v>87</v>
      </c>
      <c r="O40" s="692">
        <v>27</v>
      </c>
      <c r="P40" s="677">
        <v>60</v>
      </c>
      <c r="Q40" s="863">
        <v>0.17</v>
      </c>
    </row>
    <row r="41" spans="1:17" ht="18" customHeight="1">
      <c r="A41" s="1039"/>
      <c r="B41" s="1031"/>
      <c r="C41" s="1055">
        <v>41516</v>
      </c>
      <c r="D41" s="779" t="s">
        <v>448</v>
      </c>
      <c r="E41" s="890" t="s">
        <v>449</v>
      </c>
      <c r="F41" s="637" t="s">
        <v>566</v>
      </c>
      <c r="G41" s="901" t="s">
        <v>566</v>
      </c>
      <c r="H41" s="408" t="s">
        <v>567</v>
      </c>
      <c r="I41" s="375" t="s">
        <v>338</v>
      </c>
      <c r="J41" s="383">
        <v>30</v>
      </c>
      <c r="K41" s="387">
        <f>1405.3/1000</f>
        <v>1.4053</v>
      </c>
      <c r="L41" s="388" t="s">
        <v>316</v>
      </c>
      <c r="M41" s="414" t="s">
        <v>318</v>
      </c>
      <c r="N41" s="103">
        <f>SUM(O41,P41)</f>
        <v>36</v>
      </c>
      <c r="O41" s="692">
        <v>11</v>
      </c>
      <c r="P41" s="677">
        <v>25</v>
      </c>
      <c r="Q41" s="24" t="s">
        <v>538</v>
      </c>
    </row>
    <row r="42" spans="1:17" ht="18" customHeight="1">
      <c r="A42" s="1039"/>
      <c r="B42" s="1032"/>
      <c r="C42" s="1038"/>
      <c r="D42" s="799" t="s">
        <v>448</v>
      </c>
      <c r="E42" s="904" t="s">
        <v>449</v>
      </c>
      <c r="F42" s="905" t="s">
        <v>535</v>
      </c>
      <c r="G42" s="906" t="s">
        <v>535</v>
      </c>
      <c r="H42" s="488" t="s">
        <v>539</v>
      </c>
      <c r="I42" s="489" t="s">
        <v>352</v>
      </c>
      <c r="J42" s="380">
        <v>2</v>
      </c>
      <c r="K42" s="856">
        <f>495.8/1000</f>
        <v>0.4958</v>
      </c>
      <c r="L42" s="378" t="s">
        <v>328</v>
      </c>
      <c r="M42" s="20" t="s">
        <v>175</v>
      </c>
      <c r="N42" s="115">
        <f>SUM(O42,P42)</f>
        <v>56</v>
      </c>
      <c r="O42" s="693">
        <v>18</v>
      </c>
      <c r="P42" s="678">
        <v>38</v>
      </c>
      <c r="Q42" s="20" t="s">
        <v>532</v>
      </c>
    </row>
    <row r="43" spans="1:26" s="54" customFormat="1" ht="18" customHeight="1">
      <c r="A43" s="1039"/>
      <c r="B43" s="1030" t="s">
        <v>482</v>
      </c>
      <c r="C43" s="1037">
        <v>41506</v>
      </c>
      <c r="D43" s="764" t="s">
        <v>440</v>
      </c>
      <c r="E43" s="907" t="s">
        <v>558</v>
      </c>
      <c r="F43" s="908" t="s">
        <v>558</v>
      </c>
      <c r="G43" s="909" t="s">
        <v>558</v>
      </c>
      <c r="H43" s="326" t="s">
        <v>558</v>
      </c>
      <c r="I43" s="321" t="s">
        <v>298</v>
      </c>
      <c r="J43" s="324" t="s">
        <v>175</v>
      </c>
      <c r="K43" s="325">
        <f>44.2585/1000</f>
        <v>0.0442585</v>
      </c>
      <c r="L43" s="326" t="s">
        <v>175</v>
      </c>
      <c r="M43" s="327" t="s">
        <v>175</v>
      </c>
      <c r="N43" s="816">
        <f>SUM(O43,P43)</f>
        <v>171</v>
      </c>
      <c r="O43" s="697">
        <v>51</v>
      </c>
      <c r="P43" s="682">
        <v>120</v>
      </c>
      <c r="Q43" s="628" t="s">
        <v>538</v>
      </c>
      <c r="R43" s="618"/>
      <c r="S43" s="618"/>
      <c r="T43" s="625"/>
      <c r="U43" s="304"/>
      <c r="V43" s="304"/>
      <c r="W43" s="304"/>
      <c r="X43" s="48"/>
      <c r="Y43" s="320"/>
      <c r="Z43" s="320"/>
    </row>
    <row r="44" spans="1:26" s="54" customFormat="1" ht="18" customHeight="1">
      <c r="A44" s="1039"/>
      <c r="B44" s="1031"/>
      <c r="C44" s="1161"/>
      <c r="D44" s="765" t="s">
        <v>441</v>
      </c>
      <c r="E44" s="766" t="s">
        <v>442</v>
      </c>
      <c r="F44" s="639" t="s">
        <v>507</v>
      </c>
      <c r="G44" s="369" t="s">
        <v>508</v>
      </c>
      <c r="H44" s="366" t="s">
        <v>509</v>
      </c>
      <c r="I44" s="367" t="s">
        <v>508</v>
      </c>
      <c r="J44" s="1138">
        <v>613</v>
      </c>
      <c r="K44" s="1174">
        <f>133/1000</f>
        <v>0.133</v>
      </c>
      <c r="L44" s="1140" t="s">
        <v>175</v>
      </c>
      <c r="M44" s="1141" t="s">
        <v>175</v>
      </c>
      <c r="N44" s="1142">
        <f>SUM(O44,P44)</f>
        <v>124</v>
      </c>
      <c r="O44" s="1131">
        <v>39</v>
      </c>
      <c r="P44" s="1134">
        <v>85</v>
      </c>
      <c r="Q44" s="1132" t="s">
        <v>510</v>
      </c>
      <c r="R44" s="618"/>
      <c r="S44" s="617"/>
      <c r="T44" s="625"/>
      <c r="U44" s="304"/>
      <c r="V44" s="304"/>
      <c r="W44" s="304"/>
      <c r="X44" s="48"/>
      <c r="Y44" s="1063"/>
      <c r="Z44" s="1130"/>
    </row>
    <row r="45" spans="1:26" s="54" customFormat="1" ht="18" customHeight="1">
      <c r="A45" s="1039"/>
      <c r="B45" s="1031"/>
      <c r="C45" s="1161"/>
      <c r="D45" s="765" t="s">
        <v>441</v>
      </c>
      <c r="E45" s="766" t="s">
        <v>442</v>
      </c>
      <c r="F45" s="639" t="s">
        <v>507</v>
      </c>
      <c r="G45" s="369" t="s">
        <v>508</v>
      </c>
      <c r="H45" s="366" t="s">
        <v>511</v>
      </c>
      <c r="I45" s="368" t="s">
        <v>512</v>
      </c>
      <c r="J45" s="1138"/>
      <c r="K45" s="1174"/>
      <c r="L45" s="1140"/>
      <c r="M45" s="1141"/>
      <c r="N45" s="1144"/>
      <c r="O45" s="1131"/>
      <c r="P45" s="1134"/>
      <c r="Q45" s="1133"/>
      <c r="R45" s="618"/>
      <c r="S45" s="617"/>
      <c r="T45" s="625"/>
      <c r="U45" s="304"/>
      <c r="V45" s="304"/>
      <c r="W45" s="304"/>
      <c r="X45" s="48"/>
      <c r="Y45" s="1064"/>
      <c r="Z45" s="1130"/>
    </row>
    <row r="46" spans="1:26" s="54" customFormat="1" ht="18" customHeight="1">
      <c r="A46" s="1039"/>
      <c r="B46" s="1031"/>
      <c r="C46" s="1161"/>
      <c r="D46" s="765" t="s">
        <v>441</v>
      </c>
      <c r="E46" s="766" t="s">
        <v>442</v>
      </c>
      <c r="F46" s="776" t="s">
        <v>568</v>
      </c>
      <c r="G46" s="777" t="s">
        <v>568</v>
      </c>
      <c r="H46" s="366" t="s">
        <v>329</v>
      </c>
      <c r="I46" s="370" t="s">
        <v>330</v>
      </c>
      <c r="J46" s="371">
        <v>132</v>
      </c>
      <c r="K46" s="331">
        <f>91.5/1000</f>
        <v>0.0915</v>
      </c>
      <c r="L46" s="332" t="s">
        <v>300</v>
      </c>
      <c r="M46" s="333" t="s">
        <v>175</v>
      </c>
      <c r="N46" s="849">
        <f aca="true" t="shared" si="3" ref="N46:N56">SUM(O46,P46)</f>
        <v>10.5</v>
      </c>
      <c r="O46" s="684">
        <v>3.7</v>
      </c>
      <c r="P46" s="670">
        <v>6.8</v>
      </c>
      <c r="Q46" s="629" t="s">
        <v>516</v>
      </c>
      <c r="R46" s="617"/>
      <c r="S46" s="617"/>
      <c r="T46" s="627"/>
      <c r="U46" s="304"/>
      <c r="V46" s="304"/>
      <c r="W46" s="304"/>
      <c r="X46" s="48"/>
      <c r="Y46" s="320"/>
      <c r="Z46" s="320"/>
    </row>
    <row r="47" spans="1:26" s="54" customFormat="1" ht="18" customHeight="1">
      <c r="A47" s="1039"/>
      <c r="B47" s="1031"/>
      <c r="C47" s="1161"/>
      <c r="D47" s="765" t="s">
        <v>441</v>
      </c>
      <c r="E47" s="766" t="s">
        <v>442</v>
      </c>
      <c r="F47" s="639" t="s">
        <v>513</v>
      </c>
      <c r="G47" s="369" t="s">
        <v>518</v>
      </c>
      <c r="H47" s="366" t="s">
        <v>308</v>
      </c>
      <c r="I47" s="330" t="s">
        <v>523</v>
      </c>
      <c r="J47" s="372">
        <v>113</v>
      </c>
      <c r="K47" s="373">
        <f>47.4/1000</f>
        <v>0.0474</v>
      </c>
      <c r="L47" s="332" t="s">
        <v>300</v>
      </c>
      <c r="M47" s="333" t="s">
        <v>175</v>
      </c>
      <c r="N47" s="849">
        <f t="shared" si="3"/>
        <v>20.4</v>
      </c>
      <c r="O47" s="684">
        <v>6.4</v>
      </c>
      <c r="P47" s="671">
        <v>14</v>
      </c>
      <c r="Q47" s="633" t="s">
        <v>516</v>
      </c>
      <c r="R47" s="617"/>
      <c r="S47" s="618"/>
      <c r="T47" s="627"/>
      <c r="U47" s="304"/>
      <c r="V47" s="304"/>
      <c r="W47" s="304"/>
      <c r="X47" s="48"/>
      <c r="Y47" s="320"/>
      <c r="Z47" s="320"/>
    </row>
    <row r="48" spans="1:26" s="54" customFormat="1" ht="18" customHeight="1">
      <c r="A48" s="1039"/>
      <c r="B48" s="1031"/>
      <c r="C48" s="1161"/>
      <c r="D48" s="778" t="s">
        <v>441</v>
      </c>
      <c r="E48" s="890" t="s">
        <v>443</v>
      </c>
      <c r="F48" s="890" t="s">
        <v>444</v>
      </c>
      <c r="G48" s="882" t="s">
        <v>569</v>
      </c>
      <c r="H48" s="374" t="s">
        <v>570</v>
      </c>
      <c r="I48" s="375" t="s">
        <v>331</v>
      </c>
      <c r="J48" s="376">
        <v>2</v>
      </c>
      <c r="K48" s="377">
        <f>36.7/1000</f>
        <v>0.0367</v>
      </c>
      <c r="L48" s="378" t="s">
        <v>313</v>
      </c>
      <c r="M48" s="24" t="s">
        <v>175</v>
      </c>
      <c r="N48" s="817">
        <f t="shared" si="3"/>
        <v>64</v>
      </c>
      <c r="O48" s="685">
        <v>20</v>
      </c>
      <c r="P48" s="672">
        <v>44</v>
      </c>
      <c r="Q48" s="630" t="s">
        <v>532</v>
      </c>
      <c r="R48" s="617"/>
      <c r="S48" s="618"/>
      <c r="T48" s="625"/>
      <c r="U48" s="304"/>
      <c r="V48" s="304"/>
      <c r="W48" s="304"/>
      <c r="X48" s="48"/>
      <c r="Y48" s="320"/>
      <c r="Z48" s="320"/>
    </row>
    <row r="49" spans="1:26" s="54" customFormat="1" ht="18" customHeight="1">
      <c r="A49" s="1039"/>
      <c r="B49" s="1031"/>
      <c r="C49" s="1161"/>
      <c r="D49" s="779" t="s">
        <v>448</v>
      </c>
      <c r="E49" s="890" t="s">
        <v>449</v>
      </c>
      <c r="F49" s="638" t="s">
        <v>566</v>
      </c>
      <c r="G49" s="903" t="s">
        <v>566</v>
      </c>
      <c r="H49" s="374" t="s">
        <v>337</v>
      </c>
      <c r="I49" s="375" t="s">
        <v>338</v>
      </c>
      <c r="J49" s="386">
        <v>21</v>
      </c>
      <c r="K49" s="387">
        <f>1122/1000</f>
        <v>1.122</v>
      </c>
      <c r="L49" s="388" t="s">
        <v>316</v>
      </c>
      <c r="M49" s="385" t="s">
        <v>318</v>
      </c>
      <c r="N49" s="817">
        <f>SUM(O49,P49)</f>
        <v>30.8</v>
      </c>
      <c r="O49" s="687">
        <v>9.8</v>
      </c>
      <c r="P49" s="672">
        <v>21</v>
      </c>
      <c r="Q49" s="630" t="s">
        <v>538</v>
      </c>
      <c r="R49" s="617"/>
      <c r="S49" s="618"/>
      <c r="T49" s="625"/>
      <c r="U49" s="304"/>
      <c r="V49" s="304"/>
      <c r="W49" s="304"/>
      <c r="X49" s="48"/>
      <c r="Y49" s="320"/>
      <c r="Z49" s="320"/>
    </row>
    <row r="50" spans="1:26" s="54" customFormat="1" ht="18" customHeight="1">
      <c r="A50" s="1039"/>
      <c r="B50" s="1031"/>
      <c r="C50" s="1161"/>
      <c r="D50" s="773" t="s">
        <v>448</v>
      </c>
      <c r="E50" s="881" t="s">
        <v>449</v>
      </c>
      <c r="F50" s="879" t="s">
        <v>535</v>
      </c>
      <c r="G50" s="880" t="s">
        <v>535</v>
      </c>
      <c r="H50" s="335" t="s">
        <v>332</v>
      </c>
      <c r="I50" s="334" t="s">
        <v>333</v>
      </c>
      <c r="J50" s="383">
        <v>14</v>
      </c>
      <c r="K50" s="384">
        <f>155.8/1000</f>
        <v>0.15580000000000002</v>
      </c>
      <c r="L50" s="339" t="s">
        <v>317</v>
      </c>
      <c r="M50" s="385" t="s">
        <v>318</v>
      </c>
      <c r="N50" s="817">
        <f t="shared" si="3"/>
        <v>25.1</v>
      </c>
      <c r="O50" s="686">
        <v>8.1</v>
      </c>
      <c r="P50" s="672">
        <v>17</v>
      </c>
      <c r="Q50" s="630" t="s">
        <v>538</v>
      </c>
      <c r="R50" s="617"/>
      <c r="S50" s="617"/>
      <c r="T50" s="625"/>
      <c r="U50" s="304"/>
      <c r="V50" s="304"/>
      <c r="W50" s="304"/>
      <c r="X50" s="109"/>
      <c r="Y50" s="320"/>
      <c r="Z50" s="320"/>
    </row>
    <row r="51" spans="1:26" s="54" customFormat="1" ht="18" customHeight="1">
      <c r="A51" s="1039"/>
      <c r="B51" s="1031"/>
      <c r="C51" s="1161"/>
      <c r="D51" s="773" t="s">
        <v>448</v>
      </c>
      <c r="E51" s="881" t="s">
        <v>449</v>
      </c>
      <c r="F51" s="879" t="s">
        <v>535</v>
      </c>
      <c r="G51" s="880" t="s">
        <v>540</v>
      </c>
      <c r="H51" s="335" t="s">
        <v>571</v>
      </c>
      <c r="I51" s="379" t="s">
        <v>540</v>
      </c>
      <c r="J51" s="380">
        <v>14</v>
      </c>
      <c r="K51" s="381">
        <f>61.1/1000</f>
        <v>0.0611</v>
      </c>
      <c r="L51" s="382" t="s">
        <v>317</v>
      </c>
      <c r="M51" s="24" t="s">
        <v>175</v>
      </c>
      <c r="N51" s="817">
        <f>SUM(O51,P51)</f>
        <v>39</v>
      </c>
      <c r="O51" s="685">
        <v>13</v>
      </c>
      <c r="P51" s="672">
        <v>26</v>
      </c>
      <c r="Q51" s="630" t="s">
        <v>551</v>
      </c>
      <c r="R51" s="617"/>
      <c r="S51" s="618"/>
      <c r="T51" s="625"/>
      <c r="U51" s="304"/>
      <c r="V51" s="304"/>
      <c r="W51" s="304"/>
      <c r="X51" s="109"/>
      <c r="Y51" s="320"/>
      <c r="Z51" s="320"/>
    </row>
    <row r="52" spans="1:26" s="54" customFormat="1" ht="18" customHeight="1">
      <c r="A52" s="1039"/>
      <c r="B52" s="1031"/>
      <c r="C52" s="1161"/>
      <c r="D52" s="773" t="s">
        <v>448</v>
      </c>
      <c r="E52" s="881" t="s">
        <v>449</v>
      </c>
      <c r="F52" s="637" t="s">
        <v>542</v>
      </c>
      <c r="G52" s="882" t="s">
        <v>542</v>
      </c>
      <c r="H52" s="335" t="s">
        <v>543</v>
      </c>
      <c r="I52" s="334" t="s">
        <v>334</v>
      </c>
      <c r="J52" s="383">
        <v>9</v>
      </c>
      <c r="K52" s="384">
        <f>174.5/1000</f>
        <v>0.1745</v>
      </c>
      <c r="L52" s="339" t="s">
        <v>316</v>
      </c>
      <c r="M52" s="385" t="s">
        <v>318</v>
      </c>
      <c r="N52" s="817">
        <f>SUM(O52,P52)</f>
        <v>15.7</v>
      </c>
      <c r="O52" s="686">
        <v>4.7</v>
      </c>
      <c r="P52" s="672">
        <v>11</v>
      </c>
      <c r="Q52" s="630" t="s">
        <v>538</v>
      </c>
      <c r="R52" s="617"/>
      <c r="S52" s="617"/>
      <c r="T52" s="625"/>
      <c r="U52" s="304"/>
      <c r="V52" s="304"/>
      <c r="W52" s="304"/>
      <c r="X52" s="109"/>
      <c r="Y52" s="320"/>
      <c r="Z52" s="320"/>
    </row>
    <row r="53" spans="1:26" s="54" customFormat="1" ht="18" customHeight="1">
      <c r="A53" s="1039"/>
      <c r="B53" s="1031"/>
      <c r="C53" s="1161"/>
      <c r="D53" s="773" t="s">
        <v>448</v>
      </c>
      <c r="E53" s="881" t="s">
        <v>449</v>
      </c>
      <c r="F53" s="637" t="s">
        <v>542</v>
      </c>
      <c r="G53" s="882" t="s">
        <v>542</v>
      </c>
      <c r="H53" s="335" t="s">
        <v>543</v>
      </c>
      <c r="I53" s="334" t="s">
        <v>335</v>
      </c>
      <c r="J53" s="383">
        <v>3</v>
      </c>
      <c r="K53" s="384">
        <f>142.1/1000</f>
        <v>0.1421</v>
      </c>
      <c r="L53" s="339" t="s">
        <v>317</v>
      </c>
      <c r="M53" s="385" t="s">
        <v>336</v>
      </c>
      <c r="N53" s="817">
        <f>SUM(O53,P53)</f>
        <v>17.9</v>
      </c>
      <c r="O53" s="687">
        <v>5.9</v>
      </c>
      <c r="P53" s="672">
        <v>12</v>
      </c>
      <c r="Q53" s="630" t="s">
        <v>510</v>
      </c>
      <c r="R53" s="617"/>
      <c r="S53" s="618"/>
      <c r="T53" s="625"/>
      <c r="U53" s="304"/>
      <c r="V53" s="304"/>
      <c r="W53" s="304"/>
      <c r="X53" s="109"/>
      <c r="Y53" s="320"/>
      <c r="Z53" s="320"/>
    </row>
    <row r="54" spans="1:26" s="54" customFormat="1" ht="18" customHeight="1">
      <c r="A54" s="1039"/>
      <c r="B54" s="1031"/>
      <c r="C54" s="1161"/>
      <c r="D54" s="775" t="s">
        <v>448</v>
      </c>
      <c r="E54" s="883" t="s">
        <v>450</v>
      </c>
      <c r="F54" s="884" t="s">
        <v>451</v>
      </c>
      <c r="G54" s="910" t="s">
        <v>545</v>
      </c>
      <c r="H54" s="392" t="s">
        <v>572</v>
      </c>
      <c r="I54" s="393" t="s">
        <v>573</v>
      </c>
      <c r="J54" s="394">
        <v>5</v>
      </c>
      <c r="K54" s="346">
        <f>18.6/1000</f>
        <v>0.018600000000000002</v>
      </c>
      <c r="L54" s="347" t="s">
        <v>339</v>
      </c>
      <c r="M54" s="348" t="s">
        <v>175</v>
      </c>
      <c r="N54" s="820">
        <f>SUM(O54,P54)</f>
        <v>68</v>
      </c>
      <c r="O54" s="689">
        <v>22</v>
      </c>
      <c r="P54" s="674">
        <v>46</v>
      </c>
      <c r="Q54" s="348" t="s">
        <v>532</v>
      </c>
      <c r="R54" s="617"/>
      <c r="S54" s="618"/>
      <c r="T54" s="625"/>
      <c r="U54" s="304"/>
      <c r="V54" s="304"/>
      <c r="W54" s="304"/>
      <c r="X54" s="109"/>
      <c r="Y54" s="320"/>
      <c r="Z54" s="320"/>
    </row>
    <row r="55" spans="1:26" s="54" customFormat="1" ht="18" customHeight="1">
      <c r="A55" s="1039"/>
      <c r="B55" s="1031"/>
      <c r="C55" s="1161"/>
      <c r="D55" s="775" t="s">
        <v>448</v>
      </c>
      <c r="E55" s="883" t="s">
        <v>450</v>
      </c>
      <c r="F55" s="884" t="s">
        <v>451</v>
      </c>
      <c r="G55" s="911" t="s">
        <v>546</v>
      </c>
      <c r="H55" s="343" t="s">
        <v>546</v>
      </c>
      <c r="I55" s="344" t="s">
        <v>322</v>
      </c>
      <c r="J55" s="389">
        <v>21</v>
      </c>
      <c r="K55" s="390">
        <f>16.5/1000</f>
        <v>0.0165</v>
      </c>
      <c r="L55" s="391" t="s">
        <v>323</v>
      </c>
      <c r="M55" s="348" t="s">
        <v>175</v>
      </c>
      <c r="N55" s="818">
        <f t="shared" si="3"/>
        <v>296</v>
      </c>
      <c r="O55" s="688">
        <v>96</v>
      </c>
      <c r="P55" s="673">
        <v>200</v>
      </c>
      <c r="Q55" s="631" t="s">
        <v>516</v>
      </c>
      <c r="R55" s="618"/>
      <c r="S55" s="618"/>
      <c r="T55" s="625"/>
      <c r="U55" s="304"/>
      <c r="V55" s="304"/>
      <c r="W55" s="304"/>
      <c r="X55" s="48"/>
      <c r="Y55" s="320"/>
      <c r="Z55" s="320"/>
    </row>
    <row r="56" spans="1:26" s="54" customFormat="1" ht="18" customHeight="1">
      <c r="A56" s="1040"/>
      <c r="B56" s="1032"/>
      <c r="C56" s="1038"/>
      <c r="D56" s="780" t="s">
        <v>453</v>
      </c>
      <c r="E56" s="912" t="s">
        <v>574</v>
      </c>
      <c r="F56" s="913" t="s">
        <v>574</v>
      </c>
      <c r="G56" s="914" t="s">
        <v>574</v>
      </c>
      <c r="H56" s="396" t="s">
        <v>574</v>
      </c>
      <c r="I56" s="397" t="s">
        <v>340</v>
      </c>
      <c r="J56" s="398" t="s">
        <v>175</v>
      </c>
      <c r="K56" s="399">
        <f>138.9/1000</f>
        <v>0.1389</v>
      </c>
      <c r="L56" s="400" t="s">
        <v>175</v>
      </c>
      <c r="M56" s="401" t="s">
        <v>175</v>
      </c>
      <c r="N56" s="821">
        <f t="shared" si="3"/>
        <v>204</v>
      </c>
      <c r="O56" s="690">
        <v>64</v>
      </c>
      <c r="P56" s="675">
        <v>140</v>
      </c>
      <c r="Q56" s="634" t="s">
        <v>574</v>
      </c>
      <c r="R56" s="618"/>
      <c r="S56" s="617"/>
      <c r="T56" s="625"/>
      <c r="U56" s="304"/>
      <c r="V56" s="304"/>
      <c r="W56" s="304"/>
      <c r="X56" s="48"/>
      <c r="Y56" s="320"/>
      <c r="Z56" s="320"/>
    </row>
    <row r="57" spans="1:26" s="504" customFormat="1" ht="18" customHeight="1">
      <c r="A57" s="305"/>
      <c r="B57" s="48"/>
      <c r="C57" s="832"/>
      <c r="D57" s="301"/>
      <c r="E57" s="836"/>
      <c r="F57" s="836"/>
      <c r="G57" s="836"/>
      <c r="H57" s="537"/>
      <c r="I57" s="538"/>
      <c r="J57" s="838"/>
      <c r="K57" s="839"/>
      <c r="L57" s="537"/>
      <c r="M57" s="48"/>
      <c r="N57" s="837"/>
      <c r="O57" s="826"/>
      <c r="P57" s="826"/>
      <c r="Q57" s="627"/>
      <c r="R57" s="618"/>
      <c r="S57" s="617"/>
      <c r="T57" s="625"/>
      <c r="U57" s="304"/>
      <c r="V57" s="304"/>
      <c r="W57" s="304"/>
      <c r="X57" s="48"/>
      <c r="Y57" s="833"/>
      <c r="Z57" s="833"/>
    </row>
    <row r="58" spans="1:17" s="54" customFormat="1" ht="18" customHeight="1">
      <c r="A58" s="1033" t="s">
        <v>1</v>
      </c>
      <c r="B58" s="1034"/>
      <c r="C58" s="1037" t="s">
        <v>291</v>
      </c>
      <c r="D58" s="1021" t="s">
        <v>430</v>
      </c>
      <c r="E58" s="1025" t="s">
        <v>431</v>
      </c>
      <c r="F58" s="1025" t="s">
        <v>432</v>
      </c>
      <c r="G58" s="1023" t="s">
        <v>433</v>
      </c>
      <c r="H58" s="983" t="s">
        <v>434</v>
      </c>
      <c r="I58" s="983" t="s">
        <v>435</v>
      </c>
      <c r="J58" s="1086" t="s">
        <v>292</v>
      </c>
      <c r="K58" s="1073" t="s">
        <v>293</v>
      </c>
      <c r="L58" s="1088" t="s">
        <v>436</v>
      </c>
      <c r="M58" s="1089"/>
      <c r="N58" s="1083" t="s">
        <v>295</v>
      </c>
      <c r="O58" s="1084"/>
      <c r="P58" s="1085"/>
      <c r="Q58" s="1030" t="s">
        <v>437</v>
      </c>
    </row>
    <row r="59" spans="1:20" s="54" customFormat="1" ht="18" customHeight="1">
      <c r="A59" s="1035"/>
      <c r="B59" s="1036"/>
      <c r="C59" s="1038"/>
      <c r="D59" s="1022"/>
      <c r="E59" s="1026"/>
      <c r="F59" s="1026"/>
      <c r="G59" s="1024"/>
      <c r="H59" s="1032"/>
      <c r="I59" s="1032"/>
      <c r="J59" s="1087"/>
      <c r="K59" s="1074"/>
      <c r="L59" s="612" t="s">
        <v>294</v>
      </c>
      <c r="M59" s="319" t="s">
        <v>296</v>
      </c>
      <c r="N59" s="613" t="s">
        <v>297</v>
      </c>
      <c r="O59" s="614" t="s">
        <v>438</v>
      </c>
      <c r="P59" s="615" t="s">
        <v>439</v>
      </c>
      <c r="Q59" s="1103"/>
      <c r="S59" s="439"/>
      <c r="T59" s="439"/>
    </row>
    <row r="60" spans="1:26" s="54" customFormat="1" ht="18" customHeight="1">
      <c r="A60" s="1041" t="s">
        <v>385</v>
      </c>
      <c r="B60" s="983" t="s">
        <v>483</v>
      </c>
      <c r="C60" s="1037">
        <v>41511</v>
      </c>
      <c r="D60" s="764" t="s">
        <v>440</v>
      </c>
      <c r="E60" s="907" t="s">
        <v>558</v>
      </c>
      <c r="F60" s="908" t="s">
        <v>558</v>
      </c>
      <c r="G60" s="915" t="s">
        <v>558</v>
      </c>
      <c r="H60" s="326" t="s">
        <v>558</v>
      </c>
      <c r="I60" s="505" t="s">
        <v>298</v>
      </c>
      <c r="J60" s="324" t="s">
        <v>175</v>
      </c>
      <c r="K60" s="325">
        <f>19.4453/1000</f>
        <v>0.0194453</v>
      </c>
      <c r="L60" s="326" t="s">
        <v>175</v>
      </c>
      <c r="M60" s="327" t="s">
        <v>175</v>
      </c>
      <c r="N60" s="507">
        <f>SUM(O60,P60)</f>
        <v>520</v>
      </c>
      <c r="O60" s="725">
        <v>160</v>
      </c>
      <c r="P60" s="723">
        <v>360</v>
      </c>
      <c r="Q60" s="327" t="s">
        <v>538</v>
      </c>
      <c r="R60" s="502"/>
      <c r="S60" s="502"/>
      <c r="T60" s="48"/>
      <c r="U60" s="305"/>
      <c r="V60" s="305"/>
      <c r="W60" s="305"/>
      <c r="X60" s="48"/>
      <c r="Y60" s="320"/>
      <c r="Z60" s="124"/>
    </row>
    <row r="61" spans="1:26" s="54" customFormat="1" ht="18" customHeight="1">
      <c r="A61" s="1042"/>
      <c r="B61" s="972"/>
      <c r="C61" s="1099"/>
      <c r="D61" s="800" t="s">
        <v>471</v>
      </c>
      <c r="E61" s="640" t="s">
        <v>477</v>
      </c>
      <c r="F61" s="640" t="s">
        <v>575</v>
      </c>
      <c r="G61" s="805" t="s">
        <v>575</v>
      </c>
      <c r="H61" s="459" t="s">
        <v>576</v>
      </c>
      <c r="I61" s="460" t="s">
        <v>577</v>
      </c>
      <c r="J61" s="461" t="s">
        <v>175</v>
      </c>
      <c r="K61" s="462">
        <f>20/1000</f>
        <v>0.02</v>
      </c>
      <c r="L61" s="463" t="s">
        <v>175</v>
      </c>
      <c r="M61" s="465" t="s">
        <v>560</v>
      </c>
      <c r="N61" s="456">
        <f>SUM(O61,P61)</f>
        <v>54</v>
      </c>
      <c r="O61" s="706">
        <v>18</v>
      </c>
      <c r="P61" s="702">
        <v>36</v>
      </c>
      <c r="Q61" s="458" t="s">
        <v>560</v>
      </c>
      <c r="R61" s="502"/>
      <c r="S61" s="502"/>
      <c r="T61" s="48"/>
      <c r="U61" s="305"/>
      <c r="V61" s="305"/>
      <c r="W61" s="305"/>
      <c r="X61" s="109"/>
      <c r="Y61" s="320"/>
      <c r="Z61" s="124"/>
    </row>
    <row r="62" spans="1:26" s="54" customFormat="1" ht="18" customHeight="1">
      <c r="A62" s="1042"/>
      <c r="B62" s="972"/>
      <c r="C62" s="1099"/>
      <c r="D62" s="765" t="s">
        <v>441</v>
      </c>
      <c r="E62" s="766" t="s">
        <v>442</v>
      </c>
      <c r="F62" s="766" t="s">
        <v>507</v>
      </c>
      <c r="G62" s="369" t="s">
        <v>508</v>
      </c>
      <c r="H62" s="366" t="s">
        <v>386</v>
      </c>
      <c r="I62" s="329" t="s">
        <v>508</v>
      </c>
      <c r="J62" s="1075">
        <v>93</v>
      </c>
      <c r="K62" s="1078">
        <f>16.216/1000</f>
        <v>0.016216</v>
      </c>
      <c r="L62" s="1069" t="s">
        <v>300</v>
      </c>
      <c r="M62" s="1060" t="s">
        <v>175</v>
      </c>
      <c r="N62" s="1065">
        <f>SUM(O62,P62)</f>
        <v>180</v>
      </c>
      <c r="O62" s="1066">
        <v>60</v>
      </c>
      <c r="P62" s="1057">
        <v>120</v>
      </c>
      <c r="Q62" s="1060" t="s">
        <v>516</v>
      </c>
      <c r="R62" s="502"/>
      <c r="S62" s="502"/>
      <c r="T62" s="48"/>
      <c r="U62" s="305"/>
      <c r="V62" s="305"/>
      <c r="W62" s="305"/>
      <c r="X62" s="48"/>
      <c r="Y62" s="1063"/>
      <c r="Z62" s="1056"/>
    </row>
    <row r="63" spans="1:26" s="54" customFormat="1" ht="18" customHeight="1">
      <c r="A63" s="1042"/>
      <c r="B63" s="972"/>
      <c r="C63" s="1099"/>
      <c r="D63" s="765" t="s">
        <v>441</v>
      </c>
      <c r="E63" s="766" t="s">
        <v>442</v>
      </c>
      <c r="F63" s="639" t="s">
        <v>507</v>
      </c>
      <c r="G63" s="369" t="s">
        <v>508</v>
      </c>
      <c r="H63" s="366" t="s">
        <v>387</v>
      </c>
      <c r="I63" s="330" t="s">
        <v>512</v>
      </c>
      <c r="J63" s="1077"/>
      <c r="K63" s="1062"/>
      <c r="L63" s="1071"/>
      <c r="M63" s="1072"/>
      <c r="N63" s="1062"/>
      <c r="O63" s="1068"/>
      <c r="P63" s="1059"/>
      <c r="Q63" s="1062"/>
      <c r="R63" s="502"/>
      <c r="S63" s="502"/>
      <c r="T63" s="48"/>
      <c r="U63" s="305"/>
      <c r="V63" s="305"/>
      <c r="W63" s="305"/>
      <c r="X63" s="48"/>
      <c r="Y63" s="1094"/>
      <c r="Z63" s="1056"/>
    </row>
    <row r="64" spans="1:26" s="54" customFormat="1" ht="18" customHeight="1">
      <c r="A64" s="1042"/>
      <c r="B64" s="972"/>
      <c r="C64" s="1099"/>
      <c r="D64" s="765" t="s">
        <v>441</v>
      </c>
      <c r="E64" s="766" t="s">
        <v>442</v>
      </c>
      <c r="F64" s="776" t="s">
        <v>568</v>
      </c>
      <c r="G64" s="777" t="s">
        <v>568</v>
      </c>
      <c r="H64" s="366" t="s">
        <v>329</v>
      </c>
      <c r="I64" s="330" t="s">
        <v>330</v>
      </c>
      <c r="J64" s="372">
        <v>17</v>
      </c>
      <c r="K64" s="510">
        <f>7.317/1000</f>
        <v>0.007317000000000001</v>
      </c>
      <c r="L64" s="332" t="s">
        <v>300</v>
      </c>
      <c r="M64" s="333" t="s">
        <v>175</v>
      </c>
      <c r="N64" s="511">
        <f>SUM(O64,P64)</f>
        <v>54</v>
      </c>
      <c r="O64" s="698">
        <v>17</v>
      </c>
      <c r="P64" s="683">
        <v>37</v>
      </c>
      <c r="Q64" s="333" t="s">
        <v>516</v>
      </c>
      <c r="R64" s="502"/>
      <c r="S64" s="502"/>
      <c r="T64" s="48"/>
      <c r="U64" s="305"/>
      <c r="V64" s="305"/>
      <c r="W64" s="305"/>
      <c r="X64" s="48"/>
      <c r="Y64" s="320"/>
      <c r="Z64" s="124"/>
    </row>
    <row r="65" spans="1:26" s="54" customFormat="1" ht="18" customHeight="1">
      <c r="A65" s="1042"/>
      <c r="B65" s="972"/>
      <c r="C65" s="1099"/>
      <c r="D65" s="765" t="s">
        <v>441</v>
      </c>
      <c r="E65" s="766" t="s">
        <v>442</v>
      </c>
      <c r="F65" s="639" t="s">
        <v>513</v>
      </c>
      <c r="G65" s="369" t="s">
        <v>514</v>
      </c>
      <c r="H65" s="366" t="s">
        <v>310</v>
      </c>
      <c r="I65" s="330" t="s">
        <v>515</v>
      </c>
      <c r="J65" s="1075">
        <v>70</v>
      </c>
      <c r="K65" s="1078">
        <f>16.179/1000</f>
        <v>0.016179</v>
      </c>
      <c r="L65" s="1060" t="s">
        <v>300</v>
      </c>
      <c r="M65" s="1060" t="s">
        <v>175</v>
      </c>
      <c r="N65" s="1065">
        <f>SUM(O65,P65)</f>
        <v>20.1</v>
      </c>
      <c r="O65" s="1182">
        <v>7.1</v>
      </c>
      <c r="P65" s="1171">
        <v>13</v>
      </c>
      <c r="Q65" s="1060" t="s">
        <v>516</v>
      </c>
      <c r="R65" s="303"/>
      <c r="S65" s="164"/>
      <c r="T65" s="48"/>
      <c r="U65" s="305"/>
      <c r="V65" s="305"/>
      <c r="W65" s="305"/>
      <c r="X65" s="48"/>
      <c r="Y65" s="1063"/>
      <c r="Z65" s="1056"/>
    </row>
    <row r="66" spans="1:26" s="54" customFormat="1" ht="18" customHeight="1">
      <c r="A66" s="1042"/>
      <c r="B66" s="972"/>
      <c r="C66" s="1099"/>
      <c r="D66" s="765" t="s">
        <v>441</v>
      </c>
      <c r="E66" s="766" t="s">
        <v>442</v>
      </c>
      <c r="F66" s="639" t="s">
        <v>513</v>
      </c>
      <c r="G66" s="369" t="s">
        <v>518</v>
      </c>
      <c r="H66" s="366" t="s">
        <v>304</v>
      </c>
      <c r="I66" s="330" t="s">
        <v>519</v>
      </c>
      <c r="J66" s="1076"/>
      <c r="K66" s="1061"/>
      <c r="L66" s="1002"/>
      <c r="M66" s="1002"/>
      <c r="N66" s="1105"/>
      <c r="O66" s="1183"/>
      <c r="P66" s="1172"/>
      <c r="Q66" s="1002"/>
      <c r="R66" s="303"/>
      <c r="S66" s="164"/>
      <c r="T66" s="48"/>
      <c r="U66" s="305"/>
      <c r="V66" s="305"/>
      <c r="W66" s="305"/>
      <c r="X66" s="48"/>
      <c r="Y66" s="1094"/>
      <c r="Z66" s="1056"/>
    </row>
    <row r="67" spans="1:26" s="54" customFormat="1" ht="18" customHeight="1">
      <c r="A67" s="1042"/>
      <c r="B67" s="972"/>
      <c r="C67" s="1099"/>
      <c r="D67" s="765" t="s">
        <v>441</v>
      </c>
      <c r="E67" s="766" t="s">
        <v>442</v>
      </c>
      <c r="F67" s="639" t="s">
        <v>513</v>
      </c>
      <c r="G67" s="369" t="s">
        <v>518</v>
      </c>
      <c r="H67" s="366" t="s">
        <v>305</v>
      </c>
      <c r="I67" s="330" t="s">
        <v>306</v>
      </c>
      <c r="J67" s="1076"/>
      <c r="K67" s="1061"/>
      <c r="L67" s="1002"/>
      <c r="M67" s="1002"/>
      <c r="N67" s="1105"/>
      <c r="O67" s="1183"/>
      <c r="P67" s="1172"/>
      <c r="Q67" s="1002"/>
      <c r="R67" s="303"/>
      <c r="S67" s="164"/>
      <c r="T67" s="48"/>
      <c r="U67" s="305"/>
      <c r="V67" s="305"/>
      <c r="W67" s="305"/>
      <c r="X67" s="48"/>
      <c r="Y67" s="1094"/>
      <c r="Z67" s="1056"/>
    </row>
    <row r="68" spans="1:26" s="54" customFormat="1" ht="18" customHeight="1">
      <c r="A68" s="1042"/>
      <c r="B68" s="972"/>
      <c r="C68" s="1099"/>
      <c r="D68" s="765" t="s">
        <v>441</v>
      </c>
      <c r="E68" s="766" t="s">
        <v>442</v>
      </c>
      <c r="F68" s="639" t="s">
        <v>513</v>
      </c>
      <c r="G68" s="369" t="s">
        <v>518</v>
      </c>
      <c r="H68" s="366" t="s">
        <v>520</v>
      </c>
      <c r="I68" s="330" t="s">
        <v>521</v>
      </c>
      <c r="J68" s="1076"/>
      <c r="K68" s="1061"/>
      <c r="L68" s="1002"/>
      <c r="M68" s="1002"/>
      <c r="N68" s="1105"/>
      <c r="O68" s="1183"/>
      <c r="P68" s="1172"/>
      <c r="Q68" s="1002"/>
      <c r="R68" s="303"/>
      <c r="S68" s="164"/>
      <c r="T68" s="48"/>
      <c r="U68" s="305"/>
      <c r="V68" s="305"/>
      <c r="W68" s="305"/>
      <c r="X68" s="48"/>
      <c r="Y68" s="1094"/>
      <c r="Z68" s="1056"/>
    </row>
    <row r="69" spans="1:26" s="54" customFormat="1" ht="18" customHeight="1">
      <c r="A69" s="1042"/>
      <c r="B69" s="972"/>
      <c r="C69" s="1099"/>
      <c r="D69" s="765" t="s">
        <v>441</v>
      </c>
      <c r="E69" s="766" t="s">
        <v>442</v>
      </c>
      <c r="F69" s="639" t="s">
        <v>513</v>
      </c>
      <c r="G69" s="369" t="s">
        <v>518</v>
      </c>
      <c r="H69" s="366" t="s">
        <v>307</v>
      </c>
      <c r="I69" s="330" t="s">
        <v>522</v>
      </c>
      <c r="J69" s="1076"/>
      <c r="K69" s="1061"/>
      <c r="L69" s="1002"/>
      <c r="M69" s="1002"/>
      <c r="N69" s="1105"/>
      <c r="O69" s="1183"/>
      <c r="P69" s="1172"/>
      <c r="Q69" s="1002"/>
      <c r="R69" s="303"/>
      <c r="S69" s="164"/>
      <c r="T69" s="48"/>
      <c r="U69" s="305"/>
      <c r="V69" s="305"/>
      <c r="W69" s="305"/>
      <c r="X69" s="48"/>
      <c r="Y69" s="1094"/>
      <c r="Z69" s="1056"/>
    </row>
    <row r="70" spans="1:26" s="54" customFormat="1" ht="18" customHeight="1">
      <c r="A70" s="1042"/>
      <c r="B70" s="972"/>
      <c r="C70" s="1099"/>
      <c r="D70" s="765" t="s">
        <v>441</v>
      </c>
      <c r="E70" s="766" t="s">
        <v>442</v>
      </c>
      <c r="F70" s="639" t="s">
        <v>513</v>
      </c>
      <c r="G70" s="369" t="s">
        <v>518</v>
      </c>
      <c r="H70" s="366" t="s">
        <v>308</v>
      </c>
      <c r="I70" s="329" t="s">
        <v>523</v>
      </c>
      <c r="J70" s="1076"/>
      <c r="K70" s="1061"/>
      <c r="L70" s="1002"/>
      <c r="M70" s="1002"/>
      <c r="N70" s="1105"/>
      <c r="O70" s="1183"/>
      <c r="P70" s="1172"/>
      <c r="Q70" s="1002"/>
      <c r="R70" s="303"/>
      <c r="S70" s="164"/>
      <c r="T70" s="48"/>
      <c r="U70" s="305"/>
      <c r="V70" s="305"/>
      <c r="W70" s="305"/>
      <c r="X70" s="48"/>
      <c r="Y70" s="1094"/>
      <c r="Z70" s="1056"/>
    </row>
    <row r="71" spans="1:26" s="54" customFormat="1" ht="18" customHeight="1">
      <c r="A71" s="1042"/>
      <c r="B71" s="972"/>
      <c r="C71" s="1099"/>
      <c r="D71" s="765" t="s">
        <v>441</v>
      </c>
      <c r="E71" s="766" t="s">
        <v>442</v>
      </c>
      <c r="F71" s="639" t="s">
        <v>513</v>
      </c>
      <c r="G71" s="369" t="s">
        <v>518</v>
      </c>
      <c r="H71" s="366" t="s">
        <v>358</v>
      </c>
      <c r="I71" s="330" t="s">
        <v>578</v>
      </c>
      <c r="J71" s="1076"/>
      <c r="K71" s="1061"/>
      <c r="L71" s="1002"/>
      <c r="M71" s="1002"/>
      <c r="N71" s="1105"/>
      <c r="O71" s="1183"/>
      <c r="P71" s="1172"/>
      <c r="Q71" s="1002"/>
      <c r="R71" s="303"/>
      <c r="S71" s="164"/>
      <c r="T71" s="48"/>
      <c r="U71" s="305"/>
      <c r="V71" s="305"/>
      <c r="W71" s="305"/>
      <c r="X71" s="48"/>
      <c r="Y71" s="1094"/>
      <c r="Z71" s="1056"/>
    </row>
    <row r="72" spans="1:26" s="54" customFormat="1" ht="18" customHeight="1">
      <c r="A72" s="1042"/>
      <c r="B72" s="972"/>
      <c r="C72" s="1099"/>
      <c r="D72" s="765" t="s">
        <v>441</v>
      </c>
      <c r="E72" s="766" t="s">
        <v>442</v>
      </c>
      <c r="F72" s="639" t="s">
        <v>513</v>
      </c>
      <c r="G72" s="509" t="s">
        <v>579</v>
      </c>
      <c r="H72" s="366" t="s">
        <v>388</v>
      </c>
      <c r="I72" s="330" t="s">
        <v>579</v>
      </c>
      <c r="J72" s="1076"/>
      <c r="K72" s="1061"/>
      <c r="L72" s="1002"/>
      <c r="M72" s="1002"/>
      <c r="N72" s="1105"/>
      <c r="O72" s="1183"/>
      <c r="P72" s="1172"/>
      <c r="Q72" s="1002"/>
      <c r="R72" s="303"/>
      <c r="S72" s="164"/>
      <c r="T72" s="48"/>
      <c r="U72" s="305"/>
      <c r="V72" s="305"/>
      <c r="W72" s="305"/>
      <c r="X72" s="48"/>
      <c r="Y72" s="1094"/>
      <c r="Z72" s="1056"/>
    </row>
    <row r="73" spans="1:26" s="54" customFormat="1" ht="18" customHeight="1">
      <c r="A73" s="1042"/>
      <c r="B73" s="972"/>
      <c r="C73" s="1099"/>
      <c r="D73" s="765" t="s">
        <v>441</v>
      </c>
      <c r="E73" s="766" t="s">
        <v>442</v>
      </c>
      <c r="F73" s="639" t="s">
        <v>513</v>
      </c>
      <c r="G73" s="770" t="s">
        <v>524</v>
      </c>
      <c r="H73" s="366" t="s">
        <v>302</v>
      </c>
      <c r="I73" s="330" t="s">
        <v>527</v>
      </c>
      <c r="J73" s="1123"/>
      <c r="K73" s="1123"/>
      <c r="L73" s="1104"/>
      <c r="M73" s="1104"/>
      <c r="N73" s="1123"/>
      <c r="O73" s="1184"/>
      <c r="P73" s="1173"/>
      <c r="Q73" s="1104"/>
      <c r="R73" s="303"/>
      <c r="S73" s="164"/>
      <c r="T73" s="48"/>
      <c r="U73" s="305"/>
      <c r="V73" s="305"/>
      <c r="W73" s="305"/>
      <c r="X73" s="48"/>
      <c r="Y73" s="429"/>
      <c r="Z73" s="124"/>
    </row>
    <row r="74" spans="1:26" s="54" customFormat="1" ht="18" customHeight="1">
      <c r="A74" s="1042"/>
      <c r="B74" s="972"/>
      <c r="C74" s="1099"/>
      <c r="D74" s="778" t="s">
        <v>441</v>
      </c>
      <c r="E74" s="916" t="s">
        <v>443</v>
      </c>
      <c r="F74" s="890" t="s">
        <v>444</v>
      </c>
      <c r="G74" s="882" t="s">
        <v>569</v>
      </c>
      <c r="H74" s="408" t="s">
        <v>371</v>
      </c>
      <c r="I74" s="412" t="s">
        <v>569</v>
      </c>
      <c r="J74" s="383">
        <v>2</v>
      </c>
      <c r="K74" s="526">
        <f>41/1000</f>
        <v>0.041</v>
      </c>
      <c r="L74" s="388" t="s">
        <v>313</v>
      </c>
      <c r="M74" s="24" t="s">
        <v>175</v>
      </c>
      <c r="N74" s="411">
        <f aca="true" t="shared" si="4" ref="N74:N83">SUM(O74,P74)</f>
        <v>29</v>
      </c>
      <c r="O74" s="692">
        <v>11</v>
      </c>
      <c r="P74" s="677">
        <v>18</v>
      </c>
      <c r="Q74" s="24" t="s">
        <v>532</v>
      </c>
      <c r="R74" s="303"/>
      <c r="S74" s="164"/>
      <c r="T74" s="48"/>
      <c r="U74" s="305"/>
      <c r="V74" s="305"/>
      <c r="W74" s="305"/>
      <c r="X74" s="48"/>
      <c r="Y74" s="429"/>
      <c r="Z74" s="124"/>
    </row>
    <row r="75" spans="1:26" s="54" customFormat="1" ht="18" customHeight="1">
      <c r="A75" s="1042"/>
      <c r="B75" s="972"/>
      <c r="C75" s="1099"/>
      <c r="D75" s="772" t="s">
        <v>441</v>
      </c>
      <c r="E75" s="789" t="s">
        <v>443</v>
      </c>
      <c r="F75" s="879" t="s">
        <v>444</v>
      </c>
      <c r="G75" s="880" t="s">
        <v>530</v>
      </c>
      <c r="H75" s="409" t="s">
        <v>369</v>
      </c>
      <c r="I75" s="412" t="s">
        <v>370</v>
      </c>
      <c r="J75" s="383">
        <v>307</v>
      </c>
      <c r="K75" s="526">
        <f>29.2/1000</f>
        <v>0.0292</v>
      </c>
      <c r="L75" s="388" t="s">
        <v>313</v>
      </c>
      <c r="M75" s="24" t="s">
        <v>175</v>
      </c>
      <c r="N75" s="411">
        <f t="shared" si="4"/>
        <v>38</v>
      </c>
      <c r="O75" s="692">
        <v>11</v>
      </c>
      <c r="P75" s="677">
        <v>27</v>
      </c>
      <c r="Q75" s="24" t="s">
        <v>532</v>
      </c>
      <c r="R75" s="502"/>
      <c r="S75" s="502"/>
      <c r="T75" s="48"/>
      <c r="U75" s="305"/>
      <c r="V75" s="305"/>
      <c r="W75" s="305"/>
      <c r="X75" s="48"/>
      <c r="Y75" s="320"/>
      <c r="Z75" s="124"/>
    </row>
    <row r="76" spans="1:26" s="54" customFormat="1" ht="18" customHeight="1">
      <c r="A76" s="1042"/>
      <c r="B76" s="972"/>
      <c r="C76" s="1099"/>
      <c r="D76" s="772" t="s">
        <v>441</v>
      </c>
      <c r="E76" s="789" t="s">
        <v>443</v>
      </c>
      <c r="F76" s="879" t="s">
        <v>444</v>
      </c>
      <c r="G76" s="903" t="s">
        <v>580</v>
      </c>
      <c r="H76" s="408" t="s">
        <v>581</v>
      </c>
      <c r="I76" s="412" t="s">
        <v>580</v>
      </c>
      <c r="J76" s="383">
        <v>7</v>
      </c>
      <c r="K76" s="527">
        <f>128.9/1000</f>
        <v>0.12890000000000001</v>
      </c>
      <c r="L76" s="388" t="s">
        <v>313</v>
      </c>
      <c r="M76" s="24" t="s">
        <v>175</v>
      </c>
      <c r="N76" s="411">
        <f t="shared" si="4"/>
        <v>44</v>
      </c>
      <c r="O76" s="692">
        <v>15</v>
      </c>
      <c r="P76" s="677">
        <v>29</v>
      </c>
      <c r="Q76" s="24" t="s">
        <v>532</v>
      </c>
      <c r="R76" s="303"/>
      <c r="S76" s="303"/>
      <c r="T76" s="48"/>
      <c r="U76" s="305"/>
      <c r="V76" s="305"/>
      <c r="W76" s="305"/>
      <c r="X76" s="48"/>
      <c r="Y76" s="320"/>
      <c r="Z76" s="124"/>
    </row>
    <row r="77" spans="1:26" s="54" customFormat="1" ht="18" customHeight="1">
      <c r="A77" s="1042"/>
      <c r="B77" s="972"/>
      <c r="C77" s="1099"/>
      <c r="D77" s="779" t="s">
        <v>448</v>
      </c>
      <c r="E77" s="890" t="s">
        <v>454</v>
      </c>
      <c r="F77" s="879" t="s">
        <v>535</v>
      </c>
      <c r="G77" s="880" t="s">
        <v>535</v>
      </c>
      <c r="H77" s="513" t="s">
        <v>582</v>
      </c>
      <c r="I77" s="514" t="s">
        <v>583</v>
      </c>
      <c r="J77" s="515">
        <v>15</v>
      </c>
      <c r="K77" s="529">
        <f>162.3/1000</f>
        <v>0.1623</v>
      </c>
      <c r="L77" s="532" t="s">
        <v>389</v>
      </c>
      <c r="M77" s="414" t="s">
        <v>318</v>
      </c>
      <c r="N77" s="411">
        <f t="shared" si="4"/>
        <v>26.3</v>
      </c>
      <c r="O77" s="729">
        <v>8.3</v>
      </c>
      <c r="P77" s="721">
        <v>18</v>
      </c>
      <c r="Q77" s="24" t="s">
        <v>538</v>
      </c>
      <c r="R77" s="303"/>
      <c r="S77" s="164"/>
      <c r="T77" s="48"/>
      <c r="U77" s="305"/>
      <c r="V77" s="305"/>
      <c r="W77" s="305"/>
      <c r="X77" s="109"/>
      <c r="Y77" s="320"/>
      <c r="Z77" s="124"/>
    </row>
    <row r="78" spans="1:26" s="54" customFormat="1" ht="18" customHeight="1">
      <c r="A78" s="1042"/>
      <c r="B78" s="972"/>
      <c r="C78" s="1099"/>
      <c r="D78" s="779" t="s">
        <v>448</v>
      </c>
      <c r="E78" s="890" t="s">
        <v>454</v>
      </c>
      <c r="F78" s="879" t="s">
        <v>535</v>
      </c>
      <c r="G78" s="880" t="s">
        <v>535</v>
      </c>
      <c r="H78" s="513" t="s">
        <v>584</v>
      </c>
      <c r="I78" s="514" t="s">
        <v>585</v>
      </c>
      <c r="J78" s="515">
        <v>10</v>
      </c>
      <c r="K78" s="531">
        <f>52/1000</f>
        <v>0.052</v>
      </c>
      <c r="L78" s="532" t="s">
        <v>389</v>
      </c>
      <c r="M78" s="414" t="s">
        <v>318</v>
      </c>
      <c r="N78" s="411">
        <f t="shared" si="4"/>
        <v>18.6</v>
      </c>
      <c r="O78" s="728">
        <v>5.6</v>
      </c>
      <c r="P78" s="721">
        <v>13</v>
      </c>
      <c r="Q78" s="24" t="s">
        <v>538</v>
      </c>
      <c r="R78" s="303"/>
      <c r="S78" s="164"/>
      <c r="T78" s="48"/>
      <c r="U78" s="305"/>
      <c r="V78" s="305"/>
      <c r="W78" s="305"/>
      <c r="X78" s="109"/>
      <c r="Y78" s="320"/>
      <c r="Z78" s="124"/>
    </row>
    <row r="79" spans="1:26" s="54" customFormat="1" ht="18" customHeight="1">
      <c r="A79" s="1042"/>
      <c r="B79" s="972"/>
      <c r="C79" s="1099"/>
      <c r="D79" s="773" t="s">
        <v>448</v>
      </c>
      <c r="E79" s="881" t="s">
        <v>449</v>
      </c>
      <c r="F79" s="904" t="s">
        <v>535</v>
      </c>
      <c r="G79" s="900" t="s">
        <v>535</v>
      </c>
      <c r="H79" s="513" t="s">
        <v>586</v>
      </c>
      <c r="I79" s="514" t="s">
        <v>553</v>
      </c>
      <c r="J79" s="515">
        <v>20</v>
      </c>
      <c r="K79" s="533">
        <f>101.7/1000</f>
        <v>0.1017</v>
      </c>
      <c r="L79" s="517" t="s">
        <v>389</v>
      </c>
      <c r="M79" s="414" t="s">
        <v>318</v>
      </c>
      <c r="N79" s="411">
        <f t="shared" si="4"/>
        <v>22.2</v>
      </c>
      <c r="O79" s="730">
        <v>7.2</v>
      </c>
      <c r="P79" s="677">
        <v>15</v>
      </c>
      <c r="Q79" s="24" t="s">
        <v>538</v>
      </c>
      <c r="R79" s="303"/>
      <c r="S79" s="303"/>
      <c r="T79" s="48"/>
      <c r="U79" s="305"/>
      <c r="V79" s="305"/>
      <c r="W79" s="305"/>
      <c r="X79" s="109"/>
      <c r="Y79" s="320"/>
      <c r="Z79" s="124"/>
    </row>
    <row r="80" spans="1:26" s="54" customFormat="1" ht="18" customHeight="1">
      <c r="A80" s="1042"/>
      <c r="B80" s="972"/>
      <c r="C80" s="1099"/>
      <c r="D80" s="773" t="s">
        <v>448</v>
      </c>
      <c r="E80" s="881" t="s">
        <v>449</v>
      </c>
      <c r="F80" s="881" t="s">
        <v>554</v>
      </c>
      <c r="G80" s="917" t="s">
        <v>587</v>
      </c>
      <c r="H80" s="408" t="s">
        <v>588</v>
      </c>
      <c r="I80" s="514" t="s">
        <v>589</v>
      </c>
      <c r="J80" s="515">
        <v>19</v>
      </c>
      <c r="K80" s="529">
        <f>110.7/1000</f>
        <v>0.1107</v>
      </c>
      <c r="L80" s="530" t="s">
        <v>328</v>
      </c>
      <c r="M80" s="414" t="s">
        <v>318</v>
      </c>
      <c r="N80" s="411">
        <f t="shared" si="4"/>
        <v>140</v>
      </c>
      <c r="O80" s="714">
        <v>43</v>
      </c>
      <c r="P80" s="721">
        <v>97</v>
      </c>
      <c r="Q80" s="24" t="s">
        <v>538</v>
      </c>
      <c r="R80" s="303"/>
      <c r="S80" s="303"/>
      <c r="T80" s="48"/>
      <c r="U80" s="305"/>
      <c r="V80" s="305"/>
      <c r="W80" s="305"/>
      <c r="X80" s="109"/>
      <c r="Y80" s="320"/>
      <c r="Z80" s="124"/>
    </row>
    <row r="81" spans="1:26" s="54" customFormat="1" ht="18" customHeight="1">
      <c r="A81" s="1042"/>
      <c r="B81" s="972"/>
      <c r="C81" s="1099"/>
      <c r="D81" s="773" t="s">
        <v>448</v>
      </c>
      <c r="E81" s="881" t="s">
        <v>449</v>
      </c>
      <c r="F81" s="637" t="s">
        <v>554</v>
      </c>
      <c r="G81" s="882" t="s">
        <v>587</v>
      </c>
      <c r="H81" s="408" t="s">
        <v>590</v>
      </c>
      <c r="I81" s="412" t="s">
        <v>591</v>
      </c>
      <c r="J81" s="383">
        <v>32</v>
      </c>
      <c r="K81" s="528">
        <f>58.9/1000</f>
        <v>0.0589</v>
      </c>
      <c r="L81" s="339" t="s">
        <v>317</v>
      </c>
      <c r="M81" s="414" t="s">
        <v>318</v>
      </c>
      <c r="N81" s="411">
        <f t="shared" si="4"/>
        <v>68</v>
      </c>
      <c r="O81" s="714">
        <v>23</v>
      </c>
      <c r="P81" s="721">
        <v>45</v>
      </c>
      <c r="Q81" s="24" t="s">
        <v>538</v>
      </c>
      <c r="R81" s="303"/>
      <c r="S81" s="303"/>
      <c r="T81" s="48"/>
      <c r="U81" s="305"/>
      <c r="V81" s="305"/>
      <c r="W81" s="305"/>
      <c r="X81" s="109"/>
      <c r="Y81" s="320"/>
      <c r="Z81" s="124"/>
    </row>
    <row r="82" spans="1:26" s="54" customFormat="1" ht="18" customHeight="1">
      <c r="A82" s="1042"/>
      <c r="B82" s="972"/>
      <c r="C82" s="1099"/>
      <c r="D82" s="775" t="s">
        <v>448</v>
      </c>
      <c r="E82" s="883" t="s">
        <v>450</v>
      </c>
      <c r="F82" s="884" t="s">
        <v>451</v>
      </c>
      <c r="G82" s="885" t="s">
        <v>545</v>
      </c>
      <c r="H82" s="480" t="s">
        <v>592</v>
      </c>
      <c r="I82" s="481" t="s">
        <v>593</v>
      </c>
      <c r="J82" s="482">
        <v>16</v>
      </c>
      <c r="K82" s="534">
        <f>54.6/1000</f>
        <v>0.0546</v>
      </c>
      <c r="L82" s="391" t="s">
        <v>313</v>
      </c>
      <c r="M82" s="348" t="s">
        <v>175</v>
      </c>
      <c r="N82" s="395">
        <f t="shared" si="4"/>
        <v>33</v>
      </c>
      <c r="O82" s="689">
        <v>11</v>
      </c>
      <c r="P82" s="674">
        <v>22</v>
      </c>
      <c r="Q82" s="348" t="s">
        <v>532</v>
      </c>
      <c r="R82" s="303"/>
      <c r="S82" s="502"/>
      <c r="T82" s="48"/>
      <c r="U82" s="305"/>
      <c r="V82" s="305"/>
      <c r="W82" s="305"/>
      <c r="X82" s="48"/>
      <c r="Y82" s="320"/>
      <c r="Z82" s="124"/>
    </row>
    <row r="83" spans="1:26" s="54" customFormat="1" ht="18" customHeight="1">
      <c r="A83" s="1043"/>
      <c r="B83" s="973"/>
      <c r="C83" s="1101"/>
      <c r="D83" s="785" t="s">
        <v>453</v>
      </c>
      <c r="E83" s="918" t="s">
        <v>574</v>
      </c>
      <c r="F83" s="918" t="s">
        <v>574</v>
      </c>
      <c r="G83" s="919" t="s">
        <v>574</v>
      </c>
      <c r="H83" s="400" t="s">
        <v>574</v>
      </c>
      <c r="I83" s="397" t="s">
        <v>340</v>
      </c>
      <c r="J83" s="468" t="s">
        <v>175</v>
      </c>
      <c r="K83" s="535">
        <f>200.2/1000</f>
        <v>0.2002</v>
      </c>
      <c r="L83" s="400" t="s">
        <v>175</v>
      </c>
      <c r="M83" s="401" t="s">
        <v>175</v>
      </c>
      <c r="N83" s="469">
        <f t="shared" si="4"/>
        <v>147</v>
      </c>
      <c r="O83" s="731">
        <v>47</v>
      </c>
      <c r="P83" s="727">
        <v>100</v>
      </c>
      <c r="Q83" s="401" t="s">
        <v>574</v>
      </c>
      <c r="R83" s="502"/>
      <c r="S83" s="502"/>
      <c r="T83" s="48"/>
      <c r="U83" s="305"/>
      <c r="V83" s="305"/>
      <c r="W83" s="305"/>
      <c r="X83" s="48"/>
      <c r="Y83" s="320"/>
      <c r="Z83" s="124"/>
    </row>
    <row r="84" spans="1:26" s="504" customFormat="1" ht="18" customHeight="1">
      <c r="A84" s="305"/>
      <c r="B84" s="48"/>
      <c r="C84" s="832"/>
      <c r="D84" s="301"/>
      <c r="E84" s="836"/>
      <c r="F84" s="836"/>
      <c r="G84" s="836"/>
      <c r="H84" s="537"/>
      <c r="I84" s="538"/>
      <c r="J84" s="838"/>
      <c r="K84" s="839"/>
      <c r="L84" s="537"/>
      <c r="M84" s="48"/>
      <c r="N84" s="837"/>
      <c r="O84" s="826"/>
      <c r="P84" s="826"/>
      <c r="Q84" s="627"/>
      <c r="R84" s="618"/>
      <c r="S84" s="617"/>
      <c r="T84" s="625"/>
      <c r="U84" s="304"/>
      <c r="V84" s="304"/>
      <c r="W84" s="304"/>
      <c r="X84" s="48"/>
      <c r="Y84" s="833"/>
      <c r="Z84" s="833"/>
    </row>
    <row r="85" spans="1:17" s="54" customFormat="1" ht="18" customHeight="1">
      <c r="A85" s="1033" t="s">
        <v>1</v>
      </c>
      <c r="B85" s="1034"/>
      <c r="C85" s="1037" t="s">
        <v>291</v>
      </c>
      <c r="D85" s="1021" t="s">
        <v>430</v>
      </c>
      <c r="E85" s="1025" t="s">
        <v>431</v>
      </c>
      <c r="F85" s="1025" t="s">
        <v>432</v>
      </c>
      <c r="G85" s="1023" t="s">
        <v>433</v>
      </c>
      <c r="H85" s="983" t="s">
        <v>434</v>
      </c>
      <c r="I85" s="983" t="s">
        <v>435</v>
      </c>
      <c r="J85" s="1086" t="s">
        <v>292</v>
      </c>
      <c r="K85" s="1073" t="s">
        <v>293</v>
      </c>
      <c r="L85" s="1088" t="s">
        <v>436</v>
      </c>
      <c r="M85" s="1089"/>
      <c r="N85" s="1083" t="s">
        <v>295</v>
      </c>
      <c r="O85" s="1084"/>
      <c r="P85" s="1085"/>
      <c r="Q85" s="1030" t="s">
        <v>437</v>
      </c>
    </row>
    <row r="86" spans="1:20" s="54" customFormat="1" ht="18" customHeight="1">
      <c r="A86" s="1035"/>
      <c r="B86" s="1036"/>
      <c r="C86" s="1038"/>
      <c r="D86" s="1022"/>
      <c r="E86" s="1026"/>
      <c r="F86" s="1026"/>
      <c r="G86" s="1024"/>
      <c r="H86" s="1032"/>
      <c r="I86" s="1032"/>
      <c r="J86" s="1087"/>
      <c r="K86" s="1074"/>
      <c r="L86" s="612" t="s">
        <v>294</v>
      </c>
      <c r="M86" s="319" t="s">
        <v>296</v>
      </c>
      <c r="N86" s="613" t="s">
        <v>297</v>
      </c>
      <c r="O86" s="614" t="s">
        <v>438</v>
      </c>
      <c r="P86" s="615" t="s">
        <v>439</v>
      </c>
      <c r="Q86" s="1103"/>
      <c r="S86" s="439"/>
      <c r="T86" s="439"/>
    </row>
    <row r="87" spans="1:20" s="54" customFormat="1" ht="18" customHeight="1">
      <c r="A87" s="1041" t="s">
        <v>366</v>
      </c>
      <c r="B87" s="1093" t="s">
        <v>484</v>
      </c>
      <c r="C87" s="471">
        <v>41497</v>
      </c>
      <c r="D87" s="840" t="s">
        <v>441</v>
      </c>
      <c r="E87" s="920" t="s">
        <v>443</v>
      </c>
      <c r="F87" s="897" t="s">
        <v>444</v>
      </c>
      <c r="G87" s="797" t="s">
        <v>580</v>
      </c>
      <c r="H87" s="483" t="s">
        <v>581</v>
      </c>
      <c r="I87" s="484" t="s">
        <v>580</v>
      </c>
      <c r="J87" s="359">
        <v>13</v>
      </c>
      <c r="K87" s="485">
        <f>1222.5/1000</f>
        <v>1.2225</v>
      </c>
      <c r="L87" s="360" t="s">
        <v>313</v>
      </c>
      <c r="M87" s="30" t="s">
        <v>175</v>
      </c>
      <c r="N87" s="622">
        <f aca="true" t="shared" si="5" ref="N87:N96">SUM(O87,P87)</f>
        <v>161</v>
      </c>
      <c r="O87" s="715">
        <v>51</v>
      </c>
      <c r="P87" s="708">
        <v>110</v>
      </c>
      <c r="Q87" s="647" t="s">
        <v>532</v>
      </c>
      <c r="S87" s="439"/>
      <c r="T87" s="439"/>
    </row>
    <row r="88" spans="1:20" s="54" customFormat="1" ht="18" customHeight="1">
      <c r="A88" s="1039"/>
      <c r="B88" s="1031"/>
      <c r="C88" s="487">
        <v>41513</v>
      </c>
      <c r="D88" s="779" t="s">
        <v>448</v>
      </c>
      <c r="E88" s="890" t="s">
        <v>454</v>
      </c>
      <c r="F88" s="890" t="s">
        <v>566</v>
      </c>
      <c r="G88" s="882" t="s">
        <v>566</v>
      </c>
      <c r="H88" s="488" t="s">
        <v>567</v>
      </c>
      <c r="I88" s="489" t="s">
        <v>374</v>
      </c>
      <c r="J88" s="376">
        <v>31</v>
      </c>
      <c r="K88" s="490">
        <f>1083.2/1000</f>
        <v>1.0832</v>
      </c>
      <c r="L88" s="378" t="s">
        <v>316</v>
      </c>
      <c r="M88" s="38" t="s">
        <v>175</v>
      </c>
      <c r="N88" s="478">
        <f t="shared" si="5"/>
        <v>102</v>
      </c>
      <c r="O88" s="716">
        <v>32</v>
      </c>
      <c r="P88" s="709">
        <v>70</v>
      </c>
      <c r="Q88" s="551" t="s">
        <v>541</v>
      </c>
      <c r="S88" s="439"/>
      <c r="T88" s="439"/>
    </row>
    <row r="89" spans="1:20" s="54" customFormat="1" ht="18" customHeight="1">
      <c r="A89" s="1039"/>
      <c r="B89" s="1031"/>
      <c r="C89" s="1175">
        <v>41514</v>
      </c>
      <c r="D89" s="779" t="s">
        <v>448</v>
      </c>
      <c r="E89" s="890" t="s">
        <v>454</v>
      </c>
      <c r="F89" s="890" t="s">
        <v>566</v>
      </c>
      <c r="G89" s="882" t="s">
        <v>566</v>
      </c>
      <c r="H89" s="422" t="s">
        <v>567</v>
      </c>
      <c r="I89" s="409" t="s">
        <v>375</v>
      </c>
      <c r="J89" s="337">
        <v>22</v>
      </c>
      <c r="K89" s="341">
        <f>492.7/1000</f>
        <v>0.49269999999999997</v>
      </c>
      <c r="L89" s="339" t="s">
        <v>316</v>
      </c>
      <c r="M89" s="491" t="s">
        <v>318</v>
      </c>
      <c r="N89" s="478">
        <f>SUM(O89,P89)</f>
        <v>63</v>
      </c>
      <c r="O89" s="714">
        <v>20</v>
      </c>
      <c r="P89" s="707">
        <v>43</v>
      </c>
      <c r="Q89" s="551" t="s">
        <v>538</v>
      </c>
      <c r="S89" s="439"/>
      <c r="T89" s="439"/>
    </row>
    <row r="90" spans="1:20" s="54" customFormat="1" ht="18" customHeight="1">
      <c r="A90" s="1039"/>
      <c r="B90" s="1031"/>
      <c r="C90" s="1176"/>
      <c r="D90" s="779" t="s">
        <v>448</v>
      </c>
      <c r="E90" s="890" t="s">
        <v>454</v>
      </c>
      <c r="F90" s="879" t="s">
        <v>535</v>
      </c>
      <c r="G90" s="880" t="s">
        <v>535</v>
      </c>
      <c r="H90" s="422" t="s">
        <v>586</v>
      </c>
      <c r="I90" s="409" t="s">
        <v>553</v>
      </c>
      <c r="J90" s="337">
        <v>13</v>
      </c>
      <c r="K90" s="338">
        <f>76.5/1000</f>
        <v>0.0765</v>
      </c>
      <c r="L90" s="342" t="s">
        <v>362</v>
      </c>
      <c r="M90" s="33" t="s">
        <v>175</v>
      </c>
      <c r="N90" s="478">
        <f>SUM(O90,P90)</f>
        <v>79</v>
      </c>
      <c r="O90" s="714">
        <v>25</v>
      </c>
      <c r="P90" s="707">
        <v>54</v>
      </c>
      <c r="Q90" s="551" t="s">
        <v>551</v>
      </c>
      <c r="S90" s="439"/>
      <c r="T90" s="439"/>
    </row>
    <row r="91" spans="1:20" s="54" customFormat="1" ht="18" customHeight="1">
      <c r="A91" s="1039"/>
      <c r="B91" s="1032"/>
      <c r="C91" s="1038"/>
      <c r="D91" s="781" t="s">
        <v>448</v>
      </c>
      <c r="E91" s="891" t="s">
        <v>449</v>
      </c>
      <c r="F91" s="892" t="s">
        <v>542</v>
      </c>
      <c r="G91" s="921" t="s">
        <v>542</v>
      </c>
      <c r="H91" s="492" t="s">
        <v>543</v>
      </c>
      <c r="I91" s="493" t="s">
        <v>544</v>
      </c>
      <c r="J91" s="363">
        <v>2</v>
      </c>
      <c r="K91" s="494">
        <f>33.9/1000</f>
        <v>0.0339</v>
      </c>
      <c r="L91" s="495" t="s">
        <v>363</v>
      </c>
      <c r="M91" s="497" t="s">
        <v>594</v>
      </c>
      <c r="N91" s="496">
        <f t="shared" si="5"/>
        <v>46</v>
      </c>
      <c r="O91" s="717">
        <v>15</v>
      </c>
      <c r="P91" s="710">
        <v>31</v>
      </c>
      <c r="Q91" s="34" t="s">
        <v>551</v>
      </c>
      <c r="S91" s="439"/>
      <c r="T91" s="439"/>
    </row>
    <row r="92" spans="1:26" s="54" customFormat="1" ht="18" customHeight="1">
      <c r="A92" s="1039"/>
      <c r="B92" s="1111" t="s">
        <v>485</v>
      </c>
      <c r="C92" s="1115">
        <v>41514</v>
      </c>
      <c r="D92" s="764" t="s">
        <v>440</v>
      </c>
      <c r="E92" s="907" t="s">
        <v>558</v>
      </c>
      <c r="F92" s="907" t="s">
        <v>558</v>
      </c>
      <c r="G92" s="621" t="s">
        <v>558</v>
      </c>
      <c r="H92" s="326" t="s">
        <v>558</v>
      </c>
      <c r="I92" s="505" t="s">
        <v>298</v>
      </c>
      <c r="J92" s="506" t="s">
        <v>175</v>
      </c>
      <c r="K92" s="325">
        <f>42.6392/1000</f>
        <v>0.0426392</v>
      </c>
      <c r="L92" s="506" t="s">
        <v>175</v>
      </c>
      <c r="M92" s="327" t="s">
        <v>175</v>
      </c>
      <c r="N92" s="507">
        <f t="shared" si="5"/>
        <v>400</v>
      </c>
      <c r="O92" s="746">
        <v>130</v>
      </c>
      <c r="P92" s="711">
        <v>270</v>
      </c>
      <c r="Q92" s="621" t="s">
        <v>538</v>
      </c>
      <c r="R92" s="164"/>
      <c r="S92" s="164"/>
      <c r="T92" s="48"/>
      <c r="U92" s="48"/>
      <c r="V92" s="48"/>
      <c r="W92" s="48"/>
      <c r="X92" s="48"/>
      <c r="Y92" s="320"/>
      <c r="Z92" s="124"/>
    </row>
    <row r="93" spans="1:26" s="54" customFormat="1" ht="18" customHeight="1">
      <c r="A93" s="1039"/>
      <c r="B93" s="1112"/>
      <c r="C93" s="1116"/>
      <c r="D93" s="786" t="s">
        <v>457</v>
      </c>
      <c r="E93" s="922" t="s">
        <v>458</v>
      </c>
      <c r="F93" s="923" t="s">
        <v>595</v>
      </c>
      <c r="G93" s="924" t="s">
        <v>596</v>
      </c>
      <c r="H93" s="459" t="s">
        <v>597</v>
      </c>
      <c r="I93" s="460" t="s">
        <v>598</v>
      </c>
      <c r="J93" s="474" t="s">
        <v>175</v>
      </c>
      <c r="K93" s="476">
        <f>126.9/1000</f>
        <v>0.1269</v>
      </c>
      <c r="L93" s="475" t="s">
        <v>175</v>
      </c>
      <c r="M93" s="465" t="s">
        <v>175</v>
      </c>
      <c r="N93" s="566">
        <f t="shared" si="5"/>
        <v>9.9</v>
      </c>
      <c r="O93" s="720" t="s">
        <v>599</v>
      </c>
      <c r="P93" s="713">
        <v>9.9</v>
      </c>
      <c r="Q93" s="642" t="s">
        <v>600</v>
      </c>
      <c r="R93" s="164"/>
      <c r="S93" s="164"/>
      <c r="T93" s="48"/>
      <c r="U93" s="48"/>
      <c r="V93" s="48"/>
      <c r="W93" s="48"/>
      <c r="X93" s="48"/>
      <c r="Y93" s="320"/>
      <c r="Z93" s="124"/>
    </row>
    <row r="94" spans="1:26" s="54" customFormat="1" ht="18" customHeight="1">
      <c r="A94" s="1039"/>
      <c r="B94" s="1113"/>
      <c r="C94" s="1117"/>
      <c r="D94" s="800" t="s">
        <v>456</v>
      </c>
      <c r="E94" s="923" t="s">
        <v>601</v>
      </c>
      <c r="F94" s="923" t="s">
        <v>601</v>
      </c>
      <c r="G94" s="924" t="s">
        <v>601</v>
      </c>
      <c r="H94" s="459" t="s">
        <v>602</v>
      </c>
      <c r="I94" s="460" t="s">
        <v>367</v>
      </c>
      <c r="J94" s="474" t="s">
        <v>175</v>
      </c>
      <c r="K94" s="462">
        <f>39.5/1000</f>
        <v>0.0395</v>
      </c>
      <c r="L94" s="475" t="s">
        <v>175</v>
      </c>
      <c r="M94" s="465" t="s">
        <v>175</v>
      </c>
      <c r="N94" s="456">
        <f t="shared" si="5"/>
        <v>256</v>
      </c>
      <c r="O94" s="966">
        <v>86</v>
      </c>
      <c r="P94" s="712">
        <v>170</v>
      </c>
      <c r="Q94" s="642" t="s">
        <v>603</v>
      </c>
      <c r="R94" s="502"/>
      <c r="S94" s="502"/>
      <c r="T94" s="48"/>
      <c r="U94" s="304"/>
      <c r="V94" s="304"/>
      <c r="W94" s="304"/>
      <c r="X94" s="48"/>
      <c r="Y94" s="320"/>
      <c r="Z94" s="124"/>
    </row>
    <row r="95" spans="1:26" s="54" customFormat="1" ht="18" customHeight="1">
      <c r="A95" s="1039"/>
      <c r="B95" s="1113"/>
      <c r="C95" s="1117"/>
      <c r="D95" s="786" t="s">
        <v>471</v>
      </c>
      <c r="E95" s="808" t="s">
        <v>472</v>
      </c>
      <c r="F95" s="808" t="s">
        <v>604</v>
      </c>
      <c r="G95" s="809" t="s">
        <v>604</v>
      </c>
      <c r="H95" s="459" t="s">
        <v>605</v>
      </c>
      <c r="I95" s="460" t="s">
        <v>606</v>
      </c>
      <c r="J95" s="474" t="s">
        <v>175</v>
      </c>
      <c r="K95" s="462">
        <f>15.5/1000</f>
        <v>0.0155</v>
      </c>
      <c r="L95" s="463" t="s">
        <v>175</v>
      </c>
      <c r="M95" s="465" t="s">
        <v>175</v>
      </c>
      <c r="N95" s="456">
        <f t="shared" si="5"/>
        <v>23.9</v>
      </c>
      <c r="O95" s="719">
        <v>6.9</v>
      </c>
      <c r="P95" s="712">
        <v>17</v>
      </c>
      <c r="Q95" s="642" t="s">
        <v>607</v>
      </c>
      <c r="R95" s="164"/>
      <c r="S95" s="502"/>
      <c r="T95" s="48"/>
      <c r="U95" s="304"/>
      <c r="V95" s="304"/>
      <c r="W95" s="304"/>
      <c r="X95" s="48"/>
      <c r="Y95" s="320"/>
      <c r="Z95" s="124"/>
    </row>
    <row r="96" spans="1:26" s="54" customFormat="1" ht="18" customHeight="1">
      <c r="A96" s="1039"/>
      <c r="B96" s="1113"/>
      <c r="C96" s="1117"/>
      <c r="D96" s="765" t="s">
        <v>441</v>
      </c>
      <c r="E96" s="766" t="s">
        <v>442</v>
      </c>
      <c r="F96" s="766" t="s">
        <v>507</v>
      </c>
      <c r="G96" s="369" t="s">
        <v>508</v>
      </c>
      <c r="H96" s="366" t="s">
        <v>509</v>
      </c>
      <c r="I96" s="367" t="s">
        <v>508</v>
      </c>
      <c r="J96" s="1075">
        <v>291</v>
      </c>
      <c r="K96" s="1078">
        <f>66.1/1000</f>
        <v>0.06609999999999999</v>
      </c>
      <c r="L96" s="1069" t="s">
        <v>300</v>
      </c>
      <c r="M96" s="1060" t="s">
        <v>175</v>
      </c>
      <c r="N96" s="1065">
        <f t="shared" si="5"/>
        <v>159</v>
      </c>
      <c r="O96" s="1066">
        <v>49</v>
      </c>
      <c r="P96" s="1119">
        <v>110</v>
      </c>
      <c r="Q96" s="1124" t="s">
        <v>516</v>
      </c>
      <c r="R96" s="502"/>
      <c r="S96" s="502"/>
      <c r="T96" s="48"/>
      <c r="U96" s="304"/>
      <c r="V96" s="304"/>
      <c r="W96" s="304"/>
      <c r="X96" s="48"/>
      <c r="Y96" s="1063"/>
      <c r="Z96" s="1056"/>
    </row>
    <row r="97" spans="1:26" s="54" customFormat="1" ht="18" customHeight="1">
      <c r="A97" s="1039"/>
      <c r="B97" s="1113"/>
      <c r="C97" s="1117"/>
      <c r="D97" s="765" t="s">
        <v>441</v>
      </c>
      <c r="E97" s="766" t="s">
        <v>442</v>
      </c>
      <c r="F97" s="639" t="s">
        <v>507</v>
      </c>
      <c r="G97" s="369" t="s">
        <v>508</v>
      </c>
      <c r="H97" s="366" t="s">
        <v>511</v>
      </c>
      <c r="I97" s="368" t="s">
        <v>512</v>
      </c>
      <c r="J97" s="1077"/>
      <c r="K97" s="1080"/>
      <c r="L97" s="1071"/>
      <c r="M97" s="1072"/>
      <c r="N97" s="1123"/>
      <c r="O97" s="1068"/>
      <c r="P97" s="1121"/>
      <c r="Q97" s="1127"/>
      <c r="R97" s="502"/>
      <c r="S97" s="502"/>
      <c r="T97" s="48"/>
      <c r="U97" s="304"/>
      <c r="V97" s="304"/>
      <c r="W97" s="304"/>
      <c r="X97" s="48"/>
      <c r="Y97" s="1094"/>
      <c r="Z97" s="1056"/>
    </row>
    <row r="98" spans="1:26" s="54" customFormat="1" ht="18" customHeight="1">
      <c r="A98" s="1039"/>
      <c r="B98" s="1113"/>
      <c r="C98" s="1117"/>
      <c r="D98" s="765" t="s">
        <v>441</v>
      </c>
      <c r="E98" s="766" t="s">
        <v>442</v>
      </c>
      <c r="F98" s="776" t="s">
        <v>568</v>
      </c>
      <c r="G98" s="802" t="s">
        <v>568</v>
      </c>
      <c r="H98" s="366" t="s">
        <v>608</v>
      </c>
      <c r="I98" s="330" t="s">
        <v>609</v>
      </c>
      <c r="J98" s="1075">
        <v>160</v>
      </c>
      <c r="K98" s="1078">
        <f>93.576/1000</f>
        <v>0.09357599999999999</v>
      </c>
      <c r="L98" s="1069" t="s">
        <v>300</v>
      </c>
      <c r="M98" s="1060" t="s">
        <v>175</v>
      </c>
      <c r="N98" s="1065">
        <f>SUM(O98,P98)</f>
        <v>63</v>
      </c>
      <c r="O98" s="1066">
        <v>20</v>
      </c>
      <c r="P98" s="1119">
        <v>43</v>
      </c>
      <c r="Q98" s="1124" t="s">
        <v>516</v>
      </c>
      <c r="R98" s="502"/>
      <c r="S98" s="502"/>
      <c r="T98" s="48"/>
      <c r="U98" s="304"/>
      <c r="V98" s="304"/>
      <c r="W98" s="304"/>
      <c r="X98" s="48"/>
      <c r="Y98" s="1063"/>
      <c r="Z98" s="1056"/>
    </row>
    <row r="99" spans="1:26" s="54" customFormat="1" ht="18" customHeight="1">
      <c r="A99" s="1039"/>
      <c r="B99" s="1113"/>
      <c r="C99" s="1117"/>
      <c r="D99" s="765" t="s">
        <v>441</v>
      </c>
      <c r="E99" s="766" t="s">
        <v>442</v>
      </c>
      <c r="F99" s="776" t="s">
        <v>568</v>
      </c>
      <c r="G99" s="777" t="s">
        <v>568</v>
      </c>
      <c r="H99" s="366" t="s">
        <v>610</v>
      </c>
      <c r="I99" s="329" t="s">
        <v>568</v>
      </c>
      <c r="J99" s="1076"/>
      <c r="K99" s="1079"/>
      <c r="L99" s="1070"/>
      <c r="M99" s="1002"/>
      <c r="N99" s="1105"/>
      <c r="O99" s="1067"/>
      <c r="P99" s="1120"/>
      <c r="Q99" s="1125"/>
      <c r="R99" s="502"/>
      <c r="S99" s="502"/>
      <c r="T99" s="48"/>
      <c r="U99" s="304"/>
      <c r="V99" s="304"/>
      <c r="W99" s="304"/>
      <c r="X99" s="48"/>
      <c r="Y99" s="1063"/>
      <c r="Z99" s="1056"/>
    </row>
    <row r="100" spans="1:26" s="54" customFormat="1" ht="18" customHeight="1">
      <c r="A100" s="1039"/>
      <c r="B100" s="1113"/>
      <c r="C100" s="1117"/>
      <c r="D100" s="765" t="s">
        <v>441</v>
      </c>
      <c r="E100" s="766" t="s">
        <v>442</v>
      </c>
      <c r="F100" s="639" t="s">
        <v>513</v>
      </c>
      <c r="G100" s="369" t="s">
        <v>514</v>
      </c>
      <c r="H100" s="366" t="s">
        <v>310</v>
      </c>
      <c r="I100" s="330" t="s">
        <v>515</v>
      </c>
      <c r="J100" s="1075">
        <v>56</v>
      </c>
      <c r="K100" s="1078">
        <f>14.35/1000</f>
        <v>0.01435</v>
      </c>
      <c r="L100" s="1069" t="s">
        <v>300</v>
      </c>
      <c r="M100" s="1060" t="s">
        <v>175</v>
      </c>
      <c r="N100" s="1065">
        <f>SUM(O100,P100)</f>
        <v>67</v>
      </c>
      <c r="O100" s="1066">
        <v>20</v>
      </c>
      <c r="P100" s="1119">
        <v>47</v>
      </c>
      <c r="Q100" s="1124" t="s">
        <v>516</v>
      </c>
      <c r="R100" s="164"/>
      <c r="S100" s="164"/>
      <c r="T100" s="48"/>
      <c r="U100" s="304"/>
      <c r="V100" s="304"/>
      <c r="W100" s="304"/>
      <c r="X100" s="48"/>
      <c r="Y100" s="1063"/>
      <c r="Z100" s="1056"/>
    </row>
    <row r="101" spans="1:26" s="54" customFormat="1" ht="18" customHeight="1">
      <c r="A101" s="1039"/>
      <c r="B101" s="1113"/>
      <c r="C101" s="1117"/>
      <c r="D101" s="765" t="s">
        <v>441</v>
      </c>
      <c r="E101" s="766" t="s">
        <v>442</v>
      </c>
      <c r="F101" s="639" t="s">
        <v>513</v>
      </c>
      <c r="G101" s="369" t="s">
        <v>518</v>
      </c>
      <c r="H101" s="366" t="s">
        <v>305</v>
      </c>
      <c r="I101" s="330" t="s">
        <v>611</v>
      </c>
      <c r="J101" s="1076"/>
      <c r="K101" s="1079"/>
      <c r="L101" s="1070"/>
      <c r="M101" s="1002"/>
      <c r="N101" s="1122"/>
      <c r="O101" s="1067"/>
      <c r="P101" s="1120"/>
      <c r="Q101" s="1126"/>
      <c r="R101" s="164"/>
      <c r="S101" s="164"/>
      <c r="T101" s="48"/>
      <c r="U101" s="304"/>
      <c r="V101" s="304"/>
      <c r="W101" s="304"/>
      <c r="X101" s="48"/>
      <c r="Y101" s="1094"/>
      <c r="Z101" s="1056"/>
    </row>
    <row r="102" spans="1:26" s="54" customFormat="1" ht="18" customHeight="1">
      <c r="A102" s="1039"/>
      <c r="B102" s="1113"/>
      <c r="C102" s="1117"/>
      <c r="D102" s="765" t="s">
        <v>441</v>
      </c>
      <c r="E102" s="766" t="s">
        <v>442</v>
      </c>
      <c r="F102" s="639" t="s">
        <v>513</v>
      </c>
      <c r="G102" s="369" t="s">
        <v>518</v>
      </c>
      <c r="H102" s="366" t="s">
        <v>612</v>
      </c>
      <c r="I102" s="330" t="s">
        <v>357</v>
      </c>
      <c r="J102" s="1076"/>
      <c r="K102" s="1079"/>
      <c r="L102" s="1070"/>
      <c r="M102" s="1002"/>
      <c r="N102" s="1122"/>
      <c r="O102" s="1067"/>
      <c r="P102" s="1120"/>
      <c r="Q102" s="1126"/>
      <c r="R102" s="164"/>
      <c r="S102" s="164"/>
      <c r="T102" s="48"/>
      <c r="U102" s="304"/>
      <c r="V102" s="304"/>
      <c r="W102" s="304"/>
      <c r="X102" s="48"/>
      <c r="Y102" s="1094"/>
      <c r="Z102" s="1056"/>
    </row>
    <row r="103" spans="1:26" s="54" customFormat="1" ht="18" customHeight="1">
      <c r="A103" s="1039"/>
      <c r="B103" s="1113"/>
      <c r="C103" s="1117"/>
      <c r="D103" s="765" t="s">
        <v>441</v>
      </c>
      <c r="E103" s="766" t="s">
        <v>442</v>
      </c>
      <c r="F103" s="639" t="s">
        <v>513</v>
      </c>
      <c r="G103" s="369" t="s">
        <v>518</v>
      </c>
      <c r="H103" s="366" t="s">
        <v>307</v>
      </c>
      <c r="I103" s="330" t="s">
        <v>522</v>
      </c>
      <c r="J103" s="1076"/>
      <c r="K103" s="1079"/>
      <c r="L103" s="1070"/>
      <c r="M103" s="1002"/>
      <c r="N103" s="1122"/>
      <c r="O103" s="1067"/>
      <c r="P103" s="1120"/>
      <c r="Q103" s="1126"/>
      <c r="R103" s="164"/>
      <c r="S103" s="164"/>
      <c r="T103" s="48"/>
      <c r="U103" s="304"/>
      <c r="V103" s="304"/>
      <c r="W103" s="304"/>
      <c r="X103" s="48"/>
      <c r="Y103" s="1094"/>
      <c r="Z103" s="1056"/>
    </row>
    <row r="104" spans="1:26" s="54" customFormat="1" ht="18" customHeight="1">
      <c r="A104" s="1039"/>
      <c r="B104" s="1113"/>
      <c r="C104" s="1117"/>
      <c r="D104" s="765" t="s">
        <v>441</v>
      </c>
      <c r="E104" s="766" t="s">
        <v>442</v>
      </c>
      <c r="F104" s="639" t="s">
        <v>513</v>
      </c>
      <c r="G104" s="369" t="s">
        <v>518</v>
      </c>
      <c r="H104" s="366" t="s">
        <v>308</v>
      </c>
      <c r="I104" s="329" t="s">
        <v>523</v>
      </c>
      <c r="J104" s="1076"/>
      <c r="K104" s="1079"/>
      <c r="L104" s="1070"/>
      <c r="M104" s="1002"/>
      <c r="N104" s="1122"/>
      <c r="O104" s="1067"/>
      <c r="P104" s="1120"/>
      <c r="Q104" s="1126"/>
      <c r="R104" s="164"/>
      <c r="S104" s="164"/>
      <c r="T104" s="48"/>
      <c r="U104" s="304"/>
      <c r="V104" s="304"/>
      <c r="W104" s="304"/>
      <c r="X104" s="48"/>
      <c r="Y104" s="1094"/>
      <c r="Z104" s="1056"/>
    </row>
    <row r="105" spans="1:26" s="54" customFormat="1" ht="18" customHeight="1">
      <c r="A105" s="1039"/>
      <c r="B105" s="1113"/>
      <c r="C105" s="1117"/>
      <c r="D105" s="765" t="s">
        <v>441</v>
      </c>
      <c r="E105" s="766" t="s">
        <v>442</v>
      </c>
      <c r="F105" s="639" t="s">
        <v>513</v>
      </c>
      <c r="G105" s="369" t="s">
        <v>518</v>
      </c>
      <c r="H105" s="366" t="s">
        <v>368</v>
      </c>
      <c r="I105" s="330" t="s">
        <v>613</v>
      </c>
      <c r="J105" s="1076"/>
      <c r="K105" s="1079"/>
      <c r="L105" s="1070"/>
      <c r="M105" s="1002"/>
      <c r="N105" s="1122"/>
      <c r="O105" s="1067"/>
      <c r="P105" s="1120"/>
      <c r="Q105" s="1126"/>
      <c r="R105" s="164"/>
      <c r="S105" s="164"/>
      <c r="T105" s="48"/>
      <c r="U105" s="304"/>
      <c r="V105" s="304"/>
      <c r="W105" s="304"/>
      <c r="X105" s="48"/>
      <c r="Y105" s="1094"/>
      <c r="Z105" s="1056"/>
    </row>
    <row r="106" spans="1:26" s="54" customFormat="1" ht="18" customHeight="1">
      <c r="A106" s="1039"/>
      <c r="B106" s="1113"/>
      <c r="C106" s="1117"/>
      <c r="D106" s="765" t="s">
        <v>441</v>
      </c>
      <c r="E106" s="766" t="s">
        <v>442</v>
      </c>
      <c r="F106" s="639" t="s">
        <v>513</v>
      </c>
      <c r="G106" s="369" t="s">
        <v>518</v>
      </c>
      <c r="H106" s="366" t="s">
        <v>358</v>
      </c>
      <c r="I106" s="330" t="s">
        <v>578</v>
      </c>
      <c r="J106" s="1077"/>
      <c r="K106" s="1080"/>
      <c r="L106" s="1071"/>
      <c r="M106" s="1072"/>
      <c r="N106" s="1123"/>
      <c r="O106" s="1068"/>
      <c r="P106" s="1121"/>
      <c r="Q106" s="1127"/>
      <c r="R106" s="164"/>
      <c r="S106" s="164"/>
      <c r="T106" s="48"/>
      <c r="U106" s="304"/>
      <c r="V106" s="304"/>
      <c r="W106" s="304"/>
      <c r="X106" s="48"/>
      <c r="Y106" s="1094"/>
      <c r="Z106" s="1056"/>
    </row>
    <row r="107" spans="1:26" s="54" customFormat="1" ht="18" customHeight="1">
      <c r="A107" s="1039"/>
      <c r="B107" s="1113"/>
      <c r="C107" s="1117"/>
      <c r="D107" s="778" t="s">
        <v>441</v>
      </c>
      <c r="E107" s="890" t="s">
        <v>443</v>
      </c>
      <c r="F107" s="890" t="s">
        <v>444</v>
      </c>
      <c r="G107" s="882" t="s">
        <v>569</v>
      </c>
      <c r="H107" s="422" t="s">
        <v>371</v>
      </c>
      <c r="I107" s="409" t="s">
        <v>569</v>
      </c>
      <c r="J107" s="337">
        <v>5</v>
      </c>
      <c r="K107" s="341">
        <f>109.2/1000</f>
        <v>0.1092</v>
      </c>
      <c r="L107" s="339" t="s">
        <v>313</v>
      </c>
      <c r="M107" s="33" t="s">
        <v>175</v>
      </c>
      <c r="N107" s="478">
        <f>SUM(O107,P107)</f>
        <v>450</v>
      </c>
      <c r="O107" s="714">
        <v>140</v>
      </c>
      <c r="P107" s="707">
        <v>310</v>
      </c>
      <c r="Q107" s="551" t="s">
        <v>532</v>
      </c>
      <c r="R107" s="164"/>
      <c r="S107" s="164"/>
      <c r="T107" s="48"/>
      <c r="U107" s="304"/>
      <c r="V107" s="304"/>
      <c r="W107" s="304"/>
      <c r="X107" s="48"/>
      <c r="Y107" s="429"/>
      <c r="Z107" s="124"/>
    </row>
    <row r="108" spans="1:26" s="54" customFormat="1" ht="18" customHeight="1">
      <c r="A108" s="1039"/>
      <c r="B108" s="1113"/>
      <c r="C108" s="1117"/>
      <c r="D108" s="772" t="s">
        <v>441</v>
      </c>
      <c r="E108" s="916" t="s">
        <v>443</v>
      </c>
      <c r="F108" s="925" t="s">
        <v>444</v>
      </c>
      <c r="G108" s="926" t="s">
        <v>530</v>
      </c>
      <c r="H108" s="409" t="s">
        <v>369</v>
      </c>
      <c r="I108" s="409" t="s">
        <v>370</v>
      </c>
      <c r="J108" s="337">
        <v>238</v>
      </c>
      <c r="K108" s="338">
        <f>31.2/1000</f>
        <v>0.0312</v>
      </c>
      <c r="L108" s="339" t="s">
        <v>313</v>
      </c>
      <c r="M108" s="33" t="s">
        <v>175</v>
      </c>
      <c r="N108" s="478">
        <f>SUM(O108,P108)</f>
        <v>218</v>
      </c>
      <c r="O108" s="714">
        <v>68</v>
      </c>
      <c r="P108" s="707">
        <v>150</v>
      </c>
      <c r="Q108" s="551" t="s">
        <v>532</v>
      </c>
      <c r="R108" s="164"/>
      <c r="S108" s="164"/>
      <c r="T108" s="48"/>
      <c r="U108" s="304"/>
      <c r="V108" s="304"/>
      <c r="W108" s="304"/>
      <c r="X108" s="48"/>
      <c r="Y108" s="320"/>
      <c r="Z108" s="124"/>
    </row>
    <row r="109" spans="1:26" s="54" customFormat="1" ht="18" customHeight="1">
      <c r="A109" s="1039"/>
      <c r="B109" s="1113"/>
      <c r="C109" s="1117"/>
      <c r="D109" s="772" t="s">
        <v>445</v>
      </c>
      <c r="E109" s="789" t="s">
        <v>446</v>
      </c>
      <c r="F109" s="879" t="s">
        <v>447</v>
      </c>
      <c r="G109" s="880" t="s">
        <v>533</v>
      </c>
      <c r="H109" s="422" t="s">
        <v>372</v>
      </c>
      <c r="I109" s="409" t="s">
        <v>373</v>
      </c>
      <c r="J109" s="337">
        <v>74</v>
      </c>
      <c r="K109" s="338">
        <f>79.6/1000</f>
        <v>0.07959999999999999</v>
      </c>
      <c r="L109" s="339" t="s">
        <v>313</v>
      </c>
      <c r="M109" s="33" t="s">
        <v>175</v>
      </c>
      <c r="N109" s="478">
        <f>SUM(O109,P109)</f>
        <v>42</v>
      </c>
      <c r="O109" s="714">
        <v>13</v>
      </c>
      <c r="P109" s="707">
        <v>29</v>
      </c>
      <c r="Q109" s="551" t="s">
        <v>532</v>
      </c>
      <c r="R109" s="502"/>
      <c r="S109" s="502"/>
      <c r="T109" s="48"/>
      <c r="U109" s="304"/>
      <c r="V109" s="304"/>
      <c r="W109" s="304"/>
      <c r="X109" s="48"/>
      <c r="Y109" s="320"/>
      <c r="Z109" s="124"/>
    </row>
    <row r="110" spans="1:26" s="54" customFormat="1" ht="18" customHeight="1">
      <c r="A110" s="1039"/>
      <c r="B110" s="1113"/>
      <c r="C110" s="1117"/>
      <c r="D110" s="773" t="s">
        <v>448</v>
      </c>
      <c r="E110" s="881" t="s">
        <v>449</v>
      </c>
      <c r="F110" s="637" t="s">
        <v>554</v>
      </c>
      <c r="G110" s="882" t="s">
        <v>587</v>
      </c>
      <c r="H110" s="422" t="s">
        <v>590</v>
      </c>
      <c r="I110" s="409" t="s">
        <v>591</v>
      </c>
      <c r="J110" s="337">
        <v>23</v>
      </c>
      <c r="K110" s="338">
        <f>59.4/1000</f>
        <v>0.0594</v>
      </c>
      <c r="L110" s="339" t="s">
        <v>317</v>
      </c>
      <c r="M110" s="33" t="s">
        <v>175</v>
      </c>
      <c r="N110" s="478">
        <f>SUM(O110,P110)</f>
        <v>191</v>
      </c>
      <c r="O110" s="714">
        <v>61</v>
      </c>
      <c r="P110" s="707">
        <v>130</v>
      </c>
      <c r="Q110" s="551" t="s">
        <v>551</v>
      </c>
      <c r="R110" s="502"/>
      <c r="S110" s="502"/>
      <c r="T110" s="48"/>
      <c r="U110" s="304"/>
      <c r="V110" s="304"/>
      <c r="W110" s="304"/>
      <c r="X110" s="48"/>
      <c r="Y110" s="320"/>
      <c r="Z110" s="124"/>
    </row>
    <row r="111" spans="1:26" s="54" customFormat="1" ht="18" customHeight="1">
      <c r="A111" s="1040"/>
      <c r="B111" s="1114"/>
      <c r="C111" s="1118"/>
      <c r="D111" s="783" t="s">
        <v>455</v>
      </c>
      <c r="E111" s="888" t="s">
        <v>450</v>
      </c>
      <c r="F111" s="888" t="s">
        <v>451</v>
      </c>
      <c r="G111" s="927" t="s">
        <v>545</v>
      </c>
      <c r="H111" s="841" t="s">
        <v>614</v>
      </c>
      <c r="I111" s="842" t="s">
        <v>615</v>
      </c>
      <c r="J111" s="353">
        <v>8</v>
      </c>
      <c r="K111" s="354">
        <f>11.4/1000</f>
        <v>0.0114</v>
      </c>
      <c r="L111" s="355" t="s">
        <v>323</v>
      </c>
      <c r="M111" s="356" t="s">
        <v>175</v>
      </c>
      <c r="N111" s="843">
        <f>SUM(O111,P111)</f>
        <v>570</v>
      </c>
      <c r="O111" s="844">
        <v>180</v>
      </c>
      <c r="P111" s="845">
        <v>390</v>
      </c>
      <c r="Q111" s="846" t="s">
        <v>516</v>
      </c>
      <c r="R111" s="502"/>
      <c r="S111" s="502"/>
      <c r="T111" s="48"/>
      <c r="U111" s="304"/>
      <c r="V111" s="304"/>
      <c r="W111" s="304"/>
      <c r="X111" s="48"/>
      <c r="Y111" s="320"/>
      <c r="Z111" s="124"/>
    </row>
    <row r="112" spans="1:26" s="504" customFormat="1" ht="18" customHeight="1">
      <c r="A112" s="305"/>
      <c r="B112" s="48"/>
      <c r="C112" s="865"/>
      <c r="D112" s="866"/>
      <c r="E112" s="867"/>
      <c r="F112" s="867"/>
      <c r="G112" s="867"/>
      <c r="H112" s="868"/>
      <c r="I112" s="869"/>
      <c r="J112" s="870"/>
      <c r="K112" s="871"/>
      <c r="L112" s="868"/>
      <c r="M112" s="872"/>
      <c r="N112" s="873"/>
      <c r="O112" s="874"/>
      <c r="P112" s="874"/>
      <c r="Q112" s="875"/>
      <c r="R112" s="618"/>
      <c r="S112" s="617"/>
      <c r="T112" s="625"/>
      <c r="U112" s="304"/>
      <c r="V112" s="304"/>
      <c r="W112" s="304"/>
      <c r="X112" s="48"/>
      <c r="Y112" s="833"/>
      <c r="Z112" s="833"/>
    </row>
    <row r="113" spans="1:17" s="54" customFormat="1" ht="18" customHeight="1">
      <c r="A113" s="1033" t="s">
        <v>1</v>
      </c>
      <c r="B113" s="1034"/>
      <c r="C113" s="1037" t="s">
        <v>291</v>
      </c>
      <c r="D113" s="1021" t="s">
        <v>430</v>
      </c>
      <c r="E113" s="1025" t="s">
        <v>431</v>
      </c>
      <c r="F113" s="1025" t="s">
        <v>432</v>
      </c>
      <c r="G113" s="1023" t="s">
        <v>433</v>
      </c>
      <c r="H113" s="983" t="s">
        <v>434</v>
      </c>
      <c r="I113" s="983" t="s">
        <v>435</v>
      </c>
      <c r="J113" s="1086" t="s">
        <v>292</v>
      </c>
      <c r="K113" s="1073" t="s">
        <v>293</v>
      </c>
      <c r="L113" s="1088" t="s">
        <v>436</v>
      </c>
      <c r="M113" s="1089"/>
      <c r="N113" s="1083" t="s">
        <v>295</v>
      </c>
      <c r="O113" s="1084"/>
      <c r="P113" s="1085"/>
      <c r="Q113" s="1030" t="s">
        <v>437</v>
      </c>
    </row>
    <row r="114" spans="1:20" s="54" customFormat="1" ht="18" customHeight="1">
      <c r="A114" s="1035"/>
      <c r="B114" s="1036"/>
      <c r="C114" s="1038"/>
      <c r="D114" s="1022"/>
      <c r="E114" s="1026"/>
      <c r="F114" s="1026"/>
      <c r="G114" s="1024"/>
      <c r="H114" s="1032"/>
      <c r="I114" s="1032"/>
      <c r="J114" s="1087"/>
      <c r="K114" s="1074"/>
      <c r="L114" s="612" t="s">
        <v>294</v>
      </c>
      <c r="M114" s="319" t="s">
        <v>296</v>
      </c>
      <c r="N114" s="613" t="s">
        <v>297</v>
      </c>
      <c r="O114" s="614" t="s">
        <v>438</v>
      </c>
      <c r="P114" s="615" t="s">
        <v>439</v>
      </c>
      <c r="Q114" s="1103"/>
      <c r="S114" s="439"/>
      <c r="T114" s="439"/>
    </row>
    <row r="115" spans="1:26" s="54" customFormat="1" ht="18" customHeight="1">
      <c r="A115" s="1041" t="s">
        <v>353</v>
      </c>
      <c r="B115" s="1030" t="s">
        <v>486</v>
      </c>
      <c r="C115" s="450">
        <v>41512</v>
      </c>
      <c r="D115" s="773" t="s">
        <v>448</v>
      </c>
      <c r="E115" s="881" t="s">
        <v>454</v>
      </c>
      <c r="F115" s="814" t="s">
        <v>535</v>
      </c>
      <c r="G115" s="880" t="s">
        <v>535</v>
      </c>
      <c r="H115" s="335" t="s">
        <v>549</v>
      </c>
      <c r="I115" s="403" t="s">
        <v>354</v>
      </c>
      <c r="J115" s="111">
        <v>2</v>
      </c>
      <c r="K115" s="250">
        <f>3029/1000</f>
        <v>3.029</v>
      </c>
      <c r="L115" s="451" t="s">
        <v>351</v>
      </c>
      <c r="M115" s="857" t="s">
        <v>594</v>
      </c>
      <c r="N115" s="648">
        <f>SUM(O115,P115)</f>
        <v>450</v>
      </c>
      <c r="O115" s="704">
        <v>140</v>
      </c>
      <c r="P115" s="700">
        <v>310</v>
      </c>
      <c r="Q115" s="250">
        <v>1.1</v>
      </c>
      <c r="R115" s="643"/>
      <c r="S115" s="644"/>
      <c r="T115" s="502"/>
      <c r="U115" s="48"/>
      <c r="V115" s="620"/>
      <c r="W115" s="645"/>
      <c r="X115" s="48"/>
      <c r="Y115" s="320"/>
      <c r="Z115" s="124"/>
    </row>
    <row r="116" spans="1:26" s="54" customFormat="1" ht="18" customHeight="1">
      <c r="A116" s="1039"/>
      <c r="B116" s="972"/>
      <c r="C116" s="1163">
        <v>41515</v>
      </c>
      <c r="D116" s="800" t="s">
        <v>440</v>
      </c>
      <c r="E116" s="928" t="s">
        <v>558</v>
      </c>
      <c r="F116" s="929" t="s">
        <v>558</v>
      </c>
      <c r="G116" s="909" t="s">
        <v>558</v>
      </c>
      <c r="H116" s="452" t="s">
        <v>558</v>
      </c>
      <c r="I116" s="453" t="s">
        <v>355</v>
      </c>
      <c r="J116" s="454" t="s">
        <v>175</v>
      </c>
      <c r="K116" s="455">
        <f>47.7583/1000</f>
        <v>0.0477583</v>
      </c>
      <c r="L116" s="452" t="s">
        <v>175</v>
      </c>
      <c r="M116" s="458" t="s">
        <v>175</v>
      </c>
      <c r="N116" s="823">
        <f>SUM(O116,P116)</f>
        <v>3200</v>
      </c>
      <c r="O116" s="705">
        <v>1000</v>
      </c>
      <c r="P116" s="701">
        <v>2200</v>
      </c>
      <c r="Q116" s="465" t="s">
        <v>616</v>
      </c>
      <c r="R116" s="646"/>
      <c r="S116" s="646"/>
      <c r="T116" s="48"/>
      <c r="U116" s="304"/>
      <c r="V116" s="304"/>
      <c r="W116" s="304"/>
      <c r="X116" s="48"/>
      <c r="Y116" s="320"/>
      <c r="Z116" s="124"/>
    </row>
    <row r="117" spans="1:26" s="54" customFormat="1" ht="18" customHeight="1">
      <c r="A117" s="1039"/>
      <c r="B117" s="972"/>
      <c r="C117" s="1117"/>
      <c r="D117" s="800" t="s">
        <v>471</v>
      </c>
      <c r="E117" s="640" t="s">
        <v>477</v>
      </c>
      <c r="F117" s="640" t="s">
        <v>575</v>
      </c>
      <c r="G117" s="805" t="s">
        <v>575</v>
      </c>
      <c r="H117" s="459" t="s">
        <v>617</v>
      </c>
      <c r="I117" s="460" t="s">
        <v>356</v>
      </c>
      <c r="J117" s="461" t="s">
        <v>175</v>
      </c>
      <c r="K117" s="462">
        <f>19.2/1000</f>
        <v>0.0192</v>
      </c>
      <c r="L117" s="463" t="s">
        <v>175</v>
      </c>
      <c r="M117" s="465" t="s">
        <v>175</v>
      </c>
      <c r="N117" s="659">
        <f>SUM(O117,P117)</f>
        <v>269</v>
      </c>
      <c r="O117" s="706">
        <v>89</v>
      </c>
      <c r="P117" s="702">
        <v>180</v>
      </c>
      <c r="Q117" s="465" t="s">
        <v>603</v>
      </c>
      <c r="R117" s="502"/>
      <c r="S117" s="502"/>
      <c r="T117" s="48"/>
      <c r="U117" s="304"/>
      <c r="V117" s="304"/>
      <c r="W117" s="304"/>
      <c r="X117" s="48"/>
      <c r="Y117" s="320"/>
      <c r="Z117" s="124"/>
    </row>
    <row r="118" spans="1:26" s="54" customFormat="1" ht="18" customHeight="1">
      <c r="A118" s="1039"/>
      <c r="B118" s="972"/>
      <c r="C118" s="1117"/>
      <c r="D118" s="765" t="s">
        <v>441</v>
      </c>
      <c r="E118" s="766" t="s">
        <v>442</v>
      </c>
      <c r="F118" s="766" t="s">
        <v>507</v>
      </c>
      <c r="G118" s="369" t="s">
        <v>508</v>
      </c>
      <c r="H118" s="366" t="s">
        <v>509</v>
      </c>
      <c r="I118" s="367" t="s">
        <v>508</v>
      </c>
      <c r="J118" s="1075">
        <v>147</v>
      </c>
      <c r="K118" s="1078">
        <f>27.5/1000</f>
        <v>0.0275</v>
      </c>
      <c r="L118" s="1069" t="s">
        <v>300</v>
      </c>
      <c r="M118" s="1060" t="s">
        <v>175</v>
      </c>
      <c r="N118" s="1128">
        <f>SUM(O118,P118)</f>
        <v>1290</v>
      </c>
      <c r="O118" s="1066">
        <v>410</v>
      </c>
      <c r="P118" s="1057">
        <v>880</v>
      </c>
      <c r="Q118" s="1060" t="s">
        <v>516</v>
      </c>
      <c r="R118" s="646"/>
      <c r="S118" s="502"/>
      <c r="T118" s="48"/>
      <c r="U118" s="304"/>
      <c r="V118" s="304"/>
      <c r="W118" s="304"/>
      <c r="X118" s="48"/>
      <c r="Y118" s="1063"/>
      <c r="Z118" s="1056"/>
    </row>
    <row r="119" spans="1:26" s="54" customFormat="1" ht="18" customHeight="1">
      <c r="A119" s="1039"/>
      <c r="B119" s="972"/>
      <c r="C119" s="1117"/>
      <c r="D119" s="765" t="s">
        <v>441</v>
      </c>
      <c r="E119" s="766" t="s">
        <v>442</v>
      </c>
      <c r="F119" s="639" t="s">
        <v>507</v>
      </c>
      <c r="G119" s="369" t="s">
        <v>508</v>
      </c>
      <c r="H119" s="366" t="s">
        <v>511</v>
      </c>
      <c r="I119" s="368" t="s">
        <v>512</v>
      </c>
      <c r="J119" s="1077"/>
      <c r="K119" s="1080"/>
      <c r="L119" s="1071"/>
      <c r="M119" s="1072"/>
      <c r="N119" s="1129"/>
      <c r="O119" s="1068"/>
      <c r="P119" s="1059"/>
      <c r="Q119" s="1123"/>
      <c r="R119" s="646"/>
      <c r="S119" s="502"/>
      <c r="T119" s="48"/>
      <c r="U119" s="304"/>
      <c r="V119" s="304"/>
      <c r="W119" s="304"/>
      <c r="X119" s="48"/>
      <c r="Y119" s="1094"/>
      <c r="Z119" s="1056"/>
    </row>
    <row r="120" spans="1:26" s="54" customFormat="1" ht="18" customHeight="1">
      <c r="A120" s="1039"/>
      <c r="B120" s="972"/>
      <c r="C120" s="1117"/>
      <c r="D120" s="765" t="s">
        <v>441</v>
      </c>
      <c r="E120" s="766" t="s">
        <v>442</v>
      </c>
      <c r="F120" s="639" t="s">
        <v>513</v>
      </c>
      <c r="G120" s="369" t="s">
        <v>514</v>
      </c>
      <c r="H120" s="366" t="s">
        <v>310</v>
      </c>
      <c r="I120" s="329" t="s">
        <v>515</v>
      </c>
      <c r="J120" s="1075">
        <v>88</v>
      </c>
      <c r="K120" s="1078">
        <f>28.721/1000</f>
        <v>0.028721</v>
      </c>
      <c r="L120" s="1069" t="s">
        <v>300</v>
      </c>
      <c r="M120" s="1060" t="s">
        <v>175</v>
      </c>
      <c r="N120" s="1075">
        <f>SUM(O120,P120)</f>
        <v>221</v>
      </c>
      <c r="O120" s="1066">
        <v>71</v>
      </c>
      <c r="P120" s="1057">
        <v>150</v>
      </c>
      <c r="Q120" s="1060" t="s">
        <v>516</v>
      </c>
      <c r="R120" s="502"/>
      <c r="S120" s="502"/>
      <c r="T120" s="48"/>
      <c r="U120" s="304"/>
      <c r="V120" s="304"/>
      <c r="W120" s="304"/>
      <c r="X120" s="48"/>
      <c r="Y120" s="1063"/>
      <c r="Z120" s="1056"/>
    </row>
    <row r="121" spans="1:26" s="54" customFormat="1" ht="18" customHeight="1">
      <c r="A121" s="1039"/>
      <c r="B121" s="972"/>
      <c r="C121" s="1117"/>
      <c r="D121" s="765" t="s">
        <v>441</v>
      </c>
      <c r="E121" s="766" t="s">
        <v>442</v>
      </c>
      <c r="F121" s="639" t="s">
        <v>513</v>
      </c>
      <c r="G121" s="369" t="s">
        <v>518</v>
      </c>
      <c r="H121" s="366" t="s">
        <v>304</v>
      </c>
      <c r="I121" s="330" t="s">
        <v>519</v>
      </c>
      <c r="J121" s="1076"/>
      <c r="K121" s="1079"/>
      <c r="L121" s="1070"/>
      <c r="M121" s="1002"/>
      <c r="N121" s="1076"/>
      <c r="O121" s="1067"/>
      <c r="P121" s="1058"/>
      <c r="Q121" s="1002"/>
      <c r="R121" s="502"/>
      <c r="S121" s="502"/>
      <c r="T121" s="48"/>
      <c r="U121" s="304"/>
      <c r="V121" s="304"/>
      <c r="W121" s="304"/>
      <c r="X121" s="48"/>
      <c r="Y121" s="1094"/>
      <c r="Z121" s="1056"/>
    </row>
    <row r="122" spans="1:26" s="54" customFormat="1" ht="18" customHeight="1">
      <c r="A122" s="1039"/>
      <c r="B122" s="972"/>
      <c r="C122" s="1117"/>
      <c r="D122" s="765" t="s">
        <v>441</v>
      </c>
      <c r="E122" s="766" t="s">
        <v>442</v>
      </c>
      <c r="F122" s="639" t="s">
        <v>513</v>
      </c>
      <c r="G122" s="369" t="s">
        <v>518</v>
      </c>
      <c r="H122" s="366" t="s">
        <v>305</v>
      </c>
      <c r="I122" s="330" t="s">
        <v>611</v>
      </c>
      <c r="J122" s="1076"/>
      <c r="K122" s="1079"/>
      <c r="L122" s="1070"/>
      <c r="M122" s="1002"/>
      <c r="N122" s="1076"/>
      <c r="O122" s="1067"/>
      <c r="P122" s="1058"/>
      <c r="Q122" s="1002"/>
      <c r="R122" s="502"/>
      <c r="S122" s="502"/>
      <c r="T122" s="48"/>
      <c r="U122" s="304"/>
      <c r="V122" s="304"/>
      <c r="W122" s="304"/>
      <c r="X122" s="48"/>
      <c r="Y122" s="1094"/>
      <c r="Z122" s="1056"/>
    </row>
    <row r="123" spans="1:26" s="54" customFormat="1" ht="18" customHeight="1">
      <c r="A123" s="1039"/>
      <c r="B123" s="972"/>
      <c r="C123" s="1117"/>
      <c r="D123" s="765" t="s">
        <v>441</v>
      </c>
      <c r="E123" s="766" t="s">
        <v>442</v>
      </c>
      <c r="F123" s="639" t="s">
        <v>513</v>
      </c>
      <c r="G123" s="369" t="s">
        <v>518</v>
      </c>
      <c r="H123" s="366" t="s">
        <v>520</v>
      </c>
      <c r="I123" s="330" t="s">
        <v>357</v>
      </c>
      <c r="J123" s="1076"/>
      <c r="K123" s="1079"/>
      <c r="L123" s="1070"/>
      <c r="M123" s="1002"/>
      <c r="N123" s="1076"/>
      <c r="O123" s="1067"/>
      <c r="P123" s="1058"/>
      <c r="Q123" s="1002"/>
      <c r="R123" s="502"/>
      <c r="S123" s="502"/>
      <c r="T123" s="48"/>
      <c r="U123" s="304"/>
      <c r="V123" s="304"/>
      <c r="W123" s="304"/>
      <c r="X123" s="48"/>
      <c r="Y123" s="1094"/>
      <c r="Z123" s="1056"/>
    </row>
    <row r="124" spans="1:26" s="54" customFormat="1" ht="18" customHeight="1">
      <c r="A124" s="1039"/>
      <c r="B124" s="972"/>
      <c r="C124" s="1117"/>
      <c r="D124" s="765" t="s">
        <v>441</v>
      </c>
      <c r="E124" s="766" t="s">
        <v>442</v>
      </c>
      <c r="F124" s="639" t="s">
        <v>513</v>
      </c>
      <c r="G124" s="369" t="s">
        <v>518</v>
      </c>
      <c r="H124" s="366" t="s">
        <v>307</v>
      </c>
      <c r="I124" s="330" t="s">
        <v>522</v>
      </c>
      <c r="J124" s="1076"/>
      <c r="K124" s="1079"/>
      <c r="L124" s="1070"/>
      <c r="M124" s="1002"/>
      <c r="N124" s="1076"/>
      <c r="O124" s="1067"/>
      <c r="P124" s="1058"/>
      <c r="Q124" s="1002"/>
      <c r="R124" s="502"/>
      <c r="S124" s="502"/>
      <c r="T124" s="48"/>
      <c r="U124" s="304"/>
      <c r="V124" s="304"/>
      <c r="W124" s="304"/>
      <c r="X124" s="48"/>
      <c r="Y124" s="1094"/>
      <c r="Z124" s="1056"/>
    </row>
    <row r="125" spans="1:26" s="54" customFormat="1" ht="18" customHeight="1">
      <c r="A125" s="1039"/>
      <c r="B125" s="972"/>
      <c r="C125" s="1117"/>
      <c r="D125" s="765" t="s">
        <v>441</v>
      </c>
      <c r="E125" s="766" t="s">
        <v>442</v>
      </c>
      <c r="F125" s="639" t="s">
        <v>513</v>
      </c>
      <c r="G125" s="369" t="s">
        <v>518</v>
      </c>
      <c r="H125" s="366" t="s">
        <v>308</v>
      </c>
      <c r="I125" s="330" t="s">
        <v>523</v>
      </c>
      <c r="J125" s="1076"/>
      <c r="K125" s="1079"/>
      <c r="L125" s="1070"/>
      <c r="M125" s="1002"/>
      <c r="N125" s="1076"/>
      <c r="O125" s="1067"/>
      <c r="P125" s="1058"/>
      <c r="Q125" s="1002"/>
      <c r="R125" s="502"/>
      <c r="S125" s="502"/>
      <c r="T125" s="48"/>
      <c r="U125" s="304"/>
      <c r="V125" s="304"/>
      <c r="W125" s="304"/>
      <c r="X125" s="48"/>
      <c r="Y125" s="1094"/>
      <c r="Z125" s="1056"/>
    </row>
    <row r="126" spans="1:26" s="54" customFormat="1" ht="18" customHeight="1">
      <c r="A126" s="1039"/>
      <c r="B126" s="972"/>
      <c r="C126" s="1117"/>
      <c r="D126" s="765" t="s">
        <v>441</v>
      </c>
      <c r="E126" s="766" t="s">
        <v>442</v>
      </c>
      <c r="F126" s="639" t="s">
        <v>513</v>
      </c>
      <c r="G126" s="369" t="s">
        <v>518</v>
      </c>
      <c r="H126" s="366" t="s">
        <v>358</v>
      </c>
      <c r="I126" s="330" t="s">
        <v>578</v>
      </c>
      <c r="J126" s="1076"/>
      <c r="K126" s="1079"/>
      <c r="L126" s="1070"/>
      <c r="M126" s="1002"/>
      <c r="N126" s="1076"/>
      <c r="O126" s="1067"/>
      <c r="P126" s="1058"/>
      <c r="Q126" s="1002"/>
      <c r="R126" s="502"/>
      <c r="S126" s="502"/>
      <c r="T126" s="48"/>
      <c r="U126" s="304"/>
      <c r="V126" s="304"/>
      <c r="W126" s="304"/>
      <c r="X126" s="48"/>
      <c r="Y126" s="1094"/>
      <c r="Z126" s="1056"/>
    </row>
    <row r="127" spans="1:26" s="54" customFormat="1" ht="18" customHeight="1">
      <c r="A127" s="1039"/>
      <c r="B127" s="972"/>
      <c r="C127" s="1117"/>
      <c r="D127" s="765" t="s">
        <v>441</v>
      </c>
      <c r="E127" s="766" t="s">
        <v>442</v>
      </c>
      <c r="F127" s="639" t="s">
        <v>513</v>
      </c>
      <c r="G127" s="770" t="s">
        <v>524</v>
      </c>
      <c r="H127" s="366" t="s">
        <v>302</v>
      </c>
      <c r="I127" s="330" t="s">
        <v>527</v>
      </c>
      <c r="J127" s="1077"/>
      <c r="K127" s="1080"/>
      <c r="L127" s="1071"/>
      <c r="M127" s="1072"/>
      <c r="N127" s="1077"/>
      <c r="O127" s="1068"/>
      <c r="P127" s="1059"/>
      <c r="Q127" s="1072"/>
      <c r="R127" s="502"/>
      <c r="S127" s="502"/>
      <c r="T127" s="48"/>
      <c r="U127" s="304"/>
      <c r="V127" s="304"/>
      <c r="W127" s="304"/>
      <c r="X127" s="48"/>
      <c r="Y127" s="1094"/>
      <c r="Z127" s="1056"/>
    </row>
    <row r="128" spans="1:26" s="54" customFormat="1" ht="18" customHeight="1">
      <c r="A128" s="1039"/>
      <c r="B128" s="972"/>
      <c r="C128" s="1117"/>
      <c r="D128" s="772" t="s">
        <v>441</v>
      </c>
      <c r="E128" s="960" t="s">
        <v>618</v>
      </c>
      <c r="F128" s="925" t="s">
        <v>618</v>
      </c>
      <c r="G128" s="961" t="s">
        <v>619</v>
      </c>
      <c r="H128" s="409" t="s">
        <v>620</v>
      </c>
      <c r="I128" s="409" t="s">
        <v>359</v>
      </c>
      <c r="J128" s="337">
        <v>69</v>
      </c>
      <c r="K128" s="338">
        <f>16.8/1000</f>
        <v>0.016800000000000002</v>
      </c>
      <c r="L128" s="339" t="s">
        <v>313</v>
      </c>
      <c r="M128" s="33" t="s">
        <v>175</v>
      </c>
      <c r="N128" s="962">
        <f aca="true" t="shared" si="6" ref="N128:N139">SUM(O128,P128)</f>
        <v>222</v>
      </c>
      <c r="O128" s="714">
        <v>72</v>
      </c>
      <c r="P128" s="721">
        <v>150</v>
      </c>
      <c r="Q128" s="33" t="s">
        <v>532</v>
      </c>
      <c r="R128" s="502"/>
      <c r="S128" s="502"/>
      <c r="T128" s="48"/>
      <c r="U128" s="304"/>
      <c r="V128" s="304"/>
      <c r="W128" s="304"/>
      <c r="X128" s="48"/>
      <c r="Y128" s="320"/>
      <c r="Z128" s="124"/>
    </row>
    <row r="129" spans="1:26" s="54" customFormat="1" ht="18" customHeight="1">
      <c r="A129" s="1039"/>
      <c r="B129" s="972"/>
      <c r="C129" s="1117"/>
      <c r="D129" s="772" t="s">
        <v>441</v>
      </c>
      <c r="E129" s="789" t="s">
        <v>443</v>
      </c>
      <c r="F129" s="879" t="s">
        <v>444</v>
      </c>
      <c r="G129" s="903" t="s">
        <v>580</v>
      </c>
      <c r="H129" s="408" t="s">
        <v>581</v>
      </c>
      <c r="I129" s="412" t="s">
        <v>360</v>
      </c>
      <c r="J129" s="383">
        <v>22</v>
      </c>
      <c r="K129" s="384">
        <f>185.9/1000</f>
        <v>0.1859</v>
      </c>
      <c r="L129" s="388" t="s">
        <v>313</v>
      </c>
      <c r="M129" s="24" t="s">
        <v>175</v>
      </c>
      <c r="N129" s="660">
        <f t="shared" si="6"/>
        <v>319</v>
      </c>
      <c r="O129" s="692">
        <v>99</v>
      </c>
      <c r="P129" s="677">
        <v>220</v>
      </c>
      <c r="Q129" s="24" t="s">
        <v>532</v>
      </c>
      <c r="R129" s="502"/>
      <c r="S129" s="502"/>
      <c r="T129" s="48"/>
      <c r="U129" s="304"/>
      <c r="V129" s="304"/>
      <c r="W129" s="304"/>
      <c r="X129" s="48"/>
      <c r="Y129" s="320"/>
      <c r="Z129" s="124"/>
    </row>
    <row r="130" spans="1:26" s="54" customFormat="1" ht="18" customHeight="1">
      <c r="A130" s="1039"/>
      <c r="B130" s="972"/>
      <c r="C130" s="1117"/>
      <c r="D130" s="779" t="s">
        <v>448</v>
      </c>
      <c r="E130" s="890" t="s">
        <v>454</v>
      </c>
      <c r="F130" s="890" t="s">
        <v>566</v>
      </c>
      <c r="G130" s="882" t="s">
        <v>566</v>
      </c>
      <c r="H130" s="408" t="s">
        <v>567</v>
      </c>
      <c r="I130" s="412" t="s">
        <v>338</v>
      </c>
      <c r="J130" s="383">
        <v>2</v>
      </c>
      <c r="K130" s="467">
        <f>89.4/1000</f>
        <v>0.08940000000000001</v>
      </c>
      <c r="L130" s="388" t="s">
        <v>316</v>
      </c>
      <c r="M130" s="414" t="s">
        <v>318</v>
      </c>
      <c r="N130" s="660">
        <f t="shared" si="6"/>
        <v>340</v>
      </c>
      <c r="O130" s="692">
        <v>110</v>
      </c>
      <c r="P130" s="677">
        <v>230</v>
      </c>
      <c r="Q130" s="24" t="s">
        <v>538</v>
      </c>
      <c r="R130" s="502"/>
      <c r="S130" s="502"/>
      <c r="T130" s="48"/>
      <c r="U130" s="304"/>
      <c r="V130" s="304"/>
      <c r="W130" s="304"/>
      <c r="X130" s="109"/>
      <c r="Y130" s="320"/>
      <c r="Z130" s="124"/>
    </row>
    <row r="131" spans="1:26" s="54" customFormat="1" ht="18" customHeight="1">
      <c r="A131" s="1039"/>
      <c r="B131" s="972"/>
      <c r="C131" s="1117"/>
      <c r="D131" s="773" t="s">
        <v>448</v>
      </c>
      <c r="E131" s="881" t="s">
        <v>449</v>
      </c>
      <c r="F131" s="637" t="s">
        <v>535</v>
      </c>
      <c r="G131" s="901" t="s">
        <v>535</v>
      </c>
      <c r="H131" s="408" t="s">
        <v>621</v>
      </c>
      <c r="I131" s="412" t="s">
        <v>622</v>
      </c>
      <c r="J131" s="383">
        <v>5</v>
      </c>
      <c r="K131" s="467">
        <f>44.5/1000</f>
        <v>0.0445</v>
      </c>
      <c r="L131" s="413" t="s">
        <v>363</v>
      </c>
      <c r="M131" s="414" t="s">
        <v>594</v>
      </c>
      <c r="N131" s="660">
        <f t="shared" si="6"/>
        <v>221</v>
      </c>
      <c r="O131" s="692">
        <v>71</v>
      </c>
      <c r="P131" s="677">
        <v>150</v>
      </c>
      <c r="Q131" s="24" t="s">
        <v>551</v>
      </c>
      <c r="R131" s="502"/>
      <c r="S131" s="502"/>
      <c r="T131" s="48"/>
      <c r="U131" s="304"/>
      <c r="V131" s="304"/>
      <c r="W131" s="304"/>
      <c r="X131" s="109"/>
      <c r="Y131" s="320"/>
      <c r="Z131" s="124"/>
    </row>
    <row r="132" spans="1:26" s="54" customFormat="1" ht="18" customHeight="1">
      <c r="A132" s="1039"/>
      <c r="B132" s="972"/>
      <c r="C132" s="1117"/>
      <c r="D132" s="773" t="s">
        <v>448</v>
      </c>
      <c r="E132" s="881" t="s">
        <v>449</v>
      </c>
      <c r="F132" s="637" t="s">
        <v>535</v>
      </c>
      <c r="G132" s="901" t="s">
        <v>535</v>
      </c>
      <c r="H132" s="408" t="s">
        <v>623</v>
      </c>
      <c r="I132" s="412" t="s">
        <v>535</v>
      </c>
      <c r="J132" s="383">
        <v>11</v>
      </c>
      <c r="K132" s="384">
        <f>301.8/1000</f>
        <v>0.3018</v>
      </c>
      <c r="L132" s="413" t="s">
        <v>363</v>
      </c>
      <c r="M132" s="414" t="s">
        <v>594</v>
      </c>
      <c r="N132" s="660">
        <f t="shared" si="6"/>
        <v>171</v>
      </c>
      <c r="O132" s="692">
        <v>51</v>
      </c>
      <c r="P132" s="677">
        <v>120</v>
      </c>
      <c r="Q132" s="24" t="s">
        <v>551</v>
      </c>
      <c r="R132" s="502"/>
      <c r="S132" s="502"/>
      <c r="T132" s="48"/>
      <c r="U132" s="304"/>
      <c r="V132" s="304"/>
      <c r="W132" s="304"/>
      <c r="X132" s="109"/>
      <c r="Y132" s="320"/>
      <c r="Z132" s="124"/>
    </row>
    <row r="133" spans="1:26" s="54" customFormat="1" ht="18" customHeight="1">
      <c r="A133" s="1039"/>
      <c r="B133" s="972"/>
      <c r="C133" s="1117"/>
      <c r="D133" s="779" t="s">
        <v>448</v>
      </c>
      <c r="E133" s="890" t="s">
        <v>454</v>
      </c>
      <c r="F133" s="879" t="s">
        <v>535</v>
      </c>
      <c r="G133" s="880" t="s">
        <v>535</v>
      </c>
      <c r="H133" s="408" t="s">
        <v>549</v>
      </c>
      <c r="I133" s="412" t="s">
        <v>364</v>
      </c>
      <c r="J133" s="383">
        <v>65</v>
      </c>
      <c r="K133" s="384">
        <f>125.7/1000</f>
        <v>0.1257</v>
      </c>
      <c r="L133" s="413" t="s">
        <v>316</v>
      </c>
      <c r="M133" s="414" t="s">
        <v>624</v>
      </c>
      <c r="N133" s="660">
        <f t="shared" si="6"/>
        <v>116</v>
      </c>
      <c r="O133" s="692">
        <v>36</v>
      </c>
      <c r="P133" s="677">
        <v>80</v>
      </c>
      <c r="Q133" s="24" t="s">
        <v>541</v>
      </c>
      <c r="R133" s="502"/>
      <c r="S133" s="502"/>
      <c r="T133" s="48"/>
      <c r="U133" s="304"/>
      <c r="V133" s="304"/>
      <c r="W133" s="304"/>
      <c r="X133" s="109"/>
      <c r="Y133" s="320"/>
      <c r="Z133" s="124"/>
    </row>
    <row r="134" spans="1:26" s="54" customFormat="1" ht="18" customHeight="1">
      <c r="A134" s="1039"/>
      <c r="B134" s="972"/>
      <c r="C134" s="1117"/>
      <c r="D134" s="779" t="s">
        <v>448</v>
      </c>
      <c r="E134" s="890" t="s">
        <v>454</v>
      </c>
      <c r="F134" s="879" t="s">
        <v>535</v>
      </c>
      <c r="G134" s="880" t="s">
        <v>535</v>
      </c>
      <c r="H134" s="422" t="s">
        <v>539</v>
      </c>
      <c r="I134" s="412" t="s">
        <v>625</v>
      </c>
      <c r="J134" s="383">
        <v>9</v>
      </c>
      <c r="K134" s="384">
        <f>122.4/1000</f>
        <v>0.12240000000000001</v>
      </c>
      <c r="L134" s="413" t="s">
        <v>362</v>
      </c>
      <c r="M134" s="24" t="s">
        <v>175</v>
      </c>
      <c r="N134" s="660">
        <f t="shared" si="6"/>
        <v>320</v>
      </c>
      <c r="O134" s="692">
        <v>100</v>
      </c>
      <c r="P134" s="677">
        <v>220</v>
      </c>
      <c r="Q134" s="24" t="s">
        <v>551</v>
      </c>
      <c r="R134" s="502"/>
      <c r="S134" s="502"/>
      <c r="T134" s="48"/>
      <c r="U134" s="304"/>
      <c r="V134" s="304"/>
      <c r="W134" s="304"/>
      <c r="X134" s="109"/>
      <c r="Y134" s="320"/>
      <c r="Z134" s="124"/>
    </row>
    <row r="135" spans="1:26" s="54" customFormat="1" ht="18" customHeight="1">
      <c r="A135" s="1039"/>
      <c r="B135" s="972"/>
      <c r="C135" s="1117"/>
      <c r="D135" s="773" t="s">
        <v>448</v>
      </c>
      <c r="E135" s="881" t="s">
        <v>449</v>
      </c>
      <c r="F135" s="637" t="s">
        <v>542</v>
      </c>
      <c r="G135" s="882" t="s">
        <v>542</v>
      </c>
      <c r="H135" s="408" t="s">
        <v>543</v>
      </c>
      <c r="I135" s="412" t="s">
        <v>544</v>
      </c>
      <c r="J135" s="383">
        <v>1</v>
      </c>
      <c r="K135" s="467">
        <f>90/1000</f>
        <v>0.09</v>
      </c>
      <c r="L135" s="413" t="s">
        <v>320</v>
      </c>
      <c r="M135" s="414" t="s">
        <v>336</v>
      </c>
      <c r="N135" s="660">
        <f t="shared" si="6"/>
        <v>280</v>
      </c>
      <c r="O135" s="692">
        <v>90</v>
      </c>
      <c r="P135" s="677">
        <v>190</v>
      </c>
      <c r="Q135" s="24" t="s">
        <v>510</v>
      </c>
      <c r="R135" s="502"/>
      <c r="S135" s="502"/>
      <c r="T135" s="48"/>
      <c r="U135" s="304"/>
      <c r="V135" s="304"/>
      <c r="W135" s="304"/>
      <c r="X135" s="109"/>
      <c r="Y135" s="320"/>
      <c r="Z135" s="124"/>
    </row>
    <row r="136" spans="1:26" s="54" customFormat="1" ht="18" customHeight="1">
      <c r="A136" s="1039"/>
      <c r="B136" s="972"/>
      <c r="C136" s="1117"/>
      <c r="D136" s="806" t="s">
        <v>448</v>
      </c>
      <c r="E136" s="637" t="s">
        <v>454</v>
      </c>
      <c r="F136" s="638" t="s">
        <v>478</v>
      </c>
      <c r="G136" s="798" t="s">
        <v>479</v>
      </c>
      <c r="H136" s="408" t="s">
        <v>626</v>
      </c>
      <c r="I136" s="412" t="s">
        <v>361</v>
      </c>
      <c r="J136" s="383">
        <v>9</v>
      </c>
      <c r="K136" s="467">
        <f>31.1/1000</f>
        <v>0.031100000000000003</v>
      </c>
      <c r="L136" s="388" t="s">
        <v>317</v>
      </c>
      <c r="M136" s="414" t="s">
        <v>318</v>
      </c>
      <c r="N136" s="660">
        <f t="shared" si="6"/>
        <v>500</v>
      </c>
      <c r="O136" s="692">
        <v>160</v>
      </c>
      <c r="P136" s="677">
        <v>340</v>
      </c>
      <c r="Q136" s="24" t="s">
        <v>538</v>
      </c>
      <c r="R136" s="502"/>
      <c r="S136" s="502"/>
      <c r="T136" s="48"/>
      <c r="U136" s="304"/>
      <c r="V136" s="304"/>
      <c r="W136" s="304"/>
      <c r="X136" s="109"/>
      <c r="Y136" s="320"/>
      <c r="Z136" s="124"/>
    </row>
    <row r="137" spans="1:26" s="54" customFormat="1" ht="18" customHeight="1">
      <c r="A137" s="1039"/>
      <c r="B137" s="972"/>
      <c r="C137" s="1117"/>
      <c r="D137" s="784" t="s">
        <v>455</v>
      </c>
      <c r="E137" s="883" t="s">
        <v>450</v>
      </c>
      <c r="F137" s="884" t="s">
        <v>451</v>
      </c>
      <c r="G137" s="930" t="s">
        <v>545</v>
      </c>
      <c r="H137" s="392" t="s">
        <v>365</v>
      </c>
      <c r="I137" s="344" t="s">
        <v>627</v>
      </c>
      <c r="J137" s="345">
        <v>22</v>
      </c>
      <c r="K137" s="350">
        <f>128/1000</f>
        <v>0.128</v>
      </c>
      <c r="L137" s="347" t="s">
        <v>323</v>
      </c>
      <c r="M137" s="348" t="s">
        <v>516</v>
      </c>
      <c r="N137" s="824">
        <f t="shared" si="6"/>
        <v>4100</v>
      </c>
      <c r="O137" s="689">
        <v>1300</v>
      </c>
      <c r="P137" s="674">
        <v>2800</v>
      </c>
      <c r="Q137" s="348" t="s">
        <v>516</v>
      </c>
      <c r="R137" s="646"/>
      <c r="S137" s="502"/>
      <c r="T137" s="48"/>
      <c r="U137" s="304"/>
      <c r="V137" s="304"/>
      <c r="W137" s="304"/>
      <c r="X137" s="109"/>
      <c r="Y137" s="320"/>
      <c r="Z137" s="124"/>
    </row>
    <row r="138" spans="1:26" s="54" customFormat="1" ht="18" customHeight="1">
      <c r="A138" s="1039"/>
      <c r="B138" s="972"/>
      <c r="C138" s="1117"/>
      <c r="D138" s="804" t="s">
        <v>453</v>
      </c>
      <c r="E138" s="931" t="s">
        <v>574</v>
      </c>
      <c r="F138" s="931" t="s">
        <v>574</v>
      </c>
      <c r="G138" s="932" t="s">
        <v>574</v>
      </c>
      <c r="H138" s="653" t="s">
        <v>574</v>
      </c>
      <c r="I138" s="654" t="s">
        <v>340</v>
      </c>
      <c r="J138" s="655" t="s">
        <v>175</v>
      </c>
      <c r="K138" s="656">
        <f>289.5/1000</f>
        <v>0.2895</v>
      </c>
      <c r="L138" s="653" t="s">
        <v>175</v>
      </c>
      <c r="M138" s="658" t="s">
        <v>574</v>
      </c>
      <c r="N138" s="661">
        <f t="shared" si="6"/>
        <v>500</v>
      </c>
      <c r="O138" s="703">
        <v>160</v>
      </c>
      <c r="P138" s="699">
        <v>340</v>
      </c>
      <c r="Q138" s="658" t="s">
        <v>574</v>
      </c>
      <c r="R138" s="502"/>
      <c r="S138" s="502"/>
      <c r="T138" s="48"/>
      <c r="U138" s="304"/>
      <c r="V138" s="304"/>
      <c r="W138" s="304"/>
      <c r="X138" s="109"/>
      <c r="Y138" s="320"/>
      <c r="Z138" s="124"/>
    </row>
    <row r="139" spans="1:26" s="54" customFormat="1" ht="18" customHeight="1">
      <c r="A139" s="1040"/>
      <c r="B139" s="973"/>
      <c r="C139" s="470">
        <v>41522</v>
      </c>
      <c r="D139" s="781" t="s">
        <v>448</v>
      </c>
      <c r="E139" s="891" t="s">
        <v>454</v>
      </c>
      <c r="F139" s="810" t="s">
        <v>628</v>
      </c>
      <c r="G139" s="803" t="s">
        <v>628</v>
      </c>
      <c r="H139" s="423" t="s">
        <v>629</v>
      </c>
      <c r="I139" s="559" t="s">
        <v>630</v>
      </c>
      <c r="J139" s="424">
        <v>3</v>
      </c>
      <c r="K139" s="425">
        <f>1592.7/1000</f>
        <v>1.5927</v>
      </c>
      <c r="L139" s="426" t="s">
        <v>328</v>
      </c>
      <c r="M139" s="428" t="s">
        <v>631</v>
      </c>
      <c r="N139" s="662">
        <f t="shared" si="6"/>
        <v>400</v>
      </c>
      <c r="O139" s="694">
        <v>130</v>
      </c>
      <c r="P139" s="679">
        <v>270</v>
      </c>
      <c r="Q139" s="610">
        <v>0.32</v>
      </c>
      <c r="R139" s="502"/>
      <c r="S139" s="502"/>
      <c r="T139" s="303"/>
      <c r="U139" s="48"/>
      <c r="V139" s="620"/>
      <c r="W139" s="620"/>
      <c r="X139" s="109"/>
      <c r="Y139" s="320"/>
      <c r="Z139" s="124"/>
    </row>
    <row r="140" spans="2:26" s="54" customFormat="1" ht="18" customHeight="1">
      <c r="B140" s="443"/>
      <c r="C140" s="118"/>
      <c r="D140" s="444"/>
      <c r="E140" s="445"/>
      <c r="F140" s="445"/>
      <c r="G140" s="445"/>
      <c r="H140" s="446"/>
      <c r="J140" s="447"/>
      <c r="K140" s="448"/>
      <c r="L140" s="449"/>
      <c r="M140" s="117"/>
      <c r="N140" s="119"/>
      <c r="O140" s="119"/>
      <c r="P140" s="449"/>
      <c r="Q140" s="117"/>
      <c r="R140" s="119"/>
      <c r="S140" s="119"/>
      <c r="U140" s="117"/>
      <c r="Y140" s="320"/>
      <c r="Z140" s="124"/>
    </row>
    <row r="141" spans="1:17" s="54" customFormat="1" ht="18" customHeight="1">
      <c r="A141" s="1033" t="s">
        <v>1</v>
      </c>
      <c r="B141" s="1034"/>
      <c r="C141" s="1037" t="s">
        <v>291</v>
      </c>
      <c r="D141" s="1021" t="s">
        <v>430</v>
      </c>
      <c r="E141" s="1025" t="s">
        <v>431</v>
      </c>
      <c r="F141" s="1025" t="s">
        <v>432</v>
      </c>
      <c r="G141" s="1023" t="s">
        <v>433</v>
      </c>
      <c r="H141" s="983" t="s">
        <v>434</v>
      </c>
      <c r="I141" s="983" t="s">
        <v>435</v>
      </c>
      <c r="J141" s="1086" t="s">
        <v>292</v>
      </c>
      <c r="K141" s="1073" t="s">
        <v>293</v>
      </c>
      <c r="L141" s="1088" t="s">
        <v>436</v>
      </c>
      <c r="M141" s="1089"/>
      <c r="N141" s="1083" t="s">
        <v>295</v>
      </c>
      <c r="O141" s="1084"/>
      <c r="P141" s="1085"/>
      <c r="Q141" s="1030" t="s">
        <v>437</v>
      </c>
    </row>
    <row r="142" spans="1:20" s="54" customFormat="1" ht="18" customHeight="1">
      <c r="A142" s="1035"/>
      <c r="B142" s="1036"/>
      <c r="C142" s="1038"/>
      <c r="D142" s="1022"/>
      <c r="E142" s="1026"/>
      <c r="F142" s="1026"/>
      <c r="G142" s="1024"/>
      <c r="H142" s="1032"/>
      <c r="I142" s="1032"/>
      <c r="J142" s="1087"/>
      <c r="K142" s="1074"/>
      <c r="L142" s="612" t="s">
        <v>294</v>
      </c>
      <c r="M142" s="319" t="s">
        <v>296</v>
      </c>
      <c r="N142" s="613" t="s">
        <v>297</v>
      </c>
      <c r="O142" s="614" t="s">
        <v>438</v>
      </c>
      <c r="P142" s="615" t="s">
        <v>439</v>
      </c>
      <c r="Q142" s="1103"/>
      <c r="S142" s="439"/>
      <c r="T142" s="439"/>
    </row>
    <row r="143" spans="1:26" s="54" customFormat="1" ht="18" customHeight="1">
      <c r="A143" s="1041" t="s">
        <v>376</v>
      </c>
      <c r="B143" s="983" t="s">
        <v>82</v>
      </c>
      <c r="C143" s="1107">
        <v>41512</v>
      </c>
      <c r="D143" s="764" t="s">
        <v>440</v>
      </c>
      <c r="E143" s="907" t="s">
        <v>558</v>
      </c>
      <c r="F143" s="908" t="s">
        <v>558</v>
      </c>
      <c r="G143" s="909" t="s">
        <v>558</v>
      </c>
      <c r="H143" s="326" t="s">
        <v>558</v>
      </c>
      <c r="I143" s="505" t="s">
        <v>298</v>
      </c>
      <c r="J143" s="506" t="s">
        <v>175</v>
      </c>
      <c r="K143" s="325">
        <f>69.5592/1000</f>
        <v>0.0695592</v>
      </c>
      <c r="L143" s="506" t="s">
        <v>175</v>
      </c>
      <c r="M143" s="327" t="s">
        <v>175</v>
      </c>
      <c r="N143" s="624">
        <f>SUM(O143,P143)</f>
        <v>7400</v>
      </c>
      <c r="O143" s="725">
        <v>2300</v>
      </c>
      <c r="P143" s="723">
        <v>5100</v>
      </c>
      <c r="Q143" s="318" t="s">
        <v>538</v>
      </c>
      <c r="R143" s="649"/>
      <c r="S143" s="649"/>
      <c r="T143" s="48"/>
      <c r="U143" s="48"/>
      <c r="V143" s="48"/>
      <c r="W143" s="48"/>
      <c r="X143" s="48"/>
      <c r="Y143" s="320"/>
      <c r="Z143" s="124"/>
    </row>
    <row r="144" spans="1:27" s="54" customFormat="1" ht="18" customHeight="1">
      <c r="A144" s="1042"/>
      <c r="B144" s="972"/>
      <c r="C144" s="1108"/>
      <c r="D144" s="800" t="s">
        <v>459</v>
      </c>
      <c r="E144" s="640" t="s">
        <v>460</v>
      </c>
      <c r="F144" s="923" t="s">
        <v>632</v>
      </c>
      <c r="G144" s="933" t="s">
        <v>632</v>
      </c>
      <c r="H144" s="459" t="s">
        <v>633</v>
      </c>
      <c r="I144" s="460" t="s">
        <v>377</v>
      </c>
      <c r="J144" s="474" t="s">
        <v>175</v>
      </c>
      <c r="K144" s="508">
        <f>9.6/1000</f>
        <v>0.0096</v>
      </c>
      <c r="L144" s="463" t="s">
        <v>175</v>
      </c>
      <c r="M144" s="465" t="s">
        <v>175</v>
      </c>
      <c r="N144" s="464">
        <f>SUM(O144,P144)</f>
        <v>278</v>
      </c>
      <c r="O144" s="726">
        <v>88</v>
      </c>
      <c r="P144" s="659">
        <v>190</v>
      </c>
      <c r="Q144" s="465" t="s">
        <v>532</v>
      </c>
      <c r="R144" s="502"/>
      <c r="S144" s="649"/>
      <c r="T144" s="48"/>
      <c r="U144" s="304"/>
      <c r="V144" s="304"/>
      <c r="W144" s="304"/>
      <c r="X144" s="48"/>
      <c r="Y144" s="320"/>
      <c r="Z144" s="124"/>
      <c r="AA144" s="119"/>
    </row>
    <row r="145" spans="1:26" s="54" customFormat="1" ht="18" customHeight="1">
      <c r="A145" s="1042"/>
      <c r="B145" s="972"/>
      <c r="C145" s="1108"/>
      <c r="D145" s="800" t="s">
        <v>456</v>
      </c>
      <c r="E145" s="923" t="s">
        <v>601</v>
      </c>
      <c r="F145" s="923" t="s">
        <v>601</v>
      </c>
      <c r="G145" s="924" t="s">
        <v>601</v>
      </c>
      <c r="H145" s="459" t="s">
        <v>634</v>
      </c>
      <c r="I145" s="460" t="s">
        <v>367</v>
      </c>
      <c r="J145" s="474" t="s">
        <v>175</v>
      </c>
      <c r="K145" s="462">
        <f>47.5/1000</f>
        <v>0.0475</v>
      </c>
      <c r="L145" s="463" t="s">
        <v>175</v>
      </c>
      <c r="M145" s="465" t="s">
        <v>175</v>
      </c>
      <c r="N145" s="464">
        <f>SUM(O145,P145)</f>
        <v>510</v>
      </c>
      <c r="O145" s="706">
        <v>160</v>
      </c>
      <c r="P145" s="702">
        <v>350</v>
      </c>
      <c r="Q145" s="465" t="s">
        <v>603</v>
      </c>
      <c r="R145" s="502"/>
      <c r="S145" s="502"/>
      <c r="T145" s="48"/>
      <c r="U145" s="304"/>
      <c r="V145" s="304"/>
      <c r="W145" s="304"/>
      <c r="X145" s="48"/>
      <c r="Y145" s="320"/>
      <c r="Z145" s="124"/>
    </row>
    <row r="146" spans="1:26" s="54" customFormat="1" ht="18" customHeight="1">
      <c r="A146" s="1042"/>
      <c r="B146" s="972"/>
      <c r="C146" s="1108"/>
      <c r="D146" s="765" t="s">
        <v>441</v>
      </c>
      <c r="E146" s="766" t="s">
        <v>442</v>
      </c>
      <c r="F146" s="766" t="s">
        <v>507</v>
      </c>
      <c r="G146" s="369" t="s">
        <v>508</v>
      </c>
      <c r="H146" s="366" t="s">
        <v>509</v>
      </c>
      <c r="I146" s="368" t="s">
        <v>508</v>
      </c>
      <c r="J146" s="372">
        <v>33</v>
      </c>
      <c r="K146" s="510">
        <f>7.4/1000</f>
        <v>0.0074</v>
      </c>
      <c r="L146" s="332" t="s">
        <v>300</v>
      </c>
      <c r="M146" s="333" t="s">
        <v>175</v>
      </c>
      <c r="N146" s="511">
        <f>SUM(O146,P146)</f>
        <v>660</v>
      </c>
      <c r="O146" s="698">
        <v>220</v>
      </c>
      <c r="P146" s="683">
        <v>440</v>
      </c>
      <c r="Q146" s="668" t="s">
        <v>516</v>
      </c>
      <c r="R146" s="502"/>
      <c r="S146" s="502"/>
      <c r="T146" s="48"/>
      <c r="U146" s="304"/>
      <c r="V146" s="304"/>
      <c r="W146" s="304"/>
      <c r="X146" s="48"/>
      <c r="Y146" s="320"/>
      <c r="Z146" s="124"/>
    </row>
    <row r="147" spans="1:26" s="54" customFormat="1" ht="18" customHeight="1">
      <c r="A147" s="1042"/>
      <c r="B147" s="972"/>
      <c r="C147" s="1108"/>
      <c r="D147" s="765" t="s">
        <v>441</v>
      </c>
      <c r="E147" s="766" t="s">
        <v>442</v>
      </c>
      <c r="F147" s="639" t="s">
        <v>513</v>
      </c>
      <c r="G147" s="369" t="s">
        <v>514</v>
      </c>
      <c r="H147" s="366" t="s">
        <v>310</v>
      </c>
      <c r="I147" s="329" t="s">
        <v>515</v>
      </c>
      <c r="J147" s="1075">
        <v>128</v>
      </c>
      <c r="K147" s="1078">
        <f>30.9/1000</f>
        <v>0.030899999999999997</v>
      </c>
      <c r="L147" s="1069" t="s">
        <v>300</v>
      </c>
      <c r="M147" s="1060" t="s">
        <v>175</v>
      </c>
      <c r="N147" s="1065">
        <f>SUM(O147,P147)</f>
        <v>460</v>
      </c>
      <c r="O147" s="1066">
        <v>150</v>
      </c>
      <c r="P147" s="1057">
        <v>310</v>
      </c>
      <c r="Q147" s="1060" t="s">
        <v>516</v>
      </c>
      <c r="R147" s="502"/>
      <c r="S147" s="502"/>
      <c r="T147" s="48"/>
      <c r="U147" s="304"/>
      <c r="V147" s="304"/>
      <c r="W147" s="304"/>
      <c r="X147" s="48"/>
      <c r="Y147" s="1063"/>
      <c r="Z147" s="1056"/>
    </row>
    <row r="148" spans="1:26" s="54" customFormat="1" ht="18" customHeight="1">
      <c r="A148" s="1042"/>
      <c r="B148" s="972"/>
      <c r="C148" s="1108"/>
      <c r="D148" s="765" t="s">
        <v>441</v>
      </c>
      <c r="E148" s="766" t="s">
        <v>442</v>
      </c>
      <c r="F148" s="639" t="s">
        <v>513</v>
      </c>
      <c r="G148" s="369" t="s">
        <v>517</v>
      </c>
      <c r="H148" s="366" t="s">
        <v>309</v>
      </c>
      <c r="I148" s="330" t="s">
        <v>517</v>
      </c>
      <c r="J148" s="1076"/>
      <c r="K148" s="1079"/>
      <c r="L148" s="1070"/>
      <c r="M148" s="1002"/>
      <c r="N148" s="1105"/>
      <c r="O148" s="1067"/>
      <c r="P148" s="1058"/>
      <c r="Q148" s="1002"/>
      <c r="R148" s="502"/>
      <c r="S148" s="502"/>
      <c r="T148" s="48"/>
      <c r="U148" s="304"/>
      <c r="V148" s="304"/>
      <c r="W148" s="304"/>
      <c r="X148" s="48"/>
      <c r="Y148" s="1063"/>
      <c r="Z148" s="1056"/>
    </row>
    <row r="149" spans="1:26" s="54" customFormat="1" ht="18" customHeight="1">
      <c r="A149" s="1042"/>
      <c r="B149" s="972"/>
      <c r="C149" s="1108"/>
      <c r="D149" s="765" t="s">
        <v>441</v>
      </c>
      <c r="E149" s="766" t="s">
        <v>442</v>
      </c>
      <c r="F149" s="639" t="s">
        <v>513</v>
      </c>
      <c r="G149" s="369" t="s">
        <v>518</v>
      </c>
      <c r="H149" s="366" t="s">
        <v>304</v>
      </c>
      <c r="I149" s="330" t="s">
        <v>519</v>
      </c>
      <c r="J149" s="1076"/>
      <c r="K149" s="1079"/>
      <c r="L149" s="1070"/>
      <c r="M149" s="1002"/>
      <c r="N149" s="1105"/>
      <c r="O149" s="1067"/>
      <c r="P149" s="1058"/>
      <c r="Q149" s="1002"/>
      <c r="R149" s="502"/>
      <c r="S149" s="502"/>
      <c r="T149" s="48"/>
      <c r="U149" s="304"/>
      <c r="V149" s="304"/>
      <c r="W149" s="304"/>
      <c r="X149" s="48"/>
      <c r="Y149" s="1094"/>
      <c r="Z149" s="1056"/>
    </row>
    <row r="150" spans="1:26" s="54" customFormat="1" ht="18" customHeight="1">
      <c r="A150" s="1042"/>
      <c r="B150" s="972"/>
      <c r="C150" s="1108"/>
      <c r="D150" s="765" t="s">
        <v>441</v>
      </c>
      <c r="E150" s="766" t="s">
        <v>442</v>
      </c>
      <c r="F150" s="639" t="s">
        <v>513</v>
      </c>
      <c r="G150" s="369" t="s">
        <v>518</v>
      </c>
      <c r="H150" s="366" t="s">
        <v>305</v>
      </c>
      <c r="I150" s="330" t="s">
        <v>306</v>
      </c>
      <c r="J150" s="1076"/>
      <c r="K150" s="1079"/>
      <c r="L150" s="1070"/>
      <c r="M150" s="1002"/>
      <c r="N150" s="1105"/>
      <c r="O150" s="1067"/>
      <c r="P150" s="1058"/>
      <c r="Q150" s="1002"/>
      <c r="R150" s="502"/>
      <c r="S150" s="502"/>
      <c r="T150" s="48"/>
      <c r="U150" s="304"/>
      <c r="V150" s="304"/>
      <c r="W150" s="304"/>
      <c r="X150" s="48"/>
      <c r="Y150" s="1094"/>
      <c r="Z150" s="1056"/>
    </row>
    <row r="151" spans="1:26" s="54" customFormat="1" ht="18" customHeight="1">
      <c r="A151" s="1042"/>
      <c r="B151" s="972"/>
      <c r="C151" s="1108"/>
      <c r="D151" s="765" t="s">
        <v>441</v>
      </c>
      <c r="E151" s="766" t="s">
        <v>442</v>
      </c>
      <c r="F151" s="639" t="s">
        <v>513</v>
      </c>
      <c r="G151" s="369" t="s">
        <v>518</v>
      </c>
      <c r="H151" s="366" t="s">
        <v>520</v>
      </c>
      <c r="I151" s="330" t="s">
        <v>357</v>
      </c>
      <c r="J151" s="1076"/>
      <c r="K151" s="1079"/>
      <c r="L151" s="1070"/>
      <c r="M151" s="1002"/>
      <c r="N151" s="1105"/>
      <c r="O151" s="1067"/>
      <c r="P151" s="1058"/>
      <c r="Q151" s="1002"/>
      <c r="R151" s="502"/>
      <c r="S151" s="502"/>
      <c r="T151" s="48"/>
      <c r="U151" s="304"/>
      <c r="V151" s="304"/>
      <c r="W151" s="304"/>
      <c r="X151" s="48"/>
      <c r="Y151" s="1094"/>
      <c r="Z151" s="1056"/>
    </row>
    <row r="152" spans="1:26" s="54" customFormat="1" ht="18" customHeight="1">
      <c r="A152" s="1042"/>
      <c r="B152" s="972"/>
      <c r="C152" s="1108"/>
      <c r="D152" s="765" t="s">
        <v>441</v>
      </c>
      <c r="E152" s="766" t="s">
        <v>442</v>
      </c>
      <c r="F152" s="639" t="s">
        <v>513</v>
      </c>
      <c r="G152" s="369" t="s">
        <v>518</v>
      </c>
      <c r="H152" s="366" t="s">
        <v>378</v>
      </c>
      <c r="I152" s="330" t="s">
        <v>635</v>
      </c>
      <c r="J152" s="1076"/>
      <c r="K152" s="1079"/>
      <c r="L152" s="1070"/>
      <c r="M152" s="1002"/>
      <c r="N152" s="1105"/>
      <c r="O152" s="1067"/>
      <c r="P152" s="1058"/>
      <c r="Q152" s="1002"/>
      <c r="R152" s="502"/>
      <c r="S152" s="502"/>
      <c r="T152" s="48"/>
      <c r="U152" s="304"/>
      <c r="V152" s="304"/>
      <c r="W152" s="304"/>
      <c r="X152" s="48"/>
      <c r="Y152" s="1094"/>
      <c r="Z152" s="1056"/>
    </row>
    <row r="153" spans="1:26" s="54" customFormat="1" ht="18" customHeight="1">
      <c r="A153" s="1042"/>
      <c r="B153" s="972"/>
      <c r="C153" s="1108"/>
      <c r="D153" s="765" t="s">
        <v>441</v>
      </c>
      <c r="E153" s="766" t="s">
        <v>442</v>
      </c>
      <c r="F153" s="639" t="s">
        <v>513</v>
      </c>
      <c r="G153" s="369" t="s">
        <v>518</v>
      </c>
      <c r="H153" s="366" t="s">
        <v>307</v>
      </c>
      <c r="I153" s="330" t="s">
        <v>522</v>
      </c>
      <c r="J153" s="1076"/>
      <c r="K153" s="1079"/>
      <c r="L153" s="1070"/>
      <c r="M153" s="1002"/>
      <c r="N153" s="1105"/>
      <c r="O153" s="1067"/>
      <c r="P153" s="1058"/>
      <c r="Q153" s="1002"/>
      <c r="R153" s="502"/>
      <c r="S153" s="502"/>
      <c r="T153" s="48"/>
      <c r="U153" s="304"/>
      <c r="V153" s="304"/>
      <c r="W153" s="304"/>
      <c r="X153" s="48"/>
      <c r="Y153" s="1094"/>
      <c r="Z153" s="1056"/>
    </row>
    <row r="154" spans="1:26" s="54" customFormat="1" ht="18" customHeight="1">
      <c r="A154" s="1042"/>
      <c r="B154" s="972"/>
      <c r="C154" s="1108"/>
      <c r="D154" s="765" t="s">
        <v>441</v>
      </c>
      <c r="E154" s="766" t="s">
        <v>442</v>
      </c>
      <c r="F154" s="639" t="s">
        <v>513</v>
      </c>
      <c r="G154" s="369" t="s">
        <v>518</v>
      </c>
      <c r="H154" s="366" t="s">
        <v>308</v>
      </c>
      <c r="I154" s="330" t="s">
        <v>523</v>
      </c>
      <c r="J154" s="1076"/>
      <c r="K154" s="1079"/>
      <c r="L154" s="1070"/>
      <c r="M154" s="1002"/>
      <c r="N154" s="1105"/>
      <c r="O154" s="1067"/>
      <c r="P154" s="1058"/>
      <c r="Q154" s="1002"/>
      <c r="R154" s="502"/>
      <c r="S154" s="502"/>
      <c r="T154" s="48"/>
      <c r="U154" s="304"/>
      <c r="V154" s="304"/>
      <c r="W154" s="304"/>
      <c r="X154" s="48"/>
      <c r="Y154" s="1094"/>
      <c r="Z154" s="1056"/>
    </row>
    <row r="155" spans="1:26" s="54" customFormat="1" ht="18" customHeight="1">
      <c r="A155" s="1042"/>
      <c r="B155" s="972"/>
      <c r="C155" s="1108"/>
      <c r="D155" s="765" t="s">
        <v>441</v>
      </c>
      <c r="E155" s="766" t="s">
        <v>442</v>
      </c>
      <c r="F155" s="639" t="s">
        <v>513</v>
      </c>
      <c r="G155" s="369" t="s">
        <v>518</v>
      </c>
      <c r="H155" s="366" t="s">
        <v>358</v>
      </c>
      <c r="I155" s="330" t="s">
        <v>578</v>
      </c>
      <c r="J155" s="1076"/>
      <c r="K155" s="1079"/>
      <c r="L155" s="1070"/>
      <c r="M155" s="1002"/>
      <c r="N155" s="1105"/>
      <c r="O155" s="1067"/>
      <c r="P155" s="1058"/>
      <c r="Q155" s="1002"/>
      <c r="R155" s="502"/>
      <c r="S155" s="502"/>
      <c r="T155" s="48"/>
      <c r="U155" s="304"/>
      <c r="V155" s="304"/>
      <c r="W155" s="304"/>
      <c r="X155" s="48"/>
      <c r="Y155" s="1094"/>
      <c r="Z155" s="1056"/>
    </row>
    <row r="156" spans="1:26" s="54" customFormat="1" ht="18" customHeight="1">
      <c r="A156" s="1042"/>
      <c r="B156" s="972"/>
      <c r="C156" s="1108"/>
      <c r="D156" s="765" t="s">
        <v>441</v>
      </c>
      <c r="E156" s="766" t="s">
        <v>442</v>
      </c>
      <c r="F156" s="639" t="s">
        <v>513</v>
      </c>
      <c r="G156" s="369" t="s">
        <v>513</v>
      </c>
      <c r="H156" s="366" t="s">
        <v>529</v>
      </c>
      <c r="I156" s="330" t="s">
        <v>311</v>
      </c>
      <c r="J156" s="1076"/>
      <c r="K156" s="1079"/>
      <c r="L156" s="1070"/>
      <c r="M156" s="1002"/>
      <c r="N156" s="1105"/>
      <c r="O156" s="1067"/>
      <c r="P156" s="1058"/>
      <c r="Q156" s="1002"/>
      <c r="R156" s="502"/>
      <c r="S156" s="502"/>
      <c r="T156" s="48"/>
      <c r="U156" s="304"/>
      <c r="V156" s="304"/>
      <c r="W156" s="304"/>
      <c r="X156" s="48"/>
      <c r="Y156" s="1094"/>
      <c r="Z156" s="1056"/>
    </row>
    <row r="157" spans="1:26" s="54" customFormat="1" ht="18" customHeight="1">
      <c r="A157" s="1042"/>
      <c r="B157" s="972"/>
      <c r="C157" s="1108"/>
      <c r="D157" s="765" t="s">
        <v>441</v>
      </c>
      <c r="E157" s="766" t="s">
        <v>442</v>
      </c>
      <c r="F157" s="639" t="s">
        <v>513</v>
      </c>
      <c r="G157" s="770" t="s">
        <v>524</v>
      </c>
      <c r="H157" s="366" t="s">
        <v>302</v>
      </c>
      <c r="I157" s="330" t="s">
        <v>527</v>
      </c>
      <c r="J157" s="1076"/>
      <c r="K157" s="1079"/>
      <c r="L157" s="1070"/>
      <c r="M157" s="1002"/>
      <c r="N157" s="1106"/>
      <c r="O157" s="1067"/>
      <c r="P157" s="1058"/>
      <c r="Q157" s="1002"/>
      <c r="R157" s="502"/>
      <c r="S157" s="502"/>
      <c r="T157" s="48"/>
      <c r="U157" s="304"/>
      <c r="V157" s="304"/>
      <c r="W157" s="304"/>
      <c r="X157" s="48"/>
      <c r="Y157" s="1094"/>
      <c r="Z157" s="1056"/>
    </row>
    <row r="158" spans="1:26" s="54" customFormat="1" ht="18" customHeight="1">
      <c r="A158" s="1042"/>
      <c r="B158" s="972"/>
      <c r="C158" s="1108"/>
      <c r="D158" s="765" t="s">
        <v>441</v>
      </c>
      <c r="E158" s="766" t="s">
        <v>442</v>
      </c>
      <c r="F158" s="776" t="s">
        <v>568</v>
      </c>
      <c r="G158" s="802" t="s">
        <v>568</v>
      </c>
      <c r="H158" s="366" t="s">
        <v>608</v>
      </c>
      <c r="I158" s="330" t="s">
        <v>609</v>
      </c>
      <c r="J158" s="1075">
        <v>67</v>
      </c>
      <c r="K158" s="1078">
        <f>31.2/1000</f>
        <v>0.0312</v>
      </c>
      <c r="L158" s="1069" t="s">
        <v>300</v>
      </c>
      <c r="M158" s="1060" t="s">
        <v>175</v>
      </c>
      <c r="N158" s="1105">
        <f>SUM(O158,P158)</f>
        <v>390</v>
      </c>
      <c r="O158" s="1066">
        <v>120</v>
      </c>
      <c r="P158" s="1057">
        <v>270</v>
      </c>
      <c r="Q158" s="1060" t="s">
        <v>516</v>
      </c>
      <c r="R158" s="502"/>
      <c r="S158" s="502"/>
      <c r="T158" s="48"/>
      <c r="U158" s="304"/>
      <c r="V158" s="304"/>
      <c r="W158" s="304"/>
      <c r="X158" s="48"/>
      <c r="Y158" s="429"/>
      <c r="Z158" s="124"/>
    </row>
    <row r="159" spans="1:26" s="54" customFormat="1" ht="18" customHeight="1">
      <c r="A159" s="1042"/>
      <c r="B159" s="972"/>
      <c r="C159" s="1108"/>
      <c r="D159" s="765" t="s">
        <v>441</v>
      </c>
      <c r="E159" s="766" t="s">
        <v>442</v>
      </c>
      <c r="F159" s="776" t="s">
        <v>568</v>
      </c>
      <c r="G159" s="777" t="s">
        <v>568</v>
      </c>
      <c r="H159" s="366" t="s">
        <v>610</v>
      </c>
      <c r="I159" s="329" t="s">
        <v>568</v>
      </c>
      <c r="J159" s="1077"/>
      <c r="K159" s="1080"/>
      <c r="L159" s="1071"/>
      <c r="M159" s="1072"/>
      <c r="N159" s="1062"/>
      <c r="O159" s="1068"/>
      <c r="P159" s="1059"/>
      <c r="Q159" s="1072"/>
      <c r="R159" s="502"/>
      <c r="S159" s="502"/>
      <c r="T159" s="48"/>
      <c r="U159" s="304"/>
      <c r="V159" s="304"/>
      <c r="W159" s="304"/>
      <c r="X159" s="48"/>
      <c r="Y159" s="429"/>
      <c r="Z159" s="124"/>
    </row>
    <row r="160" spans="1:26" s="54" customFormat="1" ht="18" customHeight="1">
      <c r="A160" s="1042"/>
      <c r="B160" s="972"/>
      <c r="C160" s="1108"/>
      <c r="D160" s="778" t="s">
        <v>441</v>
      </c>
      <c r="E160" s="916" t="s">
        <v>443</v>
      </c>
      <c r="F160" s="890" t="s">
        <v>444</v>
      </c>
      <c r="G160" s="882" t="s">
        <v>569</v>
      </c>
      <c r="H160" s="408" t="s">
        <v>371</v>
      </c>
      <c r="I160" s="412" t="s">
        <v>569</v>
      </c>
      <c r="J160" s="383">
        <v>3</v>
      </c>
      <c r="K160" s="512">
        <f>8.5/1000</f>
        <v>0.0085</v>
      </c>
      <c r="L160" s="388" t="s">
        <v>379</v>
      </c>
      <c r="M160" s="33" t="s">
        <v>175</v>
      </c>
      <c r="N160" s="478">
        <f>SUM(O160,P160)</f>
        <v>940</v>
      </c>
      <c r="O160" s="714">
        <v>300</v>
      </c>
      <c r="P160" s="721">
        <v>640</v>
      </c>
      <c r="Q160" s="33" t="s">
        <v>560</v>
      </c>
      <c r="R160" s="502"/>
      <c r="S160" s="502"/>
      <c r="T160" s="48"/>
      <c r="U160" s="304"/>
      <c r="V160" s="304"/>
      <c r="W160" s="304"/>
      <c r="X160" s="48"/>
      <c r="Y160" s="429"/>
      <c r="Z160" s="124"/>
    </row>
    <row r="161" spans="1:26" s="54" customFormat="1" ht="18" customHeight="1">
      <c r="A161" s="1042"/>
      <c r="B161" s="972"/>
      <c r="C161" s="1108"/>
      <c r="D161" s="772" t="s">
        <v>441</v>
      </c>
      <c r="E161" s="916" t="s">
        <v>443</v>
      </c>
      <c r="F161" s="925" t="s">
        <v>444</v>
      </c>
      <c r="G161" s="926" t="s">
        <v>530</v>
      </c>
      <c r="H161" s="409" t="s">
        <v>369</v>
      </c>
      <c r="I161" s="412" t="s">
        <v>370</v>
      </c>
      <c r="J161" s="383">
        <v>205</v>
      </c>
      <c r="K161" s="467">
        <f>27.1/1000</f>
        <v>0.027100000000000003</v>
      </c>
      <c r="L161" s="388" t="s">
        <v>313</v>
      </c>
      <c r="M161" s="33" t="s">
        <v>175</v>
      </c>
      <c r="N161" s="478">
        <f>SUM(O161,P161)</f>
        <v>730</v>
      </c>
      <c r="O161" s="714">
        <v>230</v>
      </c>
      <c r="P161" s="721">
        <v>500</v>
      </c>
      <c r="Q161" s="33" t="s">
        <v>532</v>
      </c>
      <c r="R161" s="502"/>
      <c r="S161" s="502"/>
      <c r="T161" s="48"/>
      <c r="U161" s="304"/>
      <c r="V161" s="304"/>
      <c r="W161" s="304"/>
      <c r="X161" s="48"/>
      <c r="Y161" s="320"/>
      <c r="Z161" s="124"/>
    </row>
    <row r="162" spans="1:26" s="54" customFormat="1" ht="18" customHeight="1">
      <c r="A162" s="1042"/>
      <c r="B162" s="972"/>
      <c r="C162" s="1108"/>
      <c r="D162" s="778" t="s">
        <v>441</v>
      </c>
      <c r="E162" s="890" t="s">
        <v>443</v>
      </c>
      <c r="F162" s="890" t="s">
        <v>444</v>
      </c>
      <c r="G162" s="858" t="s">
        <v>580</v>
      </c>
      <c r="H162" s="408" t="s">
        <v>581</v>
      </c>
      <c r="I162" s="412" t="s">
        <v>580</v>
      </c>
      <c r="J162" s="383">
        <v>6</v>
      </c>
      <c r="K162" s="384">
        <f>117.4/1000</f>
        <v>0.1174</v>
      </c>
      <c r="L162" s="388" t="s">
        <v>313</v>
      </c>
      <c r="M162" s="33" t="s">
        <v>175</v>
      </c>
      <c r="N162" s="478">
        <f aca="true" t="shared" si="7" ref="N162:N170">SUM(O162,P162)</f>
        <v>1420</v>
      </c>
      <c r="O162" s="714">
        <v>440</v>
      </c>
      <c r="P162" s="721">
        <v>980</v>
      </c>
      <c r="Q162" s="33" t="s">
        <v>532</v>
      </c>
      <c r="R162" s="502"/>
      <c r="S162" s="502"/>
      <c r="T162" s="48"/>
      <c r="U162" s="304"/>
      <c r="V162" s="304"/>
      <c r="W162" s="304"/>
      <c r="X162" s="48"/>
      <c r="Y162" s="320"/>
      <c r="Z162" s="124"/>
    </row>
    <row r="163" spans="1:26" s="54" customFormat="1" ht="18" customHeight="1">
      <c r="A163" s="1042"/>
      <c r="B163" s="972"/>
      <c r="C163" s="1108"/>
      <c r="D163" s="773" t="s">
        <v>448</v>
      </c>
      <c r="E163" s="881" t="s">
        <v>449</v>
      </c>
      <c r="F163" s="637" t="s">
        <v>535</v>
      </c>
      <c r="G163" s="901" t="s">
        <v>535</v>
      </c>
      <c r="H163" s="408" t="s">
        <v>621</v>
      </c>
      <c r="I163" s="412" t="s">
        <v>622</v>
      </c>
      <c r="J163" s="383">
        <v>1</v>
      </c>
      <c r="K163" s="467">
        <f>55.4/1000</f>
        <v>0.0554</v>
      </c>
      <c r="L163" s="413" t="s">
        <v>320</v>
      </c>
      <c r="M163" s="414" t="s">
        <v>318</v>
      </c>
      <c r="N163" s="478">
        <f>SUM(O163,P163)</f>
        <v>1300</v>
      </c>
      <c r="O163" s="692">
        <v>420</v>
      </c>
      <c r="P163" s="677">
        <v>880</v>
      </c>
      <c r="Q163" s="33" t="s">
        <v>538</v>
      </c>
      <c r="R163" s="502"/>
      <c r="S163" s="502"/>
      <c r="T163" s="48"/>
      <c r="U163" s="304"/>
      <c r="V163" s="304"/>
      <c r="W163" s="304"/>
      <c r="X163" s="48"/>
      <c r="Y163" s="320"/>
      <c r="Z163" s="124"/>
    </row>
    <row r="164" spans="1:26" s="54" customFormat="1" ht="18" customHeight="1">
      <c r="A164" s="1042"/>
      <c r="B164" s="972"/>
      <c r="C164" s="1108"/>
      <c r="D164" s="773" t="s">
        <v>448</v>
      </c>
      <c r="E164" s="881" t="s">
        <v>449</v>
      </c>
      <c r="F164" s="637" t="s">
        <v>535</v>
      </c>
      <c r="G164" s="901" t="s">
        <v>535</v>
      </c>
      <c r="H164" s="408" t="s">
        <v>539</v>
      </c>
      <c r="I164" s="409" t="s">
        <v>352</v>
      </c>
      <c r="J164" s="383">
        <v>78</v>
      </c>
      <c r="K164" s="384">
        <f>192.8/1000</f>
        <v>0.1928</v>
      </c>
      <c r="L164" s="342" t="s">
        <v>380</v>
      </c>
      <c r="M164" s="24" t="s">
        <v>175</v>
      </c>
      <c r="N164" s="478">
        <f t="shared" si="7"/>
        <v>770</v>
      </c>
      <c r="O164" s="692">
        <v>250</v>
      </c>
      <c r="P164" s="677">
        <v>520</v>
      </c>
      <c r="Q164" s="33" t="s">
        <v>551</v>
      </c>
      <c r="R164" s="502"/>
      <c r="S164" s="502"/>
      <c r="T164" s="48"/>
      <c r="U164" s="304"/>
      <c r="V164" s="304"/>
      <c r="W164" s="304"/>
      <c r="X164" s="48"/>
      <c r="Y164" s="320"/>
      <c r="Z164" s="124"/>
    </row>
    <row r="165" spans="1:26" s="54" customFormat="1" ht="18" customHeight="1">
      <c r="A165" s="1042"/>
      <c r="B165" s="972"/>
      <c r="C165" s="1109"/>
      <c r="D165" s="773" t="s">
        <v>448</v>
      </c>
      <c r="E165" s="881" t="s">
        <v>449</v>
      </c>
      <c r="F165" s="637" t="s">
        <v>535</v>
      </c>
      <c r="G165" s="882" t="s">
        <v>540</v>
      </c>
      <c r="H165" s="408" t="s">
        <v>636</v>
      </c>
      <c r="I165" s="412" t="s">
        <v>637</v>
      </c>
      <c r="J165" s="383">
        <v>10</v>
      </c>
      <c r="K165" s="467">
        <f>16.6/1000</f>
        <v>0.0166</v>
      </c>
      <c r="L165" s="388" t="s">
        <v>317</v>
      </c>
      <c r="M165" s="24" t="s">
        <v>175</v>
      </c>
      <c r="N165" s="478">
        <f>SUM(O165,P165)</f>
        <v>251</v>
      </c>
      <c r="O165" s="692">
        <v>81</v>
      </c>
      <c r="P165" s="677">
        <v>170</v>
      </c>
      <c r="Q165" s="33" t="s">
        <v>551</v>
      </c>
      <c r="R165" s="502"/>
      <c r="S165" s="502"/>
      <c r="T165" s="48"/>
      <c r="U165" s="304"/>
      <c r="V165" s="304"/>
      <c r="W165" s="304"/>
      <c r="X165" s="109"/>
      <c r="Y165" s="320"/>
      <c r="Z165" s="124"/>
    </row>
    <row r="166" spans="1:26" s="54" customFormat="1" ht="18" customHeight="1">
      <c r="A166" s="1042"/>
      <c r="B166" s="972"/>
      <c r="C166" s="1110"/>
      <c r="D166" s="773" t="s">
        <v>448</v>
      </c>
      <c r="E166" s="881" t="s">
        <v>449</v>
      </c>
      <c r="F166" s="881" t="s">
        <v>554</v>
      </c>
      <c r="G166" s="917" t="s">
        <v>587</v>
      </c>
      <c r="H166" s="408" t="s">
        <v>588</v>
      </c>
      <c r="I166" s="412" t="s">
        <v>638</v>
      </c>
      <c r="J166" s="383">
        <v>28</v>
      </c>
      <c r="K166" s="384">
        <f>102.6/1000</f>
        <v>0.1026</v>
      </c>
      <c r="L166" s="388" t="s">
        <v>317</v>
      </c>
      <c r="M166" s="24" t="s">
        <v>175</v>
      </c>
      <c r="N166" s="478">
        <f>SUM(O166,P166)</f>
        <v>4100</v>
      </c>
      <c r="O166" s="692">
        <v>1300</v>
      </c>
      <c r="P166" s="677">
        <v>2800</v>
      </c>
      <c r="Q166" s="33" t="s">
        <v>551</v>
      </c>
      <c r="R166" s="502"/>
      <c r="S166" s="502"/>
      <c r="T166" s="48"/>
      <c r="U166" s="304"/>
      <c r="V166" s="304"/>
      <c r="W166" s="304"/>
      <c r="X166" s="109"/>
      <c r="Y166" s="320"/>
      <c r="Z166" s="124"/>
    </row>
    <row r="167" spans="1:26" s="54" customFormat="1" ht="18" customHeight="1">
      <c r="A167" s="1042"/>
      <c r="B167" s="972"/>
      <c r="C167" s="1097">
        <v>41521</v>
      </c>
      <c r="D167" s="773" t="s">
        <v>448</v>
      </c>
      <c r="E167" s="881" t="s">
        <v>449</v>
      </c>
      <c r="F167" s="637" t="s">
        <v>535</v>
      </c>
      <c r="G167" s="901" t="s">
        <v>535</v>
      </c>
      <c r="H167" s="408" t="s">
        <v>539</v>
      </c>
      <c r="I167" s="409" t="s">
        <v>381</v>
      </c>
      <c r="J167" s="383">
        <v>10</v>
      </c>
      <c r="K167" s="384">
        <f>412.4/1000</f>
        <v>0.4124</v>
      </c>
      <c r="L167" s="413" t="s">
        <v>320</v>
      </c>
      <c r="M167" s="414" t="s">
        <v>318</v>
      </c>
      <c r="N167" s="478">
        <f t="shared" si="7"/>
        <v>42</v>
      </c>
      <c r="O167" s="692">
        <v>13</v>
      </c>
      <c r="P167" s="677">
        <v>29</v>
      </c>
      <c r="Q167" s="33" t="s">
        <v>538</v>
      </c>
      <c r="R167" s="303"/>
      <c r="S167" s="502"/>
      <c r="T167" s="48"/>
      <c r="U167" s="304"/>
      <c r="V167" s="304"/>
      <c r="W167" s="304"/>
      <c r="X167" s="109"/>
      <c r="Y167" s="320"/>
      <c r="Z167" s="124"/>
    </row>
    <row r="168" spans="1:26" s="54" customFormat="1" ht="18" customHeight="1">
      <c r="A168" s="1042"/>
      <c r="B168" s="973"/>
      <c r="C168" s="1098"/>
      <c r="D168" s="773" t="s">
        <v>448</v>
      </c>
      <c r="E168" s="881" t="s">
        <v>449</v>
      </c>
      <c r="F168" s="637" t="s">
        <v>535</v>
      </c>
      <c r="G168" s="901" t="s">
        <v>535</v>
      </c>
      <c r="H168" s="513" t="s">
        <v>639</v>
      </c>
      <c r="I168" s="514" t="s">
        <v>382</v>
      </c>
      <c r="J168" s="515">
        <v>2</v>
      </c>
      <c r="K168" s="516">
        <f>535.4/1000</f>
        <v>0.5354</v>
      </c>
      <c r="L168" s="517" t="s">
        <v>383</v>
      </c>
      <c r="M168" s="479" t="s">
        <v>175</v>
      </c>
      <c r="N168" s="623">
        <f t="shared" si="7"/>
        <v>52</v>
      </c>
      <c r="O168" s="724">
        <v>16</v>
      </c>
      <c r="P168" s="722">
        <v>36</v>
      </c>
      <c r="Q168" s="34" t="s">
        <v>551</v>
      </c>
      <c r="R168" s="502"/>
      <c r="S168" s="502"/>
      <c r="T168" s="48"/>
      <c r="U168" s="304"/>
      <c r="V168" s="304"/>
      <c r="W168" s="304"/>
      <c r="X168" s="48"/>
      <c r="Y168" s="320"/>
      <c r="Z168" s="124"/>
    </row>
    <row r="169" spans="1:26" s="54" customFormat="1" ht="18" customHeight="1">
      <c r="A169" s="1042"/>
      <c r="B169" s="1030" t="s">
        <v>488</v>
      </c>
      <c r="C169" s="471">
        <v>41523</v>
      </c>
      <c r="D169" s="801" t="s">
        <v>448</v>
      </c>
      <c r="E169" s="896" t="s">
        <v>449</v>
      </c>
      <c r="F169" s="811" t="s">
        <v>628</v>
      </c>
      <c r="G169" s="663" t="s">
        <v>628</v>
      </c>
      <c r="H169" s="483" t="s">
        <v>384</v>
      </c>
      <c r="I169" s="484" t="s">
        <v>630</v>
      </c>
      <c r="J169" s="359">
        <v>3</v>
      </c>
      <c r="K169" s="485">
        <v>1.5</v>
      </c>
      <c r="L169" s="406" t="s">
        <v>328</v>
      </c>
      <c r="M169" s="518" t="s">
        <v>640</v>
      </c>
      <c r="N169" s="486">
        <f>SUM(O169,P169)</f>
        <v>510</v>
      </c>
      <c r="O169" s="691">
        <v>160</v>
      </c>
      <c r="P169" s="676">
        <v>350</v>
      </c>
      <c r="Q169" s="315">
        <v>0.29</v>
      </c>
      <c r="R169" s="502"/>
      <c r="S169" s="502"/>
      <c r="T169" s="303"/>
      <c r="U169" s="48"/>
      <c r="V169" s="620"/>
      <c r="W169" s="620"/>
      <c r="X169" s="109"/>
      <c r="Y169" s="320"/>
      <c r="Z169" s="124"/>
    </row>
    <row r="170" spans="1:26" s="54" customFormat="1" ht="18" customHeight="1">
      <c r="A170" s="1043"/>
      <c r="B170" s="1103"/>
      <c r="C170" s="519">
        <v>41524</v>
      </c>
      <c r="D170" s="807" t="s">
        <v>448</v>
      </c>
      <c r="E170" s="934" t="s">
        <v>449</v>
      </c>
      <c r="F170" s="892" t="s">
        <v>535</v>
      </c>
      <c r="G170" s="921" t="s">
        <v>535</v>
      </c>
      <c r="H170" s="492" t="s">
        <v>623</v>
      </c>
      <c r="I170" s="493" t="s">
        <v>535</v>
      </c>
      <c r="J170" s="363">
        <v>1</v>
      </c>
      <c r="K170" s="520">
        <v>3.2</v>
      </c>
      <c r="L170" s="521" t="s">
        <v>380</v>
      </c>
      <c r="M170" s="428" t="s">
        <v>318</v>
      </c>
      <c r="N170" s="496">
        <f t="shared" si="7"/>
        <v>880</v>
      </c>
      <c r="O170" s="694">
        <v>280</v>
      </c>
      <c r="P170" s="679">
        <v>600</v>
      </c>
      <c r="Q170" s="232">
        <v>2.8</v>
      </c>
      <c r="R170" s="502"/>
      <c r="S170" s="502"/>
      <c r="T170" s="502"/>
      <c r="U170" s="48"/>
      <c r="V170" s="620"/>
      <c r="W170" s="620"/>
      <c r="X170" s="109"/>
      <c r="Y170" s="320"/>
      <c r="Z170" s="124"/>
    </row>
    <row r="171" spans="1:26" s="54" customFormat="1" ht="18" customHeight="1">
      <c r="A171" s="522"/>
      <c r="B171" s="430"/>
      <c r="C171" s="431"/>
      <c r="D171" s="523"/>
      <c r="E171" s="429"/>
      <c r="F171" s="432"/>
      <c r="G171" s="433"/>
      <c r="H171" s="434"/>
      <c r="I171" s="524"/>
      <c r="J171" s="525"/>
      <c r="K171" s="437"/>
      <c r="L171" s="438"/>
      <c r="M171" s="439"/>
      <c r="N171" s="440"/>
      <c r="O171" s="440"/>
      <c r="P171" s="438"/>
      <c r="Q171" s="439"/>
      <c r="R171" s="440"/>
      <c r="S171" s="440"/>
      <c r="T171" s="440"/>
      <c r="U171" s="439"/>
      <c r="V171" s="442"/>
      <c r="W171" s="442"/>
      <c r="X171" s="52"/>
      <c r="Y171" s="320"/>
      <c r="Z171" s="124"/>
    </row>
    <row r="172" spans="1:17" s="54" customFormat="1" ht="18" customHeight="1">
      <c r="A172" s="1033" t="s">
        <v>1</v>
      </c>
      <c r="B172" s="1034"/>
      <c r="C172" s="1037" t="s">
        <v>291</v>
      </c>
      <c r="D172" s="1021" t="s">
        <v>430</v>
      </c>
      <c r="E172" s="1025" t="s">
        <v>431</v>
      </c>
      <c r="F172" s="1025" t="s">
        <v>432</v>
      </c>
      <c r="G172" s="1023" t="s">
        <v>433</v>
      </c>
      <c r="H172" s="983" t="s">
        <v>434</v>
      </c>
      <c r="I172" s="983" t="s">
        <v>435</v>
      </c>
      <c r="J172" s="1086" t="s">
        <v>292</v>
      </c>
      <c r="K172" s="1073" t="s">
        <v>293</v>
      </c>
      <c r="L172" s="1088" t="s">
        <v>436</v>
      </c>
      <c r="M172" s="1089"/>
      <c r="N172" s="1083" t="s">
        <v>295</v>
      </c>
      <c r="O172" s="1084"/>
      <c r="P172" s="1085"/>
      <c r="Q172" s="1030" t="s">
        <v>437</v>
      </c>
    </row>
    <row r="173" spans="1:20" s="54" customFormat="1" ht="18" customHeight="1">
      <c r="A173" s="1035"/>
      <c r="B173" s="1036"/>
      <c r="C173" s="1038"/>
      <c r="D173" s="1022"/>
      <c r="E173" s="1026"/>
      <c r="F173" s="1026"/>
      <c r="G173" s="1024"/>
      <c r="H173" s="1032"/>
      <c r="I173" s="1032"/>
      <c r="J173" s="1087"/>
      <c r="K173" s="1074"/>
      <c r="L173" s="612" t="s">
        <v>294</v>
      </c>
      <c r="M173" s="319" t="s">
        <v>296</v>
      </c>
      <c r="N173" s="613" t="s">
        <v>297</v>
      </c>
      <c r="O173" s="614" t="s">
        <v>438</v>
      </c>
      <c r="P173" s="615" t="s">
        <v>439</v>
      </c>
      <c r="Q173" s="1103"/>
      <c r="S173" s="439"/>
      <c r="T173" s="439"/>
    </row>
    <row r="174" spans="1:20" s="54" customFormat="1" ht="18" customHeight="1">
      <c r="A174" s="1041" t="s">
        <v>406</v>
      </c>
      <c r="B174" s="1030" t="s">
        <v>487</v>
      </c>
      <c r="C174" s="583">
        <v>41516</v>
      </c>
      <c r="D174" s="773" t="s">
        <v>448</v>
      </c>
      <c r="E174" s="881" t="s">
        <v>449</v>
      </c>
      <c r="F174" s="637" t="s">
        <v>535</v>
      </c>
      <c r="G174" s="901" t="s">
        <v>535</v>
      </c>
      <c r="H174" s="584" t="s">
        <v>621</v>
      </c>
      <c r="I174" s="585" t="s">
        <v>622</v>
      </c>
      <c r="J174" s="586">
        <v>2</v>
      </c>
      <c r="K174" s="587">
        <f>2292.3/1000</f>
        <v>2.2923</v>
      </c>
      <c r="L174" s="588" t="s">
        <v>383</v>
      </c>
      <c r="M174" s="518" t="s">
        <v>318</v>
      </c>
      <c r="N174" s="665">
        <f aca="true" t="shared" si="8" ref="N174:N180">SUM(O174,P174)</f>
        <v>530</v>
      </c>
      <c r="O174" s="691">
        <v>170</v>
      </c>
      <c r="P174" s="676">
        <v>360</v>
      </c>
      <c r="Q174" s="599">
        <v>1.1</v>
      </c>
      <c r="S174" s="439"/>
      <c r="T174" s="439"/>
    </row>
    <row r="175" spans="1:20" s="54" customFormat="1" ht="18" customHeight="1">
      <c r="A175" s="1039"/>
      <c r="B175" s="972"/>
      <c r="C175" s="589">
        <v>41517</v>
      </c>
      <c r="D175" s="773" t="s">
        <v>448</v>
      </c>
      <c r="E175" s="881" t="s">
        <v>449</v>
      </c>
      <c r="F175" s="814" t="s">
        <v>542</v>
      </c>
      <c r="G175" s="664" t="s">
        <v>542</v>
      </c>
      <c r="H175" s="513" t="s">
        <v>641</v>
      </c>
      <c r="I175" s="514" t="s">
        <v>642</v>
      </c>
      <c r="J175" s="515">
        <v>1</v>
      </c>
      <c r="K175" s="579">
        <f>1067.5/1000</f>
        <v>1.0675</v>
      </c>
      <c r="L175" s="517" t="s">
        <v>383</v>
      </c>
      <c r="M175" s="414" t="s">
        <v>318</v>
      </c>
      <c r="N175" s="411">
        <f t="shared" si="8"/>
        <v>264</v>
      </c>
      <c r="O175" s="692">
        <v>84</v>
      </c>
      <c r="P175" s="677">
        <v>180</v>
      </c>
      <c r="Q175" s="24" t="s">
        <v>538</v>
      </c>
      <c r="S175" s="439"/>
      <c r="T175" s="439"/>
    </row>
    <row r="176" spans="1:20" s="54" customFormat="1" ht="18" customHeight="1">
      <c r="A176" s="1039"/>
      <c r="B176" s="973"/>
      <c r="C176" s="590">
        <v>41521</v>
      </c>
      <c r="D176" s="781" t="s">
        <v>448</v>
      </c>
      <c r="E176" s="891" t="s">
        <v>449</v>
      </c>
      <c r="F176" s="892" t="s">
        <v>554</v>
      </c>
      <c r="G176" s="935" t="s">
        <v>555</v>
      </c>
      <c r="H176" s="423" t="s">
        <v>559</v>
      </c>
      <c r="I176" s="559" t="s">
        <v>346</v>
      </c>
      <c r="J176" s="424">
        <v>2</v>
      </c>
      <c r="K176" s="425">
        <f>1039.5/1000</f>
        <v>1.0395</v>
      </c>
      <c r="L176" s="521" t="s">
        <v>320</v>
      </c>
      <c r="M176" s="428" t="s">
        <v>349</v>
      </c>
      <c r="N176" s="427">
        <f t="shared" si="8"/>
        <v>770</v>
      </c>
      <c r="O176" s="694">
        <v>240</v>
      </c>
      <c r="P176" s="679">
        <v>530</v>
      </c>
      <c r="Q176" s="610" t="s">
        <v>510</v>
      </c>
      <c r="S176" s="439"/>
      <c r="T176" s="439"/>
    </row>
    <row r="177" spans="1:26" s="54" customFormat="1" ht="18" customHeight="1">
      <c r="A177" s="1039"/>
      <c r="B177" s="983" t="s">
        <v>75</v>
      </c>
      <c r="C177" s="1037">
        <v>41513</v>
      </c>
      <c r="D177" s="786" t="s">
        <v>440</v>
      </c>
      <c r="E177" s="936" t="s">
        <v>558</v>
      </c>
      <c r="F177" s="936" t="s">
        <v>558</v>
      </c>
      <c r="G177" s="909" t="s">
        <v>558</v>
      </c>
      <c r="H177" s="326" t="s">
        <v>558</v>
      </c>
      <c r="I177" s="505" t="s">
        <v>298</v>
      </c>
      <c r="J177" s="506" t="s">
        <v>175</v>
      </c>
      <c r="K177" s="325">
        <f>33.2338/1000</f>
        <v>0.0332338</v>
      </c>
      <c r="L177" s="326" t="s">
        <v>175</v>
      </c>
      <c r="M177" s="327" t="s">
        <v>175</v>
      </c>
      <c r="N177" s="624">
        <f t="shared" si="8"/>
        <v>1470</v>
      </c>
      <c r="O177" s="746">
        <v>470</v>
      </c>
      <c r="P177" s="723">
        <v>1000</v>
      </c>
      <c r="Q177" s="318" t="s">
        <v>538</v>
      </c>
      <c r="R177" s="649"/>
      <c r="S177" s="164"/>
      <c r="T177" s="48"/>
      <c r="U177" s="305"/>
      <c r="V177" s="305"/>
      <c r="W177" s="305"/>
      <c r="X177" s="48"/>
      <c r="Y177" s="320"/>
      <c r="Z177" s="124"/>
    </row>
    <row r="178" spans="1:26" s="54" customFormat="1" ht="18" customHeight="1">
      <c r="A178" s="1039"/>
      <c r="B178" s="972"/>
      <c r="C178" s="972"/>
      <c r="D178" s="786" t="s">
        <v>440</v>
      </c>
      <c r="E178" s="936" t="s">
        <v>558</v>
      </c>
      <c r="F178" s="936" t="s">
        <v>558</v>
      </c>
      <c r="G178" s="909" t="s">
        <v>558</v>
      </c>
      <c r="H178" s="452" t="s">
        <v>558</v>
      </c>
      <c r="I178" s="453" t="s">
        <v>401</v>
      </c>
      <c r="J178" s="473" t="s">
        <v>175</v>
      </c>
      <c r="K178" s="462">
        <f>29.1612/1000</f>
        <v>0.0291612</v>
      </c>
      <c r="L178" s="463" t="s">
        <v>175</v>
      </c>
      <c r="M178" s="465" t="s">
        <v>175</v>
      </c>
      <c r="N178" s="464">
        <f t="shared" si="8"/>
        <v>25.9</v>
      </c>
      <c r="O178" s="718">
        <v>7.9</v>
      </c>
      <c r="P178" s="701">
        <v>18</v>
      </c>
      <c r="Q178" s="465" t="s">
        <v>616</v>
      </c>
      <c r="R178" s="303"/>
      <c r="S178" s="164"/>
      <c r="T178" s="48"/>
      <c r="U178" s="305"/>
      <c r="V178" s="305"/>
      <c r="W178" s="305"/>
      <c r="X178" s="48"/>
      <c r="Y178" s="320"/>
      <c r="Z178" s="124"/>
    </row>
    <row r="179" spans="1:26" s="54" customFormat="1" ht="18" customHeight="1">
      <c r="A179" s="1039"/>
      <c r="B179" s="972"/>
      <c r="C179" s="972"/>
      <c r="D179" s="786" t="s">
        <v>457</v>
      </c>
      <c r="E179" s="922" t="s">
        <v>458</v>
      </c>
      <c r="F179" s="923" t="s">
        <v>595</v>
      </c>
      <c r="G179" s="924" t="s">
        <v>596</v>
      </c>
      <c r="H179" s="459" t="s">
        <v>597</v>
      </c>
      <c r="I179" s="460" t="s">
        <v>598</v>
      </c>
      <c r="J179" s="474" t="s">
        <v>175</v>
      </c>
      <c r="K179" s="462">
        <f>75.7/1000</f>
        <v>0.0757</v>
      </c>
      <c r="L179" s="463" t="s">
        <v>175</v>
      </c>
      <c r="M179" s="465" t="s">
        <v>175</v>
      </c>
      <c r="N179" s="456">
        <f t="shared" si="8"/>
        <v>22.1</v>
      </c>
      <c r="O179" s="719">
        <v>7.1</v>
      </c>
      <c r="P179" s="702">
        <v>15</v>
      </c>
      <c r="Q179" s="458" t="s">
        <v>600</v>
      </c>
      <c r="R179" s="303"/>
      <c r="S179" s="303"/>
      <c r="T179" s="48"/>
      <c r="U179" s="305"/>
      <c r="V179" s="305"/>
      <c r="W179" s="305"/>
      <c r="X179" s="48"/>
      <c r="Y179" s="320"/>
      <c r="Z179" s="124"/>
    </row>
    <row r="180" spans="1:26" s="54" customFormat="1" ht="18" customHeight="1">
      <c r="A180" s="1039"/>
      <c r="B180" s="972"/>
      <c r="C180" s="972"/>
      <c r="D180" s="765" t="s">
        <v>441</v>
      </c>
      <c r="E180" s="766" t="s">
        <v>442</v>
      </c>
      <c r="F180" s="766" t="s">
        <v>507</v>
      </c>
      <c r="G180" s="369" t="s">
        <v>508</v>
      </c>
      <c r="H180" s="366" t="s">
        <v>386</v>
      </c>
      <c r="I180" s="329" t="s">
        <v>508</v>
      </c>
      <c r="J180" s="1075">
        <v>115</v>
      </c>
      <c r="K180" s="1078">
        <f>15.1/1000</f>
        <v>0.015099999999999999</v>
      </c>
      <c r="L180" s="1069" t="s">
        <v>300</v>
      </c>
      <c r="M180" s="1060" t="s">
        <v>175</v>
      </c>
      <c r="N180" s="1065">
        <f t="shared" si="8"/>
        <v>1430</v>
      </c>
      <c r="O180" s="1095">
        <v>460</v>
      </c>
      <c r="P180" s="1091">
        <v>970</v>
      </c>
      <c r="Q180" s="1060" t="s">
        <v>516</v>
      </c>
      <c r="R180" s="649"/>
      <c r="S180" s="649"/>
      <c r="T180" s="48"/>
      <c r="U180" s="305"/>
      <c r="V180" s="305"/>
      <c r="W180" s="305"/>
      <c r="X180" s="48"/>
      <c r="Y180" s="1063"/>
      <c r="Z180" s="1056"/>
    </row>
    <row r="181" spans="1:26" s="54" customFormat="1" ht="18" customHeight="1">
      <c r="A181" s="1039"/>
      <c r="B181" s="972"/>
      <c r="C181" s="972"/>
      <c r="D181" s="765" t="s">
        <v>441</v>
      </c>
      <c r="E181" s="766" t="s">
        <v>442</v>
      </c>
      <c r="F181" s="639" t="s">
        <v>507</v>
      </c>
      <c r="G181" s="369" t="s">
        <v>508</v>
      </c>
      <c r="H181" s="366" t="s">
        <v>387</v>
      </c>
      <c r="I181" s="330" t="s">
        <v>512</v>
      </c>
      <c r="J181" s="1077"/>
      <c r="K181" s="1080"/>
      <c r="L181" s="1071"/>
      <c r="M181" s="1072"/>
      <c r="N181" s="1062"/>
      <c r="O181" s="1096"/>
      <c r="P181" s="1092"/>
      <c r="Q181" s="1062"/>
      <c r="R181" s="649"/>
      <c r="S181" s="649"/>
      <c r="T181" s="305"/>
      <c r="U181" s="305"/>
      <c r="V181" s="305"/>
      <c r="W181" s="305"/>
      <c r="X181" s="48"/>
      <c r="Y181" s="1094"/>
      <c r="Z181" s="1056"/>
    </row>
    <row r="182" spans="1:26" s="54" customFormat="1" ht="18" customHeight="1">
      <c r="A182" s="1039"/>
      <c r="B182" s="972"/>
      <c r="C182" s="972"/>
      <c r="D182" s="765" t="s">
        <v>441</v>
      </c>
      <c r="E182" s="766" t="s">
        <v>442</v>
      </c>
      <c r="F182" s="639" t="s">
        <v>513</v>
      </c>
      <c r="G182" s="369" t="s">
        <v>514</v>
      </c>
      <c r="H182" s="366" t="s">
        <v>310</v>
      </c>
      <c r="I182" s="329" t="s">
        <v>515</v>
      </c>
      <c r="J182" s="1075">
        <v>85</v>
      </c>
      <c r="K182" s="1078">
        <f>18.6/1000</f>
        <v>0.018600000000000002</v>
      </c>
      <c r="L182" s="1069" t="s">
        <v>300</v>
      </c>
      <c r="M182" s="1060" t="s">
        <v>175</v>
      </c>
      <c r="N182" s="1065">
        <f>SUM(O182,P182)</f>
        <v>104</v>
      </c>
      <c r="O182" s="1066">
        <v>34</v>
      </c>
      <c r="P182" s="1057">
        <v>70</v>
      </c>
      <c r="Q182" s="1060" t="s">
        <v>516</v>
      </c>
      <c r="R182" s="502"/>
      <c r="S182" s="502"/>
      <c r="T182" s="48"/>
      <c r="U182" s="305"/>
      <c r="V182" s="305"/>
      <c r="W182" s="305"/>
      <c r="X182" s="48"/>
      <c r="Y182" s="1063"/>
      <c r="Z182" s="1056"/>
    </row>
    <row r="183" spans="1:26" s="54" customFormat="1" ht="18" customHeight="1">
      <c r="A183" s="1039"/>
      <c r="B183" s="972"/>
      <c r="C183" s="972"/>
      <c r="D183" s="765" t="s">
        <v>441</v>
      </c>
      <c r="E183" s="766" t="s">
        <v>442</v>
      </c>
      <c r="F183" s="639" t="s">
        <v>513</v>
      </c>
      <c r="G183" s="369" t="s">
        <v>518</v>
      </c>
      <c r="H183" s="366" t="s">
        <v>305</v>
      </c>
      <c r="I183" s="330" t="s">
        <v>306</v>
      </c>
      <c r="J183" s="1076"/>
      <c r="K183" s="1079"/>
      <c r="L183" s="1070"/>
      <c r="M183" s="1002"/>
      <c r="N183" s="1061"/>
      <c r="O183" s="1067"/>
      <c r="P183" s="1058"/>
      <c r="Q183" s="1061"/>
      <c r="R183" s="502"/>
      <c r="S183" s="502"/>
      <c r="T183" s="305"/>
      <c r="U183" s="305"/>
      <c r="V183" s="305"/>
      <c r="W183" s="305"/>
      <c r="X183" s="48"/>
      <c r="Y183" s="1064"/>
      <c r="Z183" s="1056"/>
    </row>
    <row r="184" spans="1:26" s="54" customFormat="1" ht="18" customHeight="1">
      <c r="A184" s="1039"/>
      <c r="B184" s="972"/>
      <c r="C184" s="972"/>
      <c r="D184" s="765" t="s">
        <v>441</v>
      </c>
      <c r="E184" s="766" t="s">
        <v>442</v>
      </c>
      <c r="F184" s="639" t="s">
        <v>513</v>
      </c>
      <c r="G184" s="369" t="s">
        <v>518</v>
      </c>
      <c r="H184" s="366" t="s">
        <v>520</v>
      </c>
      <c r="I184" s="330" t="s">
        <v>521</v>
      </c>
      <c r="J184" s="1076"/>
      <c r="K184" s="1079"/>
      <c r="L184" s="1070"/>
      <c r="M184" s="1002"/>
      <c r="N184" s="1061"/>
      <c r="O184" s="1067"/>
      <c r="P184" s="1058"/>
      <c r="Q184" s="1061"/>
      <c r="R184" s="502"/>
      <c r="S184" s="502"/>
      <c r="T184" s="305"/>
      <c r="U184" s="305"/>
      <c r="V184" s="305"/>
      <c r="W184" s="305"/>
      <c r="X184" s="48"/>
      <c r="Y184" s="1064"/>
      <c r="Z184" s="1056"/>
    </row>
    <row r="185" spans="1:26" s="54" customFormat="1" ht="18" customHeight="1">
      <c r="A185" s="1039"/>
      <c r="B185" s="972"/>
      <c r="C185" s="972"/>
      <c r="D185" s="765" t="s">
        <v>441</v>
      </c>
      <c r="E185" s="766" t="s">
        <v>442</v>
      </c>
      <c r="F185" s="639" t="s">
        <v>513</v>
      </c>
      <c r="G185" s="369" t="s">
        <v>518</v>
      </c>
      <c r="H185" s="366" t="s">
        <v>378</v>
      </c>
      <c r="I185" s="330" t="s">
        <v>635</v>
      </c>
      <c r="J185" s="1076"/>
      <c r="K185" s="1079"/>
      <c r="L185" s="1070"/>
      <c r="M185" s="1002"/>
      <c r="N185" s="1061"/>
      <c r="O185" s="1067"/>
      <c r="P185" s="1058"/>
      <c r="Q185" s="1061"/>
      <c r="R185" s="502"/>
      <c r="S185" s="502"/>
      <c r="T185" s="305"/>
      <c r="U185" s="305"/>
      <c r="V185" s="305"/>
      <c r="W185" s="305"/>
      <c r="X185" s="48"/>
      <c r="Y185" s="1064"/>
      <c r="Z185" s="1056"/>
    </row>
    <row r="186" spans="1:26" s="54" customFormat="1" ht="18" customHeight="1">
      <c r="A186" s="1039"/>
      <c r="B186" s="972"/>
      <c r="C186" s="972"/>
      <c r="D186" s="765" t="s">
        <v>441</v>
      </c>
      <c r="E186" s="766" t="s">
        <v>442</v>
      </c>
      <c r="F186" s="639" t="s">
        <v>513</v>
      </c>
      <c r="G186" s="369" t="s">
        <v>518</v>
      </c>
      <c r="H186" s="366" t="s">
        <v>308</v>
      </c>
      <c r="I186" s="330" t="s">
        <v>523</v>
      </c>
      <c r="J186" s="1076"/>
      <c r="K186" s="1079"/>
      <c r="L186" s="1070"/>
      <c r="M186" s="1002"/>
      <c r="N186" s="1061"/>
      <c r="O186" s="1067"/>
      <c r="P186" s="1058"/>
      <c r="Q186" s="1061"/>
      <c r="R186" s="502"/>
      <c r="S186" s="502"/>
      <c r="T186" s="305"/>
      <c r="U186" s="305"/>
      <c r="V186" s="305"/>
      <c r="W186" s="305"/>
      <c r="X186" s="48"/>
      <c r="Y186" s="1064"/>
      <c r="Z186" s="1056"/>
    </row>
    <row r="187" spans="1:26" s="54" customFormat="1" ht="18" customHeight="1">
      <c r="A187" s="1039"/>
      <c r="B187" s="972"/>
      <c r="C187" s="972"/>
      <c r="D187" s="765" t="s">
        <v>441</v>
      </c>
      <c r="E187" s="766" t="s">
        <v>442</v>
      </c>
      <c r="F187" s="639" t="s">
        <v>513</v>
      </c>
      <c r="G187" s="369" t="s">
        <v>518</v>
      </c>
      <c r="H187" s="366" t="s">
        <v>358</v>
      </c>
      <c r="I187" s="330" t="s">
        <v>578</v>
      </c>
      <c r="J187" s="1076"/>
      <c r="K187" s="1079"/>
      <c r="L187" s="1070"/>
      <c r="M187" s="1002"/>
      <c r="N187" s="1061"/>
      <c r="O187" s="1067"/>
      <c r="P187" s="1058"/>
      <c r="Q187" s="1061"/>
      <c r="R187" s="502"/>
      <c r="S187" s="502"/>
      <c r="T187" s="305"/>
      <c r="U187" s="305"/>
      <c r="V187" s="305"/>
      <c r="W187" s="305"/>
      <c r="X187" s="48"/>
      <c r="Y187" s="1064"/>
      <c r="Z187" s="1056"/>
    </row>
    <row r="188" spans="1:26" s="54" customFormat="1" ht="18" customHeight="1">
      <c r="A188" s="1039"/>
      <c r="B188" s="972"/>
      <c r="C188" s="972"/>
      <c r="D188" s="765" t="s">
        <v>441</v>
      </c>
      <c r="E188" s="766" t="s">
        <v>442</v>
      </c>
      <c r="F188" s="639" t="s">
        <v>513</v>
      </c>
      <c r="G188" s="509" t="s">
        <v>524</v>
      </c>
      <c r="H188" s="366" t="s">
        <v>299</v>
      </c>
      <c r="I188" s="330" t="s">
        <v>525</v>
      </c>
      <c r="J188" s="1077"/>
      <c r="K188" s="1080"/>
      <c r="L188" s="1071"/>
      <c r="M188" s="1072"/>
      <c r="N188" s="1062"/>
      <c r="O188" s="1068"/>
      <c r="P188" s="1059"/>
      <c r="Q188" s="1062"/>
      <c r="R188" s="502"/>
      <c r="S188" s="502"/>
      <c r="T188" s="305"/>
      <c r="U188" s="305"/>
      <c r="V188" s="305"/>
      <c r="W188" s="305"/>
      <c r="X188" s="48"/>
      <c r="Y188" s="1064"/>
      <c r="Z188" s="1056"/>
    </row>
    <row r="189" spans="1:26" s="54" customFormat="1" ht="18" customHeight="1">
      <c r="A189" s="1039"/>
      <c r="B189" s="972"/>
      <c r="C189" s="972"/>
      <c r="D189" s="765" t="s">
        <v>441</v>
      </c>
      <c r="E189" s="766" t="s">
        <v>442</v>
      </c>
      <c r="F189" s="776" t="s">
        <v>568</v>
      </c>
      <c r="G189" s="777" t="s">
        <v>568</v>
      </c>
      <c r="H189" s="366" t="s">
        <v>329</v>
      </c>
      <c r="I189" s="330" t="s">
        <v>330</v>
      </c>
      <c r="J189" s="372">
        <v>35</v>
      </c>
      <c r="K189" s="373">
        <f>18.9/1000</f>
        <v>0.0189</v>
      </c>
      <c r="L189" s="332" t="s">
        <v>300</v>
      </c>
      <c r="M189" s="333" t="s">
        <v>175</v>
      </c>
      <c r="N189" s="511">
        <f>SUM(O189,P189)</f>
        <v>97</v>
      </c>
      <c r="O189" s="698">
        <v>31</v>
      </c>
      <c r="P189" s="683">
        <v>66</v>
      </c>
      <c r="Q189" s="333" t="s">
        <v>516</v>
      </c>
      <c r="R189" s="502"/>
      <c r="S189" s="502"/>
      <c r="T189" s="305"/>
      <c r="U189" s="305"/>
      <c r="V189" s="305"/>
      <c r="W189" s="305"/>
      <c r="X189" s="48"/>
      <c r="Y189" s="774"/>
      <c r="Z189" s="124"/>
    </row>
    <row r="190" spans="1:26" s="54" customFormat="1" ht="18" customHeight="1">
      <c r="A190" s="1039"/>
      <c r="B190" s="972"/>
      <c r="C190" s="972"/>
      <c r="D190" s="772" t="s">
        <v>441</v>
      </c>
      <c r="E190" s="916" t="s">
        <v>443</v>
      </c>
      <c r="F190" s="925" t="s">
        <v>444</v>
      </c>
      <c r="G190" s="926" t="s">
        <v>530</v>
      </c>
      <c r="H190" s="412" t="s">
        <v>369</v>
      </c>
      <c r="I190" s="412" t="s">
        <v>407</v>
      </c>
      <c r="J190" s="383">
        <v>129</v>
      </c>
      <c r="K190" s="526">
        <f>26.6/1000</f>
        <v>0.026600000000000002</v>
      </c>
      <c r="L190" s="388" t="s">
        <v>313</v>
      </c>
      <c r="M190" s="24" t="s">
        <v>175</v>
      </c>
      <c r="N190" s="411">
        <f aca="true" t="shared" si="9" ref="N190:N195">SUM(O190,P190)</f>
        <v>307</v>
      </c>
      <c r="O190" s="692">
        <v>97</v>
      </c>
      <c r="P190" s="677">
        <v>210</v>
      </c>
      <c r="Q190" s="24" t="s">
        <v>532</v>
      </c>
      <c r="R190" s="502"/>
      <c r="S190" s="502"/>
      <c r="T190" s="48"/>
      <c r="U190" s="305"/>
      <c r="V190" s="305"/>
      <c r="W190" s="305"/>
      <c r="X190" s="48"/>
      <c r="Y190" s="320"/>
      <c r="Z190" s="124"/>
    </row>
    <row r="191" spans="1:26" s="54" customFormat="1" ht="18" customHeight="1">
      <c r="A191" s="1039"/>
      <c r="B191" s="972"/>
      <c r="C191" s="972"/>
      <c r="D191" s="773" t="s">
        <v>448</v>
      </c>
      <c r="E191" s="881" t="s">
        <v>449</v>
      </c>
      <c r="F191" s="899" t="s">
        <v>554</v>
      </c>
      <c r="G191" s="917" t="s">
        <v>587</v>
      </c>
      <c r="H191" s="408" t="s">
        <v>643</v>
      </c>
      <c r="I191" s="412" t="s">
        <v>644</v>
      </c>
      <c r="J191" s="515">
        <v>20</v>
      </c>
      <c r="K191" s="582">
        <f>23.1/1000</f>
        <v>0.023100000000000002</v>
      </c>
      <c r="L191" s="571" t="s">
        <v>313</v>
      </c>
      <c r="M191" s="414" t="s">
        <v>408</v>
      </c>
      <c r="N191" s="411">
        <f t="shared" si="9"/>
        <v>206</v>
      </c>
      <c r="O191" s="692">
        <v>66</v>
      </c>
      <c r="P191" s="677">
        <v>140</v>
      </c>
      <c r="Q191" s="24" t="s">
        <v>510</v>
      </c>
      <c r="R191" s="502"/>
      <c r="S191" s="502"/>
      <c r="T191" s="48"/>
      <c r="U191" s="305"/>
      <c r="V191" s="305"/>
      <c r="W191" s="305"/>
      <c r="X191" s="109"/>
      <c r="Y191" s="320"/>
      <c r="Z191" s="124"/>
    </row>
    <row r="192" spans="1:26" s="54" customFormat="1" ht="18" customHeight="1">
      <c r="A192" s="1039"/>
      <c r="B192" s="972"/>
      <c r="C192" s="972"/>
      <c r="D192" s="773" t="s">
        <v>448</v>
      </c>
      <c r="E192" s="881" t="s">
        <v>449</v>
      </c>
      <c r="F192" s="637" t="s">
        <v>535</v>
      </c>
      <c r="G192" s="901" t="s">
        <v>535</v>
      </c>
      <c r="H192" s="408" t="s">
        <v>645</v>
      </c>
      <c r="I192" s="412" t="s">
        <v>646</v>
      </c>
      <c r="J192" s="515">
        <v>14</v>
      </c>
      <c r="K192" s="533">
        <f>162.7/1000</f>
        <v>0.16269999999999998</v>
      </c>
      <c r="L192" s="517" t="s">
        <v>362</v>
      </c>
      <c r="M192" s="414" t="s">
        <v>318</v>
      </c>
      <c r="N192" s="411">
        <f t="shared" si="9"/>
        <v>278</v>
      </c>
      <c r="O192" s="692">
        <v>88</v>
      </c>
      <c r="P192" s="677">
        <v>190</v>
      </c>
      <c r="Q192" s="24" t="s">
        <v>538</v>
      </c>
      <c r="R192" s="502"/>
      <c r="S192" s="502"/>
      <c r="T192" s="48"/>
      <c r="U192" s="305"/>
      <c r="V192" s="305"/>
      <c r="W192" s="305"/>
      <c r="X192" s="109"/>
      <c r="Y192" s="320"/>
      <c r="Z192" s="124"/>
    </row>
    <row r="193" spans="1:26" s="54" customFormat="1" ht="18" customHeight="1">
      <c r="A193" s="1039"/>
      <c r="B193" s="972"/>
      <c r="C193" s="972"/>
      <c r="D193" s="773" t="s">
        <v>448</v>
      </c>
      <c r="E193" s="881" t="s">
        <v>449</v>
      </c>
      <c r="F193" s="638" t="s">
        <v>542</v>
      </c>
      <c r="G193" s="858" t="s">
        <v>542</v>
      </c>
      <c r="H193" s="513" t="s">
        <v>409</v>
      </c>
      <c r="I193" s="514" t="s">
        <v>410</v>
      </c>
      <c r="J193" s="515">
        <v>7</v>
      </c>
      <c r="K193" s="582">
        <f>42.4/1000</f>
        <v>0.0424</v>
      </c>
      <c r="L193" s="517" t="s">
        <v>316</v>
      </c>
      <c r="M193" s="414" t="s">
        <v>408</v>
      </c>
      <c r="N193" s="411">
        <f t="shared" si="9"/>
        <v>204</v>
      </c>
      <c r="O193" s="692">
        <v>64</v>
      </c>
      <c r="P193" s="677">
        <v>140</v>
      </c>
      <c r="Q193" s="24" t="s">
        <v>510</v>
      </c>
      <c r="R193" s="502"/>
      <c r="S193" s="502"/>
      <c r="T193" s="48"/>
      <c r="U193" s="305"/>
      <c r="V193" s="305"/>
      <c r="W193" s="305"/>
      <c r="X193" s="109"/>
      <c r="Y193" s="320"/>
      <c r="Z193" s="124"/>
    </row>
    <row r="194" spans="1:26" s="54" customFormat="1" ht="18" customHeight="1">
      <c r="A194" s="1039"/>
      <c r="B194" s="972"/>
      <c r="C194" s="972"/>
      <c r="D194" s="773" t="s">
        <v>448</v>
      </c>
      <c r="E194" s="881" t="s">
        <v>449</v>
      </c>
      <c r="F194" s="899" t="s">
        <v>554</v>
      </c>
      <c r="G194" s="900" t="s">
        <v>555</v>
      </c>
      <c r="H194" s="408" t="s">
        <v>344</v>
      </c>
      <c r="I194" s="412" t="s">
        <v>342</v>
      </c>
      <c r="J194" s="383">
        <v>2</v>
      </c>
      <c r="K194" s="527">
        <f>200.5/1000</f>
        <v>0.2005</v>
      </c>
      <c r="L194" s="413" t="s">
        <v>363</v>
      </c>
      <c r="M194" s="414" t="s">
        <v>408</v>
      </c>
      <c r="N194" s="411">
        <f t="shared" si="9"/>
        <v>430</v>
      </c>
      <c r="O194" s="692">
        <v>130</v>
      </c>
      <c r="P194" s="677">
        <v>300</v>
      </c>
      <c r="Q194" s="24" t="s">
        <v>510</v>
      </c>
      <c r="R194" s="502"/>
      <c r="S194" s="502"/>
      <c r="T194" s="48"/>
      <c r="U194" s="305"/>
      <c r="V194" s="305"/>
      <c r="W194" s="305"/>
      <c r="X194" s="109"/>
      <c r="Y194" s="320"/>
      <c r="Z194" s="124"/>
    </row>
    <row r="195" spans="1:26" s="54" customFormat="1" ht="18" customHeight="1">
      <c r="A195" s="1040"/>
      <c r="B195" s="973"/>
      <c r="C195" s="973"/>
      <c r="D195" s="785" t="s">
        <v>453</v>
      </c>
      <c r="E195" s="937" t="s">
        <v>574</v>
      </c>
      <c r="F195" s="918" t="s">
        <v>574</v>
      </c>
      <c r="G195" s="919" t="s">
        <v>574</v>
      </c>
      <c r="H195" s="400" t="s">
        <v>574</v>
      </c>
      <c r="I195" s="397" t="s">
        <v>340</v>
      </c>
      <c r="J195" s="468" t="s">
        <v>175</v>
      </c>
      <c r="K195" s="535">
        <f>363.6/1000</f>
        <v>0.36360000000000003</v>
      </c>
      <c r="L195" s="400" t="s">
        <v>175</v>
      </c>
      <c r="M195" s="401" t="s">
        <v>175</v>
      </c>
      <c r="N195" s="469">
        <f t="shared" si="9"/>
        <v>590</v>
      </c>
      <c r="O195" s="731">
        <v>190</v>
      </c>
      <c r="P195" s="727">
        <v>400</v>
      </c>
      <c r="Q195" s="401" t="s">
        <v>574</v>
      </c>
      <c r="R195" s="502"/>
      <c r="S195" s="502"/>
      <c r="T195" s="48"/>
      <c r="U195" s="305"/>
      <c r="V195" s="305"/>
      <c r="W195" s="305"/>
      <c r="X195" s="48"/>
      <c r="Y195" s="320"/>
      <c r="Z195" s="124"/>
    </row>
    <row r="196" spans="1:26" s="54" customFormat="1" ht="18" customHeight="1">
      <c r="A196" s="522"/>
      <c r="B196" s="430"/>
      <c r="C196" s="431"/>
      <c r="D196" s="523"/>
      <c r="E196" s="429"/>
      <c r="F196" s="432"/>
      <c r="G196" s="433"/>
      <c r="H196" s="434"/>
      <c r="I196" s="524"/>
      <c r="J196" s="525"/>
      <c r="K196" s="437"/>
      <c r="L196" s="438"/>
      <c r="M196" s="439"/>
      <c r="N196" s="440"/>
      <c r="O196" s="440"/>
      <c r="P196" s="438"/>
      <c r="Q196" s="439"/>
      <c r="R196" s="440"/>
      <c r="S196" s="440"/>
      <c r="T196" s="440"/>
      <c r="U196" s="439"/>
      <c r="V196" s="442"/>
      <c r="W196" s="442"/>
      <c r="X196" s="52"/>
      <c r="Y196" s="320"/>
      <c r="Z196" s="124"/>
    </row>
    <row r="197" spans="1:17" s="54" customFormat="1" ht="18" customHeight="1">
      <c r="A197" s="1033" t="s">
        <v>1</v>
      </c>
      <c r="B197" s="1034"/>
      <c r="C197" s="1037" t="s">
        <v>291</v>
      </c>
      <c r="D197" s="1021" t="s">
        <v>430</v>
      </c>
      <c r="E197" s="1025" t="s">
        <v>431</v>
      </c>
      <c r="F197" s="1025" t="s">
        <v>432</v>
      </c>
      <c r="G197" s="1023" t="s">
        <v>433</v>
      </c>
      <c r="H197" s="983" t="s">
        <v>434</v>
      </c>
      <c r="I197" s="983" t="s">
        <v>435</v>
      </c>
      <c r="J197" s="1086" t="s">
        <v>292</v>
      </c>
      <c r="K197" s="1073" t="s">
        <v>293</v>
      </c>
      <c r="L197" s="1088" t="s">
        <v>436</v>
      </c>
      <c r="M197" s="1089"/>
      <c r="N197" s="1083" t="s">
        <v>295</v>
      </c>
      <c r="O197" s="1084"/>
      <c r="P197" s="1085"/>
      <c r="Q197" s="1030" t="s">
        <v>437</v>
      </c>
    </row>
    <row r="198" spans="1:20" s="54" customFormat="1" ht="18" customHeight="1">
      <c r="A198" s="1035"/>
      <c r="B198" s="1036"/>
      <c r="C198" s="1038"/>
      <c r="D198" s="1022"/>
      <c r="E198" s="1026"/>
      <c r="F198" s="1026"/>
      <c r="G198" s="1024"/>
      <c r="H198" s="1032"/>
      <c r="I198" s="1032"/>
      <c r="J198" s="1087"/>
      <c r="K198" s="1074"/>
      <c r="L198" s="612" t="s">
        <v>294</v>
      </c>
      <c r="M198" s="319" t="s">
        <v>296</v>
      </c>
      <c r="N198" s="613" t="s">
        <v>297</v>
      </c>
      <c r="O198" s="614" t="s">
        <v>438</v>
      </c>
      <c r="P198" s="615" t="s">
        <v>439</v>
      </c>
      <c r="Q198" s="1103"/>
      <c r="S198" s="439"/>
      <c r="T198" s="439"/>
    </row>
    <row r="199" spans="1:26" s="54" customFormat="1" ht="18" customHeight="1">
      <c r="A199" s="1041" t="s">
        <v>390</v>
      </c>
      <c r="B199" s="1030" t="s">
        <v>489</v>
      </c>
      <c r="C199" s="1037">
        <v>41508</v>
      </c>
      <c r="D199" s="764" t="s">
        <v>440</v>
      </c>
      <c r="E199" s="907" t="s">
        <v>558</v>
      </c>
      <c r="F199" s="908" t="s">
        <v>558</v>
      </c>
      <c r="G199" s="909" t="s">
        <v>558</v>
      </c>
      <c r="H199" s="326" t="s">
        <v>558</v>
      </c>
      <c r="I199" s="505" t="s">
        <v>391</v>
      </c>
      <c r="J199" s="324" t="s">
        <v>175</v>
      </c>
      <c r="K199" s="325">
        <f>46.3131/1000</f>
        <v>0.046313099999999996</v>
      </c>
      <c r="L199" s="326" t="s">
        <v>175</v>
      </c>
      <c r="M199" s="327" t="s">
        <v>175</v>
      </c>
      <c r="N199" s="624">
        <f aca="true" t="shared" si="10" ref="N199:N208">SUM(O199,P199)</f>
        <v>36</v>
      </c>
      <c r="O199" s="725">
        <v>11</v>
      </c>
      <c r="P199" s="723">
        <v>25</v>
      </c>
      <c r="Q199" s="318" t="s">
        <v>616</v>
      </c>
      <c r="R199" s="303"/>
      <c r="S199" s="502"/>
      <c r="T199" s="48"/>
      <c r="U199" s="304"/>
      <c r="V199" s="304"/>
      <c r="W199" s="304"/>
      <c r="X199" s="48"/>
      <c r="Y199" s="320"/>
      <c r="Z199" s="124"/>
    </row>
    <row r="200" spans="1:26" s="54" customFormat="1" ht="18" customHeight="1">
      <c r="A200" s="1042"/>
      <c r="B200" s="972"/>
      <c r="C200" s="1099"/>
      <c r="D200" s="800" t="s">
        <v>459</v>
      </c>
      <c r="E200" s="640" t="s">
        <v>460</v>
      </c>
      <c r="F200" s="923" t="s">
        <v>632</v>
      </c>
      <c r="G200" s="933" t="s">
        <v>632</v>
      </c>
      <c r="H200" s="459" t="s">
        <v>633</v>
      </c>
      <c r="I200" s="460" t="s">
        <v>392</v>
      </c>
      <c r="J200" s="461" t="s">
        <v>175</v>
      </c>
      <c r="K200" s="462">
        <f>29.7/1000</f>
        <v>0.0297</v>
      </c>
      <c r="L200" s="463" t="s">
        <v>175</v>
      </c>
      <c r="M200" s="457" t="s">
        <v>175</v>
      </c>
      <c r="N200" s="464">
        <f t="shared" si="10"/>
        <v>78</v>
      </c>
      <c r="O200" s="706">
        <v>24</v>
      </c>
      <c r="P200" s="702">
        <v>54</v>
      </c>
      <c r="Q200" s="465" t="s">
        <v>603</v>
      </c>
      <c r="R200" s="502"/>
      <c r="S200" s="502"/>
      <c r="T200" s="48"/>
      <c r="U200" s="304"/>
      <c r="V200" s="304"/>
      <c r="W200" s="304"/>
      <c r="X200" s="48"/>
      <c r="Y200" s="320"/>
      <c r="Z200" s="124"/>
    </row>
    <row r="201" spans="1:26" s="54" customFormat="1" ht="18" customHeight="1">
      <c r="A201" s="1042"/>
      <c r="B201" s="972"/>
      <c r="C201" s="1099"/>
      <c r="D201" s="938" t="s">
        <v>457</v>
      </c>
      <c r="E201" s="922" t="s">
        <v>458</v>
      </c>
      <c r="F201" s="923" t="s">
        <v>647</v>
      </c>
      <c r="G201" s="924" t="s">
        <v>647</v>
      </c>
      <c r="H201" s="459" t="s">
        <v>648</v>
      </c>
      <c r="I201" s="460" t="s">
        <v>649</v>
      </c>
      <c r="J201" s="461" t="s">
        <v>175</v>
      </c>
      <c r="K201" s="476">
        <f>130/1000</f>
        <v>0.13</v>
      </c>
      <c r="L201" s="463" t="s">
        <v>175</v>
      </c>
      <c r="M201" s="465" t="s">
        <v>175</v>
      </c>
      <c r="N201" s="456">
        <f t="shared" si="10"/>
        <v>18.9</v>
      </c>
      <c r="O201" s="734">
        <v>5.9</v>
      </c>
      <c r="P201" s="702">
        <v>13</v>
      </c>
      <c r="Q201" s="458" t="s">
        <v>600</v>
      </c>
      <c r="R201" s="303"/>
      <c r="S201" s="502"/>
      <c r="T201" s="48"/>
      <c r="U201" s="304"/>
      <c r="V201" s="304"/>
      <c r="W201" s="304"/>
      <c r="X201" s="48"/>
      <c r="Y201" s="320"/>
      <c r="Z201" s="124"/>
    </row>
    <row r="202" spans="1:26" s="54" customFormat="1" ht="18" customHeight="1">
      <c r="A202" s="1042"/>
      <c r="B202" s="972"/>
      <c r="C202" s="1099"/>
      <c r="D202" s="772" t="s">
        <v>445</v>
      </c>
      <c r="E202" s="789" t="s">
        <v>446</v>
      </c>
      <c r="F202" s="789" t="s">
        <v>447</v>
      </c>
      <c r="G202" s="880" t="s">
        <v>533</v>
      </c>
      <c r="H202" s="422" t="s">
        <v>534</v>
      </c>
      <c r="I202" s="336" t="s">
        <v>533</v>
      </c>
      <c r="J202" s="386">
        <v>44</v>
      </c>
      <c r="K202" s="467">
        <f>35.2/1000</f>
        <v>0.0352</v>
      </c>
      <c r="L202" s="388" t="s">
        <v>339</v>
      </c>
      <c r="M202" s="24" t="s">
        <v>175</v>
      </c>
      <c r="N202" s="411">
        <f t="shared" si="10"/>
        <v>163</v>
      </c>
      <c r="O202" s="714">
        <v>53</v>
      </c>
      <c r="P202" s="721">
        <v>110</v>
      </c>
      <c r="Q202" s="33" t="s">
        <v>532</v>
      </c>
      <c r="R202" s="502"/>
      <c r="S202" s="502"/>
      <c r="T202" s="48"/>
      <c r="U202" s="304"/>
      <c r="V202" s="304"/>
      <c r="W202" s="304"/>
      <c r="X202" s="48"/>
      <c r="Y202" s="320"/>
      <c r="Z202" s="124"/>
    </row>
    <row r="203" spans="1:26" s="54" customFormat="1" ht="18" customHeight="1">
      <c r="A203" s="1042"/>
      <c r="B203" s="972"/>
      <c r="C203" s="1099"/>
      <c r="D203" s="772" t="s">
        <v>448</v>
      </c>
      <c r="E203" s="789" t="s">
        <v>449</v>
      </c>
      <c r="F203" s="789" t="s">
        <v>535</v>
      </c>
      <c r="G203" s="636" t="s">
        <v>650</v>
      </c>
      <c r="H203" s="408" t="s">
        <v>651</v>
      </c>
      <c r="I203" s="412" t="s">
        <v>652</v>
      </c>
      <c r="J203" s="383">
        <v>45</v>
      </c>
      <c r="K203" s="338">
        <f>23.9/1000</f>
        <v>0.023899999999999998</v>
      </c>
      <c r="L203" s="388" t="s">
        <v>328</v>
      </c>
      <c r="M203" s="24" t="s">
        <v>175</v>
      </c>
      <c r="N203" s="411">
        <f t="shared" si="10"/>
        <v>9.7</v>
      </c>
      <c r="O203" s="730">
        <v>2.9</v>
      </c>
      <c r="P203" s="732">
        <v>6.8</v>
      </c>
      <c r="Q203" s="33" t="s">
        <v>532</v>
      </c>
      <c r="R203" s="303"/>
      <c r="S203" s="164"/>
      <c r="T203" s="48"/>
      <c r="U203" s="48"/>
      <c r="V203" s="48"/>
      <c r="W203" s="48"/>
      <c r="X203" s="48"/>
      <c r="Y203" s="320"/>
      <c r="Z203" s="124"/>
    </row>
    <row r="204" spans="1:26" s="54" customFormat="1" ht="18" customHeight="1">
      <c r="A204" s="1042"/>
      <c r="B204" s="972"/>
      <c r="C204" s="1099"/>
      <c r="D204" s="772" t="s">
        <v>448</v>
      </c>
      <c r="E204" s="789" t="s">
        <v>449</v>
      </c>
      <c r="F204" s="789" t="s">
        <v>653</v>
      </c>
      <c r="G204" s="636" t="s">
        <v>654</v>
      </c>
      <c r="H204" s="408" t="s">
        <v>655</v>
      </c>
      <c r="I204" s="412" t="s">
        <v>654</v>
      </c>
      <c r="J204" s="383">
        <v>22</v>
      </c>
      <c r="K204" s="341">
        <f>147.8/1000</f>
        <v>0.14780000000000001</v>
      </c>
      <c r="L204" s="413" t="s">
        <v>362</v>
      </c>
      <c r="M204" s="24" t="s">
        <v>175</v>
      </c>
      <c r="N204" s="411">
        <f t="shared" si="10"/>
        <v>45</v>
      </c>
      <c r="O204" s="692">
        <v>15</v>
      </c>
      <c r="P204" s="677">
        <v>30</v>
      </c>
      <c r="Q204" s="33" t="s">
        <v>551</v>
      </c>
      <c r="R204" s="303"/>
      <c r="S204" s="502"/>
      <c r="T204" s="48"/>
      <c r="U204" s="304"/>
      <c r="V204" s="304"/>
      <c r="W204" s="304"/>
      <c r="X204" s="48"/>
      <c r="Y204" s="320"/>
      <c r="Z204" s="124"/>
    </row>
    <row r="205" spans="1:26" s="54" customFormat="1" ht="18" customHeight="1">
      <c r="A205" s="1042"/>
      <c r="B205" s="972"/>
      <c r="C205" s="1099"/>
      <c r="D205" s="775" t="s">
        <v>448</v>
      </c>
      <c r="E205" s="883" t="s">
        <v>450</v>
      </c>
      <c r="F205" s="884" t="s">
        <v>451</v>
      </c>
      <c r="G205" s="635" t="s">
        <v>656</v>
      </c>
      <c r="H205" s="392" t="s">
        <v>657</v>
      </c>
      <c r="I205" s="393" t="s">
        <v>658</v>
      </c>
      <c r="J205" s="345">
        <v>1</v>
      </c>
      <c r="K205" s="346">
        <f>87.3/1000</f>
        <v>0.0873</v>
      </c>
      <c r="L205" s="347" t="s">
        <v>313</v>
      </c>
      <c r="M205" s="348" t="s">
        <v>175</v>
      </c>
      <c r="N205" s="395">
        <f t="shared" si="10"/>
        <v>32</v>
      </c>
      <c r="O205" s="689">
        <v>11</v>
      </c>
      <c r="P205" s="674">
        <v>21</v>
      </c>
      <c r="Q205" s="348" t="s">
        <v>532</v>
      </c>
      <c r="R205" s="303"/>
      <c r="S205" s="502"/>
      <c r="T205" s="48"/>
      <c r="U205" s="304"/>
      <c r="V205" s="304"/>
      <c r="W205" s="304"/>
      <c r="X205" s="48"/>
      <c r="Y205" s="320"/>
      <c r="Z205" s="124"/>
    </row>
    <row r="206" spans="1:26" s="54" customFormat="1" ht="18" customHeight="1">
      <c r="A206" s="1042"/>
      <c r="B206" s="972"/>
      <c r="C206" s="1099"/>
      <c r="D206" s="775" t="s">
        <v>448</v>
      </c>
      <c r="E206" s="883" t="s">
        <v>450</v>
      </c>
      <c r="F206" s="884" t="s">
        <v>451</v>
      </c>
      <c r="G206" s="911" t="s">
        <v>546</v>
      </c>
      <c r="H206" s="347" t="s">
        <v>546</v>
      </c>
      <c r="I206" s="393" t="s">
        <v>659</v>
      </c>
      <c r="J206" s="345">
        <v>42</v>
      </c>
      <c r="K206" s="346">
        <f>32.8/1000</f>
        <v>0.032799999999999996</v>
      </c>
      <c r="L206" s="347" t="s">
        <v>323</v>
      </c>
      <c r="M206" s="348" t="s">
        <v>175</v>
      </c>
      <c r="N206" s="395">
        <f>SUM(O206,P206)</f>
        <v>340</v>
      </c>
      <c r="O206" s="689">
        <v>110</v>
      </c>
      <c r="P206" s="674">
        <v>230</v>
      </c>
      <c r="Q206" s="348" t="s">
        <v>516</v>
      </c>
      <c r="R206" s="303"/>
      <c r="S206" s="502"/>
      <c r="T206" s="48"/>
      <c r="U206" s="304"/>
      <c r="V206" s="304"/>
      <c r="W206" s="304"/>
      <c r="X206" s="48"/>
      <c r="Y206" s="320"/>
      <c r="Z206" s="124"/>
    </row>
    <row r="207" spans="1:26" s="54" customFormat="1" ht="18" customHeight="1">
      <c r="A207" s="1042"/>
      <c r="B207" s="972"/>
      <c r="C207" s="1099"/>
      <c r="D207" s="775" t="s">
        <v>448</v>
      </c>
      <c r="E207" s="883" t="s">
        <v>450</v>
      </c>
      <c r="F207" s="884" t="s">
        <v>452</v>
      </c>
      <c r="G207" s="885" t="s">
        <v>547</v>
      </c>
      <c r="H207" s="392" t="s">
        <v>660</v>
      </c>
      <c r="I207" s="393" t="s">
        <v>661</v>
      </c>
      <c r="J207" s="345">
        <v>9</v>
      </c>
      <c r="K207" s="346">
        <f>56/1000</f>
        <v>0.056</v>
      </c>
      <c r="L207" s="347" t="s">
        <v>313</v>
      </c>
      <c r="M207" s="348" t="s">
        <v>175</v>
      </c>
      <c r="N207" s="395">
        <f t="shared" si="10"/>
        <v>18.9</v>
      </c>
      <c r="O207" s="735">
        <v>5.9</v>
      </c>
      <c r="P207" s="674">
        <v>13</v>
      </c>
      <c r="Q207" s="348" t="s">
        <v>532</v>
      </c>
      <c r="R207" s="303"/>
      <c r="S207" s="502"/>
      <c r="T207" s="48"/>
      <c r="U207" s="304"/>
      <c r="V207" s="304"/>
      <c r="W207" s="304"/>
      <c r="X207" s="48"/>
      <c r="Y207" s="320"/>
      <c r="Z207" s="124"/>
    </row>
    <row r="208" spans="1:26" s="54" customFormat="1" ht="18" customHeight="1">
      <c r="A208" s="1042"/>
      <c r="B208" s="972"/>
      <c r="C208" s="1100"/>
      <c r="D208" s="787" t="s">
        <v>453</v>
      </c>
      <c r="E208" s="939" t="s">
        <v>574</v>
      </c>
      <c r="F208" s="931" t="s">
        <v>574</v>
      </c>
      <c r="G208" s="940" t="s">
        <v>574</v>
      </c>
      <c r="H208" s="552" t="s">
        <v>175</v>
      </c>
      <c r="I208" s="553" t="s">
        <v>340</v>
      </c>
      <c r="J208" s="554" t="s">
        <v>175</v>
      </c>
      <c r="K208" s="555">
        <f>286/1000</f>
        <v>0.286</v>
      </c>
      <c r="L208" s="552" t="s">
        <v>175</v>
      </c>
      <c r="M208" s="557" t="s">
        <v>175</v>
      </c>
      <c r="N208" s="556">
        <f t="shared" si="10"/>
        <v>37</v>
      </c>
      <c r="O208" s="703">
        <v>12</v>
      </c>
      <c r="P208" s="733">
        <v>25</v>
      </c>
      <c r="Q208" s="557" t="s">
        <v>574</v>
      </c>
      <c r="R208" s="502"/>
      <c r="S208" s="502"/>
      <c r="T208" s="48"/>
      <c r="U208" s="304"/>
      <c r="V208" s="304"/>
      <c r="W208" s="304"/>
      <c r="X208" s="48"/>
      <c r="Y208" s="320"/>
      <c r="Z208" s="124"/>
    </row>
    <row r="209" spans="1:26" s="54" customFormat="1" ht="18" customHeight="1">
      <c r="A209" s="1042"/>
      <c r="B209" s="972"/>
      <c r="C209" s="1055">
        <v>41509</v>
      </c>
      <c r="D209" s="772" t="s">
        <v>448</v>
      </c>
      <c r="E209" s="789" t="s">
        <v>449</v>
      </c>
      <c r="F209" s="902" t="s">
        <v>566</v>
      </c>
      <c r="G209" s="858" t="s">
        <v>566</v>
      </c>
      <c r="H209" s="408" t="s">
        <v>662</v>
      </c>
      <c r="I209" s="412" t="s">
        <v>663</v>
      </c>
      <c r="J209" s="383">
        <v>173</v>
      </c>
      <c r="K209" s="384">
        <f>697.2/1000</f>
        <v>0.6972</v>
      </c>
      <c r="L209" s="388" t="s">
        <v>328</v>
      </c>
      <c r="M209" s="24" t="s">
        <v>175</v>
      </c>
      <c r="N209" s="411">
        <f aca="true" t="shared" si="11" ref="N209:N220">SUM(O209,P209)</f>
        <v>29</v>
      </c>
      <c r="O209" s="730">
        <v>9</v>
      </c>
      <c r="P209" s="677">
        <v>20</v>
      </c>
      <c r="Q209" s="24" t="s">
        <v>532</v>
      </c>
      <c r="R209" s="502"/>
      <c r="S209" s="502"/>
      <c r="T209" s="48"/>
      <c r="U209" s="304"/>
      <c r="V209" s="304"/>
      <c r="W209" s="304"/>
      <c r="X209" s="48"/>
      <c r="Y209" s="320"/>
      <c r="Z209" s="124"/>
    </row>
    <row r="210" spans="1:26" s="54" customFormat="1" ht="18" customHeight="1">
      <c r="A210" s="1042"/>
      <c r="B210" s="972"/>
      <c r="C210" s="972"/>
      <c r="D210" s="773" t="s">
        <v>448</v>
      </c>
      <c r="E210" s="881" t="s">
        <v>449</v>
      </c>
      <c r="F210" s="637" t="s">
        <v>535</v>
      </c>
      <c r="G210" s="901" t="s">
        <v>535</v>
      </c>
      <c r="H210" s="408" t="s">
        <v>621</v>
      </c>
      <c r="I210" s="412" t="s">
        <v>622</v>
      </c>
      <c r="J210" s="383">
        <v>16</v>
      </c>
      <c r="K210" s="387">
        <f>2279.4/1000</f>
        <v>2.2794</v>
      </c>
      <c r="L210" s="413" t="s">
        <v>351</v>
      </c>
      <c r="M210" s="414" t="s">
        <v>318</v>
      </c>
      <c r="N210" s="411">
        <f t="shared" si="11"/>
        <v>96</v>
      </c>
      <c r="O210" s="692">
        <v>28</v>
      </c>
      <c r="P210" s="677">
        <v>68</v>
      </c>
      <c r="Q210" s="24" t="s">
        <v>538</v>
      </c>
      <c r="R210" s="502"/>
      <c r="S210" s="502"/>
      <c r="T210" s="48"/>
      <c r="U210" s="304"/>
      <c r="V210" s="304"/>
      <c r="W210" s="304"/>
      <c r="X210" s="48"/>
      <c r="Y210" s="320"/>
      <c r="Z210" s="124"/>
    </row>
    <row r="211" spans="1:26" s="54" customFormat="1" ht="18" customHeight="1">
      <c r="A211" s="1042"/>
      <c r="B211" s="972"/>
      <c r="C211" s="972"/>
      <c r="D211" s="772" t="s">
        <v>448</v>
      </c>
      <c r="E211" s="789" t="s">
        <v>449</v>
      </c>
      <c r="F211" s="879" t="s">
        <v>535</v>
      </c>
      <c r="G211" s="880" t="s">
        <v>535</v>
      </c>
      <c r="H211" s="408" t="s">
        <v>549</v>
      </c>
      <c r="I211" s="412" t="s">
        <v>550</v>
      </c>
      <c r="J211" s="383">
        <v>10</v>
      </c>
      <c r="K211" s="384">
        <f>420/1000</f>
        <v>0.42</v>
      </c>
      <c r="L211" s="413" t="s">
        <v>383</v>
      </c>
      <c r="M211" s="414" t="s">
        <v>318</v>
      </c>
      <c r="N211" s="411">
        <f t="shared" si="11"/>
        <v>68</v>
      </c>
      <c r="O211" s="692">
        <v>20</v>
      </c>
      <c r="P211" s="677">
        <v>48</v>
      </c>
      <c r="Q211" s="24" t="s">
        <v>538</v>
      </c>
      <c r="R211" s="502"/>
      <c r="S211" s="502"/>
      <c r="T211" s="48"/>
      <c r="U211" s="304"/>
      <c r="V211" s="304"/>
      <c r="W211" s="304"/>
      <c r="X211" s="48"/>
      <c r="Y211" s="320"/>
      <c r="Z211" s="124"/>
    </row>
    <row r="212" spans="1:26" s="54" customFormat="1" ht="18" customHeight="1">
      <c r="A212" s="1042"/>
      <c r="B212" s="972"/>
      <c r="C212" s="972"/>
      <c r="D212" s="772" t="s">
        <v>448</v>
      </c>
      <c r="E212" s="789" t="s">
        <v>449</v>
      </c>
      <c r="F212" s="879" t="s">
        <v>535</v>
      </c>
      <c r="G212" s="880" t="s">
        <v>535</v>
      </c>
      <c r="H212" s="558" t="s">
        <v>539</v>
      </c>
      <c r="I212" s="417" t="s">
        <v>333</v>
      </c>
      <c r="J212" s="380">
        <v>16</v>
      </c>
      <c r="K212" s="384">
        <f>917.4/1000</f>
        <v>0.9174</v>
      </c>
      <c r="L212" s="413" t="s">
        <v>380</v>
      </c>
      <c r="M212" s="24" t="s">
        <v>175</v>
      </c>
      <c r="N212" s="411">
        <f t="shared" si="11"/>
        <v>187</v>
      </c>
      <c r="O212" s="692">
        <v>57</v>
      </c>
      <c r="P212" s="677">
        <v>130</v>
      </c>
      <c r="Q212" s="24" t="s">
        <v>551</v>
      </c>
      <c r="R212" s="502"/>
      <c r="S212" s="502"/>
      <c r="T212" s="48"/>
      <c r="U212" s="304"/>
      <c r="V212" s="304"/>
      <c r="W212" s="304"/>
      <c r="X212" s="109"/>
      <c r="Y212" s="320"/>
      <c r="Z212" s="124"/>
    </row>
    <row r="213" spans="1:26" s="54" customFormat="1" ht="18" customHeight="1">
      <c r="A213" s="1042"/>
      <c r="B213" s="972"/>
      <c r="C213" s="972"/>
      <c r="D213" s="772" t="s">
        <v>448</v>
      </c>
      <c r="E213" s="789" t="s">
        <v>449</v>
      </c>
      <c r="F213" s="879" t="s">
        <v>535</v>
      </c>
      <c r="G213" s="880" t="s">
        <v>535</v>
      </c>
      <c r="H213" s="408" t="s">
        <v>539</v>
      </c>
      <c r="I213" s="412" t="s">
        <v>393</v>
      </c>
      <c r="J213" s="383">
        <v>1</v>
      </c>
      <c r="K213" s="384">
        <f>228.1/1000</f>
        <v>0.2281</v>
      </c>
      <c r="L213" s="413" t="s">
        <v>383</v>
      </c>
      <c r="M213" s="414" t="s">
        <v>318</v>
      </c>
      <c r="N213" s="411">
        <f t="shared" si="11"/>
        <v>123</v>
      </c>
      <c r="O213" s="692">
        <v>37</v>
      </c>
      <c r="P213" s="677">
        <v>86</v>
      </c>
      <c r="Q213" s="24" t="s">
        <v>538</v>
      </c>
      <c r="R213" s="502"/>
      <c r="S213" s="502"/>
      <c r="T213" s="48"/>
      <c r="U213" s="304"/>
      <c r="V213" s="304"/>
      <c r="W213" s="304"/>
      <c r="X213" s="109"/>
      <c r="Y213" s="320"/>
      <c r="Z213" s="124"/>
    </row>
    <row r="214" spans="1:26" s="54" customFormat="1" ht="18" customHeight="1">
      <c r="A214" s="1042"/>
      <c r="B214" s="972"/>
      <c r="C214" s="972"/>
      <c r="D214" s="773" t="s">
        <v>448</v>
      </c>
      <c r="E214" s="881" t="s">
        <v>449</v>
      </c>
      <c r="F214" s="638" t="s">
        <v>542</v>
      </c>
      <c r="G214" s="858" t="s">
        <v>542</v>
      </c>
      <c r="H214" s="408" t="s">
        <v>543</v>
      </c>
      <c r="I214" s="412" t="s">
        <v>544</v>
      </c>
      <c r="J214" s="383">
        <v>1</v>
      </c>
      <c r="K214" s="384">
        <f>355.7/1000</f>
        <v>0.3557</v>
      </c>
      <c r="L214" s="413" t="s">
        <v>320</v>
      </c>
      <c r="M214" s="414" t="s">
        <v>594</v>
      </c>
      <c r="N214" s="411">
        <f t="shared" si="11"/>
        <v>72</v>
      </c>
      <c r="O214" s="692">
        <v>21</v>
      </c>
      <c r="P214" s="677">
        <v>51</v>
      </c>
      <c r="Q214" s="24" t="s">
        <v>551</v>
      </c>
      <c r="R214" s="502"/>
      <c r="S214" s="502"/>
      <c r="T214" s="48"/>
      <c r="U214" s="304"/>
      <c r="V214" s="304"/>
      <c r="W214" s="304"/>
      <c r="X214" s="109"/>
      <c r="Y214" s="320"/>
      <c r="Z214" s="124"/>
    </row>
    <row r="215" spans="1:26" s="54" customFormat="1" ht="18" customHeight="1">
      <c r="A215" s="1042"/>
      <c r="B215" s="972"/>
      <c r="C215" s="972"/>
      <c r="D215" s="772" t="s">
        <v>448</v>
      </c>
      <c r="E215" s="789" t="s">
        <v>449</v>
      </c>
      <c r="F215" s="637" t="s">
        <v>542</v>
      </c>
      <c r="G215" s="901" t="s">
        <v>542</v>
      </c>
      <c r="H215" s="408" t="s">
        <v>664</v>
      </c>
      <c r="I215" s="412" t="s">
        <v>394</v>
      </c>
      <c r="J215" s="383">
        <v>2</v>
      </c>
      <c r="K215" s="384">
        <f>597.4/1000</f>
        <v>0.5973999999999999</v>
      </c>
      <c r="L215" s="413" t="s">
        <v>380</v>
      </c>
      <c r="M215" s="414" t="s">
        <v>349</v>
      </c>
      <c r="N215" s="411">
        <f t="shared" si="11"/>
        <v>125</v>
      </c>
      <c r="O215" s="692">
        <v>39</v>
      </c>
      <c r="P215" s="677">
        <v>86</v>
      </c>
      <c r="Q215" s="24" t="s">
        <v>510</v>
      </c>
      <c r="R215" s="502"/>
      <c r="S215" s="502"/>
      <c r="T215" s="48"/>
      <c r="U215" s="304"/>
      <c r="V215" s="304"/>
      <c r="W215" s="304"/>
      <c r="X215" s="109"/>
      <c r="Y215" s="320"/>
      <c r="Z215" s="124"/>
    </row>
    <row r="216" spans="1:26" s="54" customFormat="1" ht="18" customHeight="1">
      <c r="A216" s="1042"/>
      <c r="B216" s="972"/>
      <c r="C216" s="972"/>
      <c r="D216" s="772" t="s">
        <v>448</v>
      </c>
      <c r="E216" s="789" t="s">
        <v>449</v>
      </c>
      <c r="F216" s="637" t="s">
        <v>554</v>
      </c>
      <c r="G216" s="901" t="s">
        <v>555</v>
      </c>
      <c r="H216" s="408" t="s">
        <v>559</v>
      </c>
      <c r="I216" s="412" t="s">
        <v>342</v>
      </c>
      <c r="J216" s="383">
        <v>6</v>
      </c>
      <c r="K216" s="384">
        <f>318.9/1000</f>
        <v>0.31889999999999996</v>
      </c>
      <c r="L216" s="413" t="s">
        <v>380</v>
      </c>
      <c r="M216" s="414" t="s">
        <v>594</v>
      </c>
      <c r="N216" s="411">
        <f t="shared" si="11"/>
        <v>106</v>
      </c>
      <c r="O216" s="692">
        <v>33</v>
      </c>
      <c r="P216" s="677">
        <v>73</v>
      </c>
      <c r="Q216" s="24" t="s">
        <v>551</v>
      </c>
      <c r="R216" s="502"/>
      <c r="S216" s="502"/>
      <c r="T216" s="48"/>
      <c r="U216" s="304"/>
      <c r="V216" s="304"/>
      <c r="W216" s="304"/>
      <c r="X216" s="109"/>
      <c r="Y216" s="320"/>
      <c r="Z216" s="124"/>
    </row>
    <row r="217" spans="1:26" s="54" customFormat="1" ht="18" customHeight="1">
      <c r="A217" s="1042"/>
      <c r="B217" s="972"/>
      <c r="C217" s="1102"/>
      <c r="D217" s="772" t="s">
        <v>448</v>
      </c>
      <c r="E217" s="789" t="s">
        <v>449</v>
      </c>
      <c r="F217" s="637" t="s">
        <v>554</v>
      </c>
      <c r="G217" s="901" t="s">
        <v>555</v>
      </c>
      <c r="H217" s="408" t="s">
        <v>559</v>
      </c>
      <c r="I217" s="412" t="s">
        <v>346</v>
      </c>
      <c r="J217" s="383">
        <v>4</v>
      </c>
      <c r="K217" s="387">
        <f>1577.2/1000</f>
        <v>1.5772</v>
      </c>
      <c r="L217" s="413" t="s">
        <v>380</v>
      </c>
      <c r="M217" s="414" t="s">
        <v>318</v>
      </c>
      <c r="N217" s="411">
        <f t="shared" si="11"/>
        <v>147</v>
      </c>
      <c r="O217" s="692">
        <v>47</v>
      </c>
      <c r="P217" s="677">
        <v>100</v>
      </c>
      <c r="Q217" s="861">
        <v>1</v>
      </c>
      <c r="R217" s="502"/>
      <c r="S217" s="502"/>
      <c r="T217" s="48"/>
      <c r="U217" s="304"/>
      <c r="V217" s="304"/>
      <c r="W217" s="304"/>
      <c r="X217" s="109"/>
      <c r="Y217" s="320"/>
      <c r="Z217" s="124"/>
    </row>
    <row r="218" spans="1:26" s="54" customFormat="1" ht="18" customHeight="1">
      <c r="A218" s="1042"/>
      <c r="B218" s="972"/>
      <c r="C218" s="1055">
        <v>41537</v>
      </c>
      <c r="D218" s="788" t="s">
        <v>461</v>
      </c>
      <c r="E218" s="879" t="s">
        <v>443</v>
      </c>
      <c r="F218" s="789" t="s">
        <v>444</v>
      </c>
      <c r="G218" s="636" t="s">
        <v>665</v>
      </c>
      <c r="H218" s="408" t="s">
        <v>666</v>
      </c>
      <c r="I218" s="412" t="s">
        <v>667</v>
      </c>
      <c r="J218" s="386">
        <v>25</v>
      </c>
      <c r="K218" s="387">
        <f>1785.9/1000</f>
        <v>1.7859</v>
      </c>
      <c r="L218" s="388" t="s">
        <v>339</v>
      </c>
      <c r="M218" s="24" t="s">
        <v>175</v>
      </c>
      <c r="N218" s="411">
        <f t="shared" si="11"/>
        <v>91</v>
      </c>
      <c r="O218" s="714">
        <v>29</v>
      </c>
      <c r="P218" s="721">
        <v>62</v>
      </c>
      <c r="Q218" s="862">
        <v>11</v>
      </c>
      <c r="R218" s="502"/>
      <c r="S218" s="502"/>
      <c r="T218" s="646"/>
      <c r="U218" s="48"/>
      <c r="V218" s="626"/>
      <c r="W218" s="626"/>
      <c r="X218" s="48"/>
      <c r="Y218" s="320"/>
      <c r="Z218" s="124"/>
    </row>
    <row r="219" spans="1:26" s="54" customFormat="1" ht="18" customHeight="1">
      <c r="A219" s="1042"/>
      <c r="B219" s="972"/>
      <c r="C219" s="1099"/>
      <c r="D219" s="772" t="s">
        <v>448</v>
      </c>
      <c r="E219" s="789" t="s">
        <v>449</v>
      </c>
      <c r="F219" s="879" t="s">
        <v>535</v>
      </c>
      <c r="G219" s="880" t="s">
        <v>535</v>
      </c>
      <c r="H219" s="408" t="s">
        <v>623</v>
      </c>
      <c r="I219" s="412" t="s">
        <v>535</v>
      </c>
      <c r="J219" s="383">
        <v>1</v>
      </c>
      <c r="K219" s="387">
        <f>3029.3/1000</f>
        <v>3.0293</v>
      </c>
      <c r="L219" s="413" t="s">
        <v>395</v>
      </c>
      <c r="M219" s="414" t="s">
        <v>318</v>
      </c>
      <c r="N219" s="411">
        <f t="shared" si="11"/>
        <v>47</v>
      </c>
      <c r="O219" s="692">
        <v>14</v>
      </c>
      <c r="P219" s="677">
        <v>33</v>
      </c>
      <c r="Q219" s="863">
        <v>0.99</v>
      </c>
      <c r="R219" s="502"/>
      <c r="S219" s="502"/>
      <c r="T219" s="626"/>
      <c r="U219" s="48"/>
      <c r="V219" s="620"/>
      <c r="W219" s="620"/>
      <c r="X219" s="109"/>
      <c r="Y219" s="320"/>
      <c r="Z219" s="124"/>
    </row>
    <row r="220" spans="1:26" s="54" customFormat="1" ht="18" customHeight="1">
      <c r="A220" s="1043"/>
      <c r="B220" s="973"/>
      <c r="C220" s="1101"/>
      <c r="D220" s="790" t="s">
        <v>448</v>
      </c>
      <c r="E220" s="941" t="s">
        <v>449</v>
      </c>
      <c r="F220" s="892" t="s">
        <v>542</v>
      </c>
      <c r="G220" s="921" t="s">
        <v>542</v>
      </c>
      <c r="H220" s="423" t="s">
        <v>664</v>
      </c>
      <c r="I220" s="559" t="s">
        <v>396</v>
      </c>
      <c r="J220" s="424">
        <v>1</v>
      </c>
      <c r="K220" s="560">
        <f>90.7/1000</f>
        <v>0.0907</v>
      </c>
      <c r="L220" s="521" t="s">
        <v>320</v>
      </c>
      <c r="M220" s="428" t="s">
        <v>594</v>
      </c>
      <c r="N220" s="427">
        <f t="shared" si="11"/>
        <v>83</v>
      </c>
      <c r="O220" s="694">
        <v>27</v>
      </c>
      <c r="P220" s="679">
        <v>56</v>
      </c>
      <c r="Q220" s="610" t="s">
        <v>551</v>
      </c>
      <c r="R220" s="502"/>
      <c r="S220" s="502"/>
      <c r="T220" s="48"/>
      <c r="U220" s="304"/>
      <c r="V220" s="304"/>
      <c r="W220" s="304"/>
      <c r="X220" s="109"/>
      <c r="Y220" s="320"/>
      <c r="Z220" s="124"/>
    </row>
    <row r="221" spans="1:26" s="541" customFormat="1" ht="18" customHeight="1">
      <c r="A221" s="536"/>
      <c r="B221" s="430"/>
      <c r="C221" s="306"/>
      <c r="D221" s="109"/>
      <c r="E221" s="109"/>
      <c r="F221" s="302"/>
      <c r="G221" s="301"/>
      <c r="H221" s="498"/>
      <c r="I221" s="499"/>
      <c r="J221" s="500"/>
      <c r="K221" s="501"/>
      <c r="L221" s="110"/>
      <c r="M221" s="48"/>
      <c r="N221" s="502"/>
      <c r="O221" s="502"/>
      <c r="P221" s="110"/>
      <c r="Q221" s="48"/>
      <c r="R221" s="502"/>
      <c r="S221" s="502"/>
      <c r="T221" s="48"/>
      <c r="U221" s="304"/>
      <c r="V221" s="304"/>
      <c r="W221" s="304"/>
      <c r="X221" s="504"/>
      <c r="Y221" s="539"/>
      <c r="Z221" s="540"/>
    </row>
    <row r="222" spans="1:17" s="54" customFormat="1" ht="18" customHeight="1">
      <c r="A222" s="1033" t="s">
        <v>1</v>
      </c>
      <c r="B222" s="1034"/>
      <c r="C222" s="1037" t="s">
        <v>291</v>
      </c>
      <c r="D222" s="1021" t="s">
        <v>430</v>
      </c>
      <c r="E222" s="1025" t="s">
        <v>431</v>
      </c>
      <c r="F222" s="1025" t="s">
        <v>432</v>
      </c>
      <c r="G222" s="1023" t="s">
        <v>433</v>
      </c>
      <c r="H222" s="983" t="s">
        <v>434</v>
      </c>
      <c r="I222" s="983" t="s">
        <v>435</v>
      </c>
      <c r="J222" s="1086" t="s">
        <v>292</v>
      </c>
      <c r="K222" s="1073" t="s">
        <v>293</v>
      </c>
      <c r="L222" s="1088" t="s">
        <v>436</v>
      </c>
      <c r="M222" s="1089"/>
      <c r="N222" s="1083" t="s">
        <v>295</v>
      </c>
      <c r="O222" s="1084"/>
      <c r="P222" s="1085"/>
      <c r="Q222" s="1030" t="s">
        <v>437</v>
      </c>
    </row>
    <row r="223" spans="1:20" s="54" customFormat="1" ht="18" customHeight="1">
      <c r="A223" s="1035"/>
      <c r="B223" s="1036"/>
      <c r="C223" s="1038"/>
      <c r="D223" s="1022"/>
      <c r="E223" s="1026"/>
      <c r="F223" s="1026"/>
      <c r="G223" s="1024"/>
      <c r="H223" s="1032"/>
      <c r="I223" s="1032"/>
      <c r="J223" s="1087"/>
      <c r="K223" s="1074"/>
      <c r="L223" s="612" t="s">
        <v>294</v>
      </c>
      <c r="M223" s="319" t="s">
        <v>296</v>
      </c>
      <c r="N223" s="613" t="s">
        <v>297</v>
      </c>
      <c r="O223" s="614" t="s">
        <v>438</v>
      </c>
      <c r="P223" s="615" t="s">
        <v>439</v>
      </c>
      <c r="Q223" s="1103"/>
      <c r="S223" s="439"/>
      <c r="T223" s="439"/>
    </row>
    <row r="224" spans="1:26" s="54" customFormat="1" ht="18" customHeight="1">
      <c r="A224" s="1041" t="s">
        <v>40</v>
      </c>
      <c r="B224" s="1030" t="s">
        <v>490</v>
      </c>
      <c r="C224" s="1037">
        <v>41537</v>
      </c>
      <c r="D224" s="772" t="s">
        <v>441</v>
      </c>
      <c r="E224" s="916" t="s">
        <v>443</v>
      </c>
      <c r="F224" s="925" t="s">
        <v>444</v>
      </c>
      <c r="G224" s="901" t="s">
        <v>668</v>
      </c>
      <c r="H224" s="402" t="s">
        <v>669</v>
      </c>
      <c r="I224" s="403" t="s">
        <v>670</v>
      </c>
      <c r="J224" s="404">
        <v>322</v>
      </c>
      <c r="K224" s="561">
        <f>233.1/1000</f>
        <v>0.2331</v>
      </c>
      <c r="L224" s="406" t="s">
        <v>313</v>
      </c>
      <c r="M224" s="21" t="s">
        <v>175</v>
      </c>
      <c r="N224" s="665">
        <f>SUM(O224,P224)</f>
        <v>12.100000000000001</v>
      </c>
      <c r="O224" s="743">
        <v>3.8</v>
      </c>
      <c r="P224" s="736">
        <v>8.3</v>
      </c>
      <c r="Q224" s="21" t="s">
        <v>532</v>
      </c>
      <c r="R224" s="303"/>
      <c r="S224" s="303"/>
      <c r="T224" s="48"/>
      <c r="U224" s="304"/>
      <c r="V224" s="304"/>
      <c r="W224" s="304"/>
      <c r="X224" s="48"/>
      <c r="Y224" s="320"/>
      <c r="Z224" s="124"/>
    </row>
    <row r="225" spans="1:26" s="54" customFormat="1" ht="18" customHeight="1">
      <c r="A225" s="1039"/>
      <c r="B225" s="972"/>
      <c r="C225" s="1099"/>
      <c r="D225" s="791" t="s">
        <v>448</v>
      </c>
      <c r="E225" s="942" t="s">
        <v>449</v>
      </c>
      <c r="F225" s="789" t="s">
        <v>535</v>
      </c>
      <c r="G225" s="880" t="s">
        <v>535</v>
      </c>
      <c r="H225" s="408" t="s">
        <v>758</v>
      </c>
      <c r="I225" s="412" t="s">
        <v>397</v>
      </c>
      <c r="J225" s="383">
        <v>40</v>
      </c>
      <c r="K225" s="384">
        <f>256.9/1000</f>
        <v>0.25689999999999996</v>
      </c>
      <c r="L225" s="413" t="s">
        <v>363</v>
      </c>
      <c r="M225" s="24" t="s">
        <v>175</v>
      </c>
      <c r="N225" s="411">
        <f aca="true" t="shared" si="12" ref="N225:N235">SUM(O225,P225)</f>
        <v>11.899999999999999</v>
      </c>
      <c r="O225" s="730">
        <v>3.3</v>
      </c>
      <c r="P225" s="732">
        <v>8.6</v>
      </c>
      <c r="Q225" s="20" t="s">
        <v>551</v>
      </c>
      <c r="R225" s="303"/>
      <c r="S225" s="303"/>
      <c r="T225" s="48"/>
      <c r="U225" s="304"/>
      <c r="V225" s="304"/>
      <c r="W225" s="304"/>
      <c r="X225" s="48"/>
      <c r="Y225" s="320"/>
      <c r="Z225" s="124"/>
    </row>
    <row r="226" spans="1:26" s="54" customFormat="1" ht="18" customHeight="1">
      <c r="A226" s="1039"/>
      <c r="B226" s="972"/>
      <c r="C226" s="1099"/>
      <c r="D226" s="791" t="s">
        <v>448</v>
      </c>
      <c r="E226" s="942" t="s">
        <v>449</v>
      </c>
      <c r="F226" s="789" t="s">
        <v>535</v>
      </c>
      <c r="G226" s="880" t="s">
        <v>535</v>
      </c>
      <c r="H226" s="408" t="s">
        <v>759</v>
      </c>
      <c r="I226" s="412" t="s">
        <v>398</v>
      </c>
      <c r="J226" s="383">
        <v>5</v>
      </c>
      <c r="K226" s="387">
        <f>2128.3/1000</f>
        <v>2.1283000000000003</v>
      </c>
      <c r="L226" s="413" t="s">
        <v>347</v>
      </c>
      <c r="M226" s="414" t="s">
        <v>318</v>
      </c>
      <c r="N226" s="411">
        <f t="shared" si="12"/>
        <v>40</v>
      </c>
      <c r="O226" s="692">
        <v>11</v>
      </c>
      <c r="P226" s="677">
        <v>29</v>
      </c>
      <c r="Q226" s="863">
        <v>0.46</v>
      </c>
      <c r="R226" s="164"/>
      <c r="S226" s="502"/>
      <c r="T226" s="303"/>
      <c r="U226" s="48"/>
      <c r="V226" s="620"/>
      <c r="W226" s="620"/>
      <c r="X226" s="109"/>
      <c r="Y226" s="320"/>
      <c r="Z226" s="124"/>
    </row>
    <row r="227" spans="1:26" s="54" customFormat="1" ht="18" customHeight="1">
      <c r="A227" s="1039"/>
      <c r="B227" s="972"/>
      <c r="C227" s="1099"/>
      <c r="D227" s="772" t="s">
        <v>448</v>
      </c>
      <c r="E227" s="789" t="s">
        <v>449</v>
      </c>
      <c r="F227" s="899" t="s">
        <v>535</v>
      </c>
      <c r="G227" s="943" t="s">
        <v>535</v>
      </c>
      <c r="H227" s="408" t="s">
        <v>549</v>
      </c>
      <c r="I227" s="412" t="s">
        <v>364</v>
      </c>
      <c r="J227" s="383">
        <v>9</v>
      </c>
      <c r="K227" s="384">
        <f>692.4/1000</f>
        <v>0.6924</v>
      </c>
      <c r="L227" s="413" t="s">
        <v>363</v>
      </c>
      <c r="M227" s="414" t="s">
        <v>318</v>
      </c>
      <c r="N227" s="411">
        <f t="shared" si="12"/>
        <v>24.3</v>
      </c>
      <c r="O227" s="730">
        <v>7.3</v>
      </c>
      <c r="P227" s="677">
        <v>17</v>
      </c>
      <c r="Q227" s="24" t="s">
        <v>538</v>
      </c>
      <c r="R227" s="303"/>
      <c r="S227" s="502"/>
      <c r="T227" s="48"/>
      <c r="U227" s="304"/>
      <c r="V227" s="304"/>
      <c r="W227" s="304"/>
      <c r="X227" s="109"/>
      <c r="Y227" s="320"/>
      <c r="Z227" s="124"/>
    </row>
    <row r="228" spans="1:26" s="54" customFormat="1" ht="18" customHeight="1">
      <c r="A228" s="1039"/>
      <c r="B228" s="972"/>
      <c r="C228" s="1099"/>
      <c r="D228" s="772" t="s">
        <v>448</v>
      </c>
      <c r="E228" s="789" t="s">
        <v>449</v>
      </c>
      <c r="F228" s="899" t="s">
        <v>535</v>
      </c>
      <c r="G228" s="943" t="s">
        <v>535</v>
      </c>
      <c r="H228" s="408" t="s">
        <v>549</v>
      </c>
      <c r="I228" s="412" t="s">
        <v>399</v>
      </c>
      <c r="J228" s="383">
        <v>2</v>
      </c>
      <c r="K228" s="387">
        <f>1567/1000</f>
        <v>1.567</v>
      </c>
      <c r="L228" s="413" t="s">
        <v>351</v>
      </c>
      <c r="M228" s="414" t="s">
        <v>318</v>
      </c>
      <c r="N228" s="411">
        <f t="shared" si="12"/>
        <v>65</v>
      </c>
      <c r="O228" s="692">
        <v>20</v>
      </c>
      <c r="P228" s="677">
        <v>45</v>
      </c>
      <c r="Q228" s="24" t="s">
        <v>538</v>
      </c>
      <c r="R228" s="164"/>
      <c r="S228" s="502"/>
      <c r="T228" s="48"/>
      <c r="U228" s="304"/>
      <c r="V228" s="304"/>
      <c r="W228" s="304"/>
      <c r="X228" s="109"/>
      <c r="Y228" s="320"/>
      <c r="Z228" s="124"/>
    </row>
    <row r="229" spans="1:26" s="54" customFormat="1" ht="18" customHeight="1">
      <c r="A229" s="1039"/>
      <c r="B229" s="972"/>
      <c r="C229" s="1099"/>
      <c r="D229" s="772" t="s">
        <v>448</v>
      </c>
      <c r="E229" s="789" t="s">
        <v>449</v>
      </c>
      <c r="F229" s="637" t="s">
        <v>535</v>
      </c>
      <c r="G229" s="901" t="s">
        <v>535</v>
      </c>
      <c r="H229" s="408" t="s">
        <v>671</v>
      </c>
      <c r="I229" s="412" t="s">
        <v>625</v>
      </c>
      <c r="J229" s="383">
        <v>47</v>
      </c>
      <c r="K229" s="562">
        <f>1662.4/1000</f>
        <v>1.6624</v>
      </c>
      <c r="L229" s="413" t="s">
        <v>320</v>
      </c>
      <c r="M229" s="414" t="s">
        <v>318</v>
      </c>
      <c r="N229" s="411">
        <f>SUM(O229,P229)</f>
        <v>61</v>
      </c>
      <c r="O229" s="692">
        <v>20</v>
      </c>
      <c r="P229" s="677">
        <v>41</v>
      </c>
      <c r="Q229" s="24" t="s">
        <v>538</v>
      </c>
      <c r="R229" s="164"/>
      <c r="S229" s="502"/>
      <c r="T229" s="48"/>
      <c r="U229" s="304"/>
      <c r="V229" s="304"/>
      <c r="W229" s="304"/>
      <c r="X229" s="109"/>
      <c r="Y229" s="320"/>
      <c r="Z229" s="124"/>
    </row>
    <row r="230" spans="1:26" s="54" customFormat="1" ht="18" customHeight="1">
      <c r="A230" s="1039"/>
      <c r="B230" s="972"/>
      <c r="C230" s="1099"/>
      <c r="D230" s="772" t="s">
        <v>448</v>
      </c>
      <c r="E230" s="789" t="s">
        <v>449</v>
      </c>
      <c r="F230" s="879" t="s">
        <v>535</v>
      </c>
      <c r="G230" s="880" t="s">
        <v>540</v>
      </c>
      <c r="H230" s="408" t="s">
        <v>571</v>
      </c>
      <c r="I230" s="412" t="s">
        <v>540</v>
      </c>
      <c r="J230" s="383">
        <v>439</v>
      </c>
      <c r="K230" s="562">
        <f>1003/1000</f>
        <v>1.003</v>
      </c>
      <c r="L230" s="388" t="s">
        <v>328</v>
      </c>
      <c r="M230" s="24" t="s">
        <v>175</v>
      </c>
      <c r="N230" s="411">
        <f>SUM(O230,P230)</f>
        <v>12.5</v>
      </c>
      <c r="O230" s="730">
        <v>3.9</v>
      </c>
      <c r="P230" s="732">
        <v>8.6</v>
      </c>
      <c r="Q230" s="24" t="s">
        <v>532</v>
      </c>
      <c r="R230" s="164"/>
      <c r="S230" s="502"/>
      <c r="T230" s="48"/>
      <c r="U230" s="304"/>
      <c r="V230" s="304"/>
      <c r="W230" s="304"/>
      <c r="X230" s="109"/>
      <c r="Y230" s="320"/>
      <c r="Z230" s="124"/>
    </row>
    <row r="231" spans="1:26" s="54" customFormat="1" ht="18" customHeight="1">
      <c r="A231" s="1039"/>
      <c r="B231" s="972"/>
      <c r="C231" s="1099"/>
      <c r="D231" s="772" t="s">
        <v>448</v>
      </c>
      <c r="E231" s="789" t="s">
        <v>449</v>
      </c>
      <c r="F231" s="637" t="s">
        <v>542</v>
      </c>
      <c r="G231" s="901" t="s">
        <v>542</v>
      </c>
      <c r="H231" s="408" t="s">
        <v>672</v>
      </c>
      <c r="I231" s="412" t="s">
        <v>673</v>
      </c>
      <c r="J231" s="383">
        <v>3</v>
      </c>
      <c r="K231" s="387">
        <f>1130.7/1000</f>
        <v>1.1307</v>
      </c>
      <c r="L231" s="413" t="s">
        <v>320</v>
      </c>
      <c r="M231" s="414" t="s">
        <v>349</v>
      </c>
      <c r="N231" s="411">
        <f t="shared" si="12"/>
        <v>52</v>
      </c>
      <c r="O231" s="692">
        <v>17</v>
      </c>
      <c r="P231" s="677">
        <v>35</v>
      </c>
      <c r="Q231" s="24" t="s">
        <v>510</v>
      </c>
      <c r="R231" s="164"/>
      <c r="S231" s="502"/>
      <c r="T231" s="48"/>
      <c r="U231" s="304"/>
      <c r="V231" s="304"/>
      <c r="W231" s="304"/>
      <c r="X231" s="109"/>
      <c r="Y231" s="320"/>
      <c r="Z231" s="124"/>
    </row>
    <row r="232" spans="1:26" s="54" customFormat="1" ht="18" customHeight="1">
      <c r="A232" s="1039"/>
      <c r="B232" s="972"/>
      <c r="C232" s="1099"/>
      <c r="D232" s="772" t="s">
        <v>448</v>
      </c>
      <c r="E232" s="789" t="s">
        <v>449</v>
      </c>
      <c r="F232" s="637" t="s">
        <v>542</v>
      </c>
      <c r="G232" s="901" t="s">
        <v>542</v>
      </c>
      <c r="H232" s="408" t="s">
        <v>664</v>
      </c>
      <c r="I232" s="412" t="s">
        <v>396</v>
      </c>
      <c r="J232" s="383">
        <v>1</v>
      </c>
      <c r="K232" s="384">
        <f>318/1000</f>
        <v>0.318</v>
      </c>
      <c r="L232" s="413" t="s">
        <v>320</v>
      </c>
      <c r="M232" s="414" t="s">
        <v>349</v>
      </c>
      <c r="N232" s="411">
        <f t="shared" si="12"/>
        <v>122</v>
      </c>
      <c r="O232" s="692">
        <v>38</v>
      </c>
      <c r="P232" s="677">
        <v>84</v>
      </c>
      <c r="Q232" s="24" t="s">
        <v>510</v>
      </c>
      <c r="R232" s="164"/>
      <c r="S232" s="502"/>
      <c r="T232" s="48"/>
      <c r="U232" s="304"/>
      <c r="V232" s="304"/>
      <c r="W232" s="304"/>
      <c r="X232" s="109"/>
      <c r="Y232" s="320"/>
      <c r="Z232" s="124"/>
    </row>
    <row r="233" spans="1:26" s="54" customFormat="1" ht="18" customHeight="1">
      <c r="A233" s="1039"/>
      <c r="B233" s="972"/>
      <c r="C233" s="1099"/>
      <c r="D233" s="772" t="s">
        <v>448</v>
      </c>
      <c r="E233" s="789" t="s">
        <v>449</v>
      </c>
      <c r="F233" s="904" t="s">
        <v>542</v>
      </c>
      <c r="G233" s="900" t="s">
        <v>542</v>
      </c>
      <c r="H233" s="408" t="s">
        <v>664</v>
      </c>
      <c r="I233" s="412" t="s">
        <v>394</v>
      </c>
      <c r="J233" s="383">
        <v>1</v>
      </c>
      <c r="K233" s="384">
        <f>949.6/1000</f>
        <v>0.9496</v>
      </c>
      <c r="L233" s="413" t="s">
        <v>380</v>
      </c>
      <c r="M233" s="414" t="s">
        <v>594</v>
      </c>
      <c r="N233" s="411">
        <f t="shared" si="12"/>
        <v>158</v>
      </c>
      <c r="O233" s="692">
        <v>48</v>
      </c>
      <c r="P233" s="677">
        <v>110</v>
      </c>
      <c r="Q233" s="24" t="s">
        <v>551</v>
      </c>
      <c r="R233" s="164"/>
      <c r="S233" s="502"/>
      <c r="T233" s="48"/>
      <c r="U233" s="304"/>
      <c r="V233" s="304"/>
      <c r="W233" s="304"/>
      <c r="X233" s="109"/>
      <c r="Y233" s="320"/>
      <c r="Z233" s="124"/>
    </row>
    <row r="234" spans="1:26" s="54" customFormat="1" ht="18" customHeight="1">
      <c r="A234" s="1039"/>
      <c r="B234" s="972"/>
      <c r="C234" s="1099"/>
      <c r="D234" s="772" t="s">
        <v>448</v>
      </c>
      <c r="E234" s="789" t="s">
        <v>449</v>
      </c>
      <c r="F234" s="637" t="s">
        <v>554</v>
      </c>
      <c r="G234" s="901" t="s">
        <v>555</v>
      </c>
      <c r="H234" s="408" t="s">
        <v>344</v>
      </c>
      <c r="I234" s="412" t="s">
        <v>342</v>
      </c>
      <c r="J234" s="383">
        <v>3</v>
      </c>
      <c r="K234" s="384">
        <f>669.3/1000</f>
        <v>0.6693</v>
      </c>
      <c r="L234" s="413" t="s">
        <v>320</v>
      </c>
      <c r="M234" s="414" t="s">
        <v>349</v>
      </c>
      <c r="N234" s="411">
        <f t="shared" si="12"/>
        <v>74</v>
      </c>
      <c r="O234" s="692">
        <v>22</v>
      </c>
      <c r="P234" s="677">
        <v>52</v>
      </c>
      <c r="Q234" s="24" t="s">
        <v>510</v>
      </c>
      <c r="R234" s="502"/>
      <c r="S234" s="502"/>
      <c r="T234" s="48"/>
      <c r="U234" s="304"/>
      <c r="V234" s="304"/>
      <c r="W234" s="304"/>
      <c r="X234" s="109"/>
      <c r="Y234" s="320"/>
      <c r="Z234" s="124"/>
    </row>
    <row r="235" spans="1:26" s="54" customFormat="1" ht="18" customHeight="1">
      <c r="A235" s="1039"/>
      <c r="B235" s="973"/>
      <c r="C235" s="1101"/>
      <c r="D235" s="792" t="s">
        <v>448</v>
      </c>
      <c r="E235" s="944" t="s">
        <v>449</v>
      </c>
      <c r="F235" s="899" t="s">
        <v>554</v>
      </c>
      <c r="G235" s="917" t="s">
        <v>555</v>
      </c>
      <c r="H235" s="423" t="s">
        <v>344</v>
      </c>
      <c r="I235" s="559" t="s">
        <v>346</v>
      </c>
      <c r="J235" s="424">
        <v>4</v>
      </c>
      <c r="K235" s="425">
        <f>1825/1000</f>
        <v>1.825</v>
      </c>
      <c r="L235" s="521" t="s">
        <v>363</v>
      </c>
      <c r="M235" s="428" t="s">
        <v>349</v>
      </c>
      <c r="N235" s="427">
        <f t="shared" si="12"/>
        <v>90</v>
      </c>
      <c r="O235" s="694">
        <v>27</v>
      </c>
      <c r="P235" s="679">
        <v>63</v>
      </c>
      <c r="Q235" s="580">
        <v>0.3</v>
      </c>
      <c r="R235" s="502"/>
      <c r="S235" s="502"/>
      <c r="T235" s="303"/>
      <c r="U235" s="48"/>
      <c r="V235" s="620"/>
      <c r="W235" s="620"/>
      <c r="X235" s="109"/>
      <c r="Y235" s="320"/>
      <c r="Z235" s="124"/>
    </row>
    <row r="236" spans="1:26" s="54" customFormat="1" ht="18" customHeight="1">
      <c r="A236" s="1039"/>
      <c r="B236" s="1030" t="s">
        <v>491</v>
      </c>
      <c r="C236" s="1037">
        <v>41507</v>
      </c>
      <c r="D236" s="764" t="s">
        <v>440</v>
      </c>
      <c r="E236" s="907" t="s">
        <v>558</v>
      </c>
      <c r="F236" s="907" t="s">
        <v>558</v>
      </c>
      <c r="G236" s="621" t="s">
        <v>558</v>
      </c>
      <c r="H236" s="452" t="s">
        <v>558</v>
      </c>
      <c r="I236" s="472" t="s">
        <v>391</v>
      </c>
      <c r="J236" s="563" t="s">
        <v>175</v>
      </c>
      <c r="K236" s="564">
        <f>48.3191/1000</f>
        <v>0.0483191</v>
      </c>
      <c r="L236" s="565" t="s">
        <v>175</v>
      </c>
      <c r="M236" s="458" t="s">
        <v>175</v>
      </c>
      <c r="N236" s="566">
        <f>SUM(O236,P236)</f>
        <v>1.1</v>
      </c>
      <c r="O236" s="965" t="s">
        <v>762</v>
      </c>
      <c r="P236" s="737">
        <v>1.1</v>
      </c>
      <c r="Q236" s="458" t="s">
        <v>616</v>
      </c>
      <c r="R236" s="303"/>
      <c r="S236" s="303"/>
      <c r="T236" s="48"/>
      <c r="U236" s="48"/>
      <c r="V236" s="48"/>
      <c r="W236" s="48"/>
      <c r="X236" s="48"/>
      <c r="Y236" s="320"/>
      <c r="Z236" s="124"/>
    </row>
    <row r="237" spans="1:26" s="54" customFormat="1" ht="18" customHeight="1">
      <c r="A237" s="1039"/>
      <c r="B237" s="972"/>
      <c r="C237" s="1099"/>
      <c r="D237" s="800" t="s">
        <v>457</v>
      </c>
      <c r="E237" s="945" t="s">
        <v>458</v>
      </c>
      <c r="F237" s="923" t="s">
        <v>647</v>
      </c>
      <c r="G237" s="924" t="s">
        <v>647</v>
      </c>
      <c r="H237" s="459" t="s">
        <v>674</v>
      </c>
      <c r="I237" s="460" t="s">
        <v>649</v>
      </c>
      <c r="J237" s="567" t="s">
        <v>175</v>
      </c>
      <c r="K237" s="568">
        <f>154/1000</f>
        <v>0.154</v>
      </c>
      <c r="L237" s="475" t="s">
        <v>175</v>
      </c>
      <c r="M237" s="465" t="s">
        <v>175</v>
      </c>
      <c r="N237" s="569" t="s">
        <v>675</v>
      </c>
      <c r="O237" s="744" t="s">
        <v>676</v>
      </c>
      <c r="P237" s="738" t="s">
        <v>677</v>
      </c>
      <c r="Q237" s="458" t="s">
        <v>600</v>
      </c>
      <c r="R237" s="650"/>
      <c r="S237" s="303"/>
      <c r="T237" s="48"/>
      <c r="U237" s="48"/>
      <c r="V237" s="48"/>
      <c r="W237" s="48"/>
      <c r="X237" s="48"/>
      <c r="Y237" s="320"/>
      <c r="Z237" s="124"/>
    </row>
    <row r="238" spans="1:26" s="54" customFormat="1" ht="18" customHeight="1">
      <c r="A238" s="1039"/>
      <c r="B238" s="972"/>
      <c r="C238" s="1099"/>
      <c r="D238" s="800" t="s">
        <v>457</v>
      </c>
      <c r="E238" s="945" t="s">
        <v>462</v>
      </c>
      <c r="F238" s="808" t="s">
        <v>678</v>
      </c>
      <c r="G238" s="924" t="s">
        <v>678</v>
      </c>
      <c r="H238" s="459" t="s">
        <v>679</v>
      </c>
      <c r="I238" s="460" t="s">
        <v>680</v>
      </c>
      <c r="J238" s="567" t="s">
        <v>175</v>
      </c>
      <c r="K238" s="568">
        <f>265/1000</f>
        <v>0.265</v>
      </c>
      <c r="L238" s="475" t="s">
        <v>558</v>
      </c>
      <c r="M238" s="465" t="s">
        <v>175</v>
      </c>
      <c r="N238" s="477">
        <f aca="true" t="shared" si="13" ref="N238:N243">SUM(O238,P238)</f>
        <v>4.4</v>
      </c>
      <c r="O238" s="734">
        <v>1.7</v>
      </c>
      <c r="P238" s="739">
        <v>2.7</v>
      </c>
      <c r="Q238" s="458" t="s">
        <v>558</v>
      </c>
      <c r="R238" s="303"/>
      <c r="S238" s="303"/>
      <c r="T238" s="48"/>
      <c r="U238" s="48"/>
      <c r="V238" s="48"/>
      <c r="W238" s="48"/>
      <c r="X238" s="48"/>
      <c r="Y238" s="320"/>
      <c r="Z238" s="124"/>
    </row>
    <row r="239" spans="1:26" s="54" customFormat="1" ht="18" customHeight="1">
      <c r="A239" s="1039"/>
      <c r="B239" s="972"/>
      <c r="C239" s="1099"/>
      <c r="D239" s="779" t="s">
        <v>463</v>
      </c>
      <c r="E239" s="890" t="s">
        <v>446</v>
      </c>
      <c r="F239" s="637" t="s">
        <v>464</v>
      </c>
      <c r="G239" s="901" t="s">
        <v>681</v>
      </c>
      <c r="H239" s="513" t="s">
        <v>682</v>
      </c>
      <c r="I239" s="514" t="s">
        <v>683</v>
      </c>
      <c r="J239" s="515">
        <v>6</v>
      </c>
      <c r="K239" s="570">
        <f>89.3/1000</f>
        <v>0.08929999999999999</v>
      </c>
      <c r="L239" s="571" t="s">
        <v>313</v>
      </c>
      <c r="M239" s="24" t="s">
        <v>175</v>
      </c>
      <c r="N239" s="572">
        <f t="shared" si="13"/>
        <v>9.8</v>
      </c>
      <c r="O239" s="314">
        <v>3.4</v>
      </c>
      <c r="P239" s="740">
        <v>6.4</v>
      </c>
      <c r="Q239" s="24" t="s">
        <v>532</v>
      </c>
      <c r="R239" s="303"/>
      <c r="S239" s="303"/>
      <c r="T239" s="48"/>
      <c r="U239" s="48"/>
      <c r="V239" s="48"/>
      <c r="W239" s="48"/>
      <c r="X239" s="48"/>
      <c r="Y239" s="320"/>
      <c r="Z239" s="124"/>
    </row>
    <row r="240" spans="1:26" s="54" customFormat="1" ht="18" customHeight="1">
      <c r="A240" s="1039"/>
      <c r="B240" s="972"/>
      <c r="C240" s="1099"/>
      <c r="D240" s="772" t="s">
        <v>448</v>
      </c>
      <c r="E240" s="789" t="s">
        <v>449</v>
      </c>
      <c r="F240" s="879" t="s">
        <v>535</v>
      </c>
      <c r="G240" s="880" t="s">
        <v>540</v>
      </c>
      <c r="H240" s="573" t="s">
        <v>571</v>
      </c>
      <c r="I240" s="574" t="s">
        <v>400</v>
      </c>
      <c r="J240" s="575">
        <v>165</v>
      </c>
      <c r="K240" s="576">
        <f>245.4/1000</f>
        <v>0.2454</v>
      </c>
      <c r="L240" s="530" t="s">
        <v>316</v>
      </c>
      <c r="M240" s="33" t="s">
        <v>175</v>
      </c>
      <c r="N240" s="572">
        <f t="shared" si="13"/>
        <v>1.8</v>
      </c>
      <c r="O240" s="964" t="s">
        <v>760</v>
      </c>
      <c r="P240" s="741">
        <v>1.8</v>
      </c>
      <c r="Q240" s="24" t="s">
        <v>541</v>
      </c>
      <c r="R240" s="303"/>
      <c r="S240" s="164"/>
      <c r="T240" s="48"/>
      <c r="U240" s="48"/>
      <c r="V240" s="48"/>
      <c r="W240" s="48"/>
      <c r="X240" s="48"/>
      <c r="Y240" s="320"/>
      <c r="Z240" s="124"/>
    </row>
    <row r="241" spans="1:26" s="54" customFormat="1" ht="18" customHeight="1">
      <c r="A241" s="1039"/>
      <c r="B241" s="972"/>
      <c r="C241" s="1099"/>
      <c r="D241" s="772" t="s">
        <v>448</v>
      </c>
      <c r="E241" s="789" t="s">
        <v>449</v>
      </c>
      <c r="F241" s="879" t="s">
        <v>535</v>
      </c>
      <c r="G241" s="880" t="s">
        <v>540</v>
      </c>
      <c r="H241" s="573" t="s">
        <v>571</v>
      </c>
      <c r="I241" s="574" t="s">
        <v>402</v>
      </c>
      <c r="J241" s="575">
        <v>5</v>
      </c>
      <c r="K241" s="577">
        <f>29.3/1000</f>
        <v>0.0293</v>
      </c>
      <c r="L241" s="530" t="s">
        <v>403</v>
      </c>
      <c r="M241" s="33" t="s">
        <v>175</v>
      </c>
      <c r="N241" s="572">
        <f t="shared" si="13"/>
        <v>1.8</v>
      </c>
      <c r="O241" s="964" t="s">
        <v>761</v>
      </c>
      <c r="P241" s="741">
        <v>1.8</v>
      </c>
      <c r="Q241" s="24" t="s">
        <v>551</v>
      </c>
      <c r="R241" s="303"/>
      <c r="S241" s="164"/>
      <c r="T241" s="48"/>
      <c r="U241" s="305"/>
      <c r="V241" s="305"/>
      <c r="W241" s="305"/>
      <c r="X241" s="48"/>
      <c r="Y241" s="320"/>
      <c r="Z241" s="124"/>
    </row>
    <row r="242" spans="1:26" s="54" customFormat="1" ht="18" customHeight="1">
      <c r="A242" s="1039"/>
      <c r="B242" s="972"/>
      <c r="C242" s="1102"/>
      <c r="D242" s="775" t="s">
        <v>448</v>
      </c>
      <c r="E242" s="883" t="s">
        <v>450</v>
      </c>
      <c r="F242" s="946" t="s">
        <v>451</v>
      </c>
      <c r="G242" s="910" t="s">
        <v>545</v>
      </c>
      <c r="H242" s="392" t="s">
        <v>684</v>
      </c>
      <c r="I242" s="393" t="s">
        <v>685</v>
      </c>
      <c r="J242" s="482">
        <v>5</v>
      </c>
      <c r="K242" s="390">
        <f>35/1000</f>
        <v>0.035</v>
      </c>
      <c r="L242" s="391" t="s">
        <v>313</v>
      </c>
      <c r="M242" s="348" t="s">
        <v>175</v>
      </c>
      <c r="N242" s="578">
        <f t="shared" si="13"/>
        <v>6.4</v>
      </c>
      <c r="O242" s="963">
        <v>2</v>
      </c>
      <c r="P242" s="742">
        <v>4.4</v>
      </c>
      <c r="Q242" s="348" t="s">
        <v>532</v>
      </c>
      <c r="R242" s="303"/>
      <c r="S242" s="164"/>
      <c r="T242" s="48"/>
      <c r="U242" s="305"/>
      <c r="V242" s="305"/>
      <c r="W242" s="305"/>
      <c r="X242" s="48"/>
      <c r="Y242" s="320"/>
      <c r="Z242" s="124"/>
    </row>
    <row r="243" spans="1:26" s="54" customFormat="1" ht="18" customHeight="1">
      <c r="A243" s="1039"/>
      <c r="B243" s="972"/>
      <c r="C243" s="421">
        <v>41511</v>
      </c>
      <c r="D243" s="772" t="s">
        <v>441</v>
      </c>
      <c r="E243" s="916" t="s">
        <v>443</v>
      </c>
      <c r="F243" s="925" t="s">
        <v>444</v>
      </c>
      <c r="G243" s="901" t="s">
        <v>668</v>
      </c>
      <c r="H243" s="558" t="s">
        <v>669</v>
      </c>
      <c r="I243" s="417" t="s">
        <v>670</v>
      </c>
      <c r="J243" s="515">
        <v>120</v>
      </c>
      <c r="K243" s="570">
        <f>48.5/1000</f>
        <v>0.0485</v>
      </c>
      <c r="L243" s="571" t="s">
        <v>313</v>
      </c>
      <c r="M243" s="24" t="s">
        <v>175</v>
      </c>
      <c r="N243" s="562">
        <f t="shared" si="13"/>
        <v>8.7</v>
      </c>
      <c r="O243" s="112">
        <v>2.6</v>
      </c>
      <c r="P243" s="732">
        <v>6.1</v>
      </c>
      <c r="Q243" s="24" t="s">
        <v>532</v>
      </c>
      <c r="R243" s="303"/>
      <c r="S243" s="164"/>
      <c r="T243" s="48"/>
      <c r="U243" s="305"/>
      <c r="V243" s="305"/>
      <c r="W243" s="305"/>
      <c r="X243" s="48"/>
      <c r="Y243" s="320"/>
      <c r="Z243" s="124"/>
    </row>
    <row r="244" spans="1:26" s="54" customFormat="1" ht="18" customHeight="1">
      <c r="A244" s="1039"/>
      <c r="B244" s="972"/>
      <c r="C244" s="1055">
        <v>41512</v>
      </c>
      <c r="D244" s="772" t="s">
        <v>448</v>
      </c>
      <c r="E244" s="789" t="s">
        <v>449</v>
      </c>
      <c r="F244" s="637" t="s">
        <v>535</v>
      </c>
      <c r="G244" s="901" t="s">
        <v>535</v>
      </c>
      <c r="H244" s="513" t="s">
        <v>584</v>
      </c>
      <c r="I244" s="514" t="s">
        <v>585</v>
      </c>
      <c r="J244" s="515">
        <v>11</v>
      </c>
      <c r="K244" s="516">
        <f>180.2/1000</f>
        <v>0.1802</v>
      </c>
      <c r="L244" s="571" t="s">
        <v>328</v>
      </c>
      <c r="M244" s="24" t="s">
        <v>175</v>
      </c>
      <c r="N244" s="383">
        <f aca="true" t="shared" si="14" ref="N244:N252">SUM(O244,P244)</f>
        <v>28.5</v>
      </c>
      <c r="O244" s="112">
        <v>8.5</v>
      </c>
      <c r="P244" s="677">
        <v>20</v>
      </c>
      <c r="Q244" s="24" t="s">
        <v>532</v>
      </c>
      <c r="R244" s="164"/>
      <c r="S244" s="164"/>
      <c r="T244" s="48"/>
      <c r="U244" s="305"/>
      <c r="V244" s="305"/>
      <c r="W244" s="305"/>
      <c r="X244" s="48"/>
      <c r="Y244" s="320"/>
      <c r="Z244" s="124"/>
    </row>
    <row r="245" spans="1:26" s="54" customFormat="1" ht="18" customHeight="1">
      <c r="A245" s="1039"/>
      <c r="B245" s="972"/>
      <c r="C245" s="1161"/>
      <c r="D245" s="772" t="s">
        <v>448</v>
      </c>
      <c r="E245" s="789" t="s">
        <v>449</v>
      </c>
      <c r="F245" s="637" t="s">
        <v>535</v>
      </c>
      <c r="G245" s="901" t="s">
        <v>535</v>
      </c>
      <c r="H245" s="513" t="s">
        <v>539</v>
      </c>
      <c r="I245" s="514" t="s">
        <v>625</v>
      </c>
      <c r="J245" s="515">
        <v>3</v>
      </c>
      <c r="K245" s="516">
        <f>249.4/1000</f>
        <v>0.2494</v>
      </c>
      <c r="L245" s="517" t="s">
        <v>404</v>
      </c>
      <c r="M245" s="414" t="s">
        <v>318</v>
      </c>
      <c r="N245" s="383">
        <f t="shared" si="14"/>
        <v>82</v>
      </c>
      <c r="O245" s="105">
        <v>26</v>
      </c>
      <c r="P245" s="677">
        <v>56</v>
      </c>
      <c r="Q245" s="24" t="s">
        <v>538</v>
      </c>
      <c r="R245" s="502"/>
      <c r="S245" s="502"/>
      <c r="T245" s="48"/>
      <c r="U245" s="305"/>
      <c r="V245" s="305"/>
      <c r="W245" s="305"/>
      <c r="X245" s="109"/>
      <c r="Y245" s="320"/>
      <c r="Z245" s="124"/>
    </row>
    <row r="246" spans="1:26" s="54" customFormat="1" ht="18" customHeight="1">
      <c r="A246" s="1039"/>
      <c r="B246" s="972"/>
      <c r="C246" s="1161"/>
      <c r="D246" s="772" t="s">
        <v>448</v>
      </c>
      <c r="E246" s="789" t="s">
        <v>449</v>
      </c>
      <c r="F246" s="789" t="s">
        <v>535</v>
      </c>
      <c r="G246" s="880" t="s">
        <v>535</v>
      </c>
      <c r="H246" s="513" t="s">
        <v>686</v>
      </c>
      <c r="I246" s="514" t="s">
        <v>397</v>
      </c>
      <c r="J246" s="515">
        <v>18</v>
      </c>
      <c r="K246" s="516">
        <f>118.7/1000</f>
        <v>0.1187</v>
      </c>
      <c r="L246" s="517" t="s">
        <v>363</v>
      </c>
      <c r="M246" s="24" t="s">
        <v>175</v>
      </c>
      <c r="N246" s="383">
        <f t="shared" si="14"/>
        <v>19.4</v>
      </c>
      <c r="O246" s="112">
        <v>6.4</v>
      </c>
      <c r="P246" s="677">
        <v>13</v>
      </c>
      <c r="Q246" s="24" t="s">
        <v>551</v>
      </c>
      <c r="R246" s="303"/>
      <c r="S246" s="164"/>
      <c r="T246" s="48"/>
      <c r="U246" s="305"/>
      <c r="V246" s="305"/>
      <c r="W246" s="305"/>
      <c r="X246" s="48"/>
      <c r="Y246" s="320"/>
      <c r="Z246" s="124"/>
    </row>
    <row r="247" spans="1:26" s="54" customFormat="1" ht="18" customHeight="1">
      <c r="A247" s="1039"/>
      <c r="B247" s="972"/>
      <c r="C247" s="1161"/>
      <c r="D247" s="772" t="s">
        <v>448</v>
      </c>
      <c r="E247" s="789" t="s">
        <v>449</v>
      </c>
      <c r="F247" s="637" t="s">
        <v>554</v>
      </c>
      <c r="G247" s="901" t="s">
        <v>555</v>
      </c>
      <c r="H247" s="513" t="s">
        <v>344</v>
      </c>
      <c r="I247" s="514" t="s">
        <v>342</v>
      </c>
      <c r="J247" s="515">
        <v>13</v>
      </c>
      <c r="K247" s="516">
        <f>128.8/1000</f>
        <v>0.1288</v>
      </c>
      <c r="L247" s="517" t="s">
        <v>316</v>
      </c>
      <c r="M247" s="414" t="s">
        <v>405</v>
      </c>
      <c r="N247" s="383">
        <f t="shared" si="14"/>
        <v>36</v>
      </c>
      <c r="O247" s="105">
        <v>12</v>
      </c>
      <c r="P247" s="677">
        <v>24</v>
      </c>
      <c r="Q247" s="24" t="s">
        <v>510</v>
      </c>
      <c r="R247" s="303"/>
      <c r="S247" s="303"/>
      <c r="T247" s="48"/>
      <c r="U247" s="305"/>
      <c r="V247" s="305"/>
      <c r="W247" s="305"/>
      <c r="X247" s="109"/>
      <c r="Y247" s="320"/>
      <c r="Z247" s="124"/>
    </row>
    <row r="248" spans="1:26" s="54" customFormat="1" ht="18" customHeight="1">
      <c r="A248" s="1039"/>
      <c r="B248" s="972"/>
      <c r="C248" s="1163"/>
      <c r="D248" s="772" t="s">
        <v>448</v>
      </c>
      <c r="E248" s="789" t="s">
        <v>449</v>
      </c>
      <c r="F248" s="637" t="s">
        <v>554</v>
      </c>
      <c r="G248" s="901" t="s">
        <v>555</v>
      </c>
      <c r="H248" s="513" t="s">
        <v>344</v>
      </c>
      <c r="I248" s="514" t="s">
        <v>346</v>
      </c>
      <c r="J248" s="515">
        <v>1</v>
      </c>
      <c r="K248" s="516">
        <f>165.3/1000</f>
        <v>0.1653</v>
      </c>
      <c r="L248" s="517" t="s">
        <v>363</v>
      </c>
      <c r="M248" s="414" t="s">
        <v>594</v>
      </c>
      <c r="N248" s="383">
        <f t="shared" si="14"/>
        <v>90</v>
      </c>
      <c r="O248" s="105">
        <v>28</v>
      </c>
      <c r="P248" s="677">
        <v>62</v>
      </c>
      <c r="Q248" s="24" t="s">
        <v>551</v>
      </c>
      <c r="R248" s="502"/>
      <c r="S248" s="502"/>
      <c r="T248" s="48"/>
      <c r="U248" s="305"/>
      <c r="V248" s="305"/>
      <c r="W248" s="305"/>
      <c r="X248" s="109"/>
      <c r="Y248" s="320"/>
      <c r="Z248" s="124"/>
    </row>
    <row r="249" spans="1:26" s="54" customFormat="1" ht="18" customHeight="1">
      <c r="A249" s="1039"/>
      <c r="B249" s="972"/>
      <c r="C249" s="421">
        <v>41514</v>
      </c>
      <c r="D249" s="791" t="s">
        <v>448</v>
      </c>
      <c r="E249" s="942" t="s">
        <v>449</v>
      </c>
      <c r="F249" s="638" t="s">
        <v>535</v>
      </c>
      <c r="G249" s="798" t="s">
        <v>535</v>
      </c>
      <c r="H249" s="513" t="s">
        <v>549</v>
      </c>
      <c r="I249" s="514" t="s">
        <v>364</v>
      </c>
      <c r="J249" s="515">
        <v>10</v>
      </c>
      <c r="K249" s="579">
        <f>1033.4/1000</f>
        <v>1.0334</v>
      </c>
      <c r="L249" s="517" t="s">
        <v>363</v>
      </c>
      <c r="M249" s="414" t="s">
        <v>687</v>
      </c>
      <c r="N249" s="383">
        <f t="shared" si="14"/>
        <v>27.4</v>
      </c>
      <c r="O249" s="314">
        <v>8.4</v>
      </c>
      <c r="P249" s="677">
        <v>19</v>
      </c>
      <c r="Q249" s="24" t="s">
        <v>551</v>
      </c>
      <c r="R249" s="303"/>
      <c r="S249" s="502"/>
      <c r="T249" s="48"/>
      <c r="U249" s="305"/>
      <c r="V249" s="305"/>
      <c r="W249" s="305"/>
      <c r="X249" s="109"/>
      <c r="Y249" s="320"/>
      <c r="Z249" s="124"/>
    </row>
    <row r="250" spans="1:26" s="54" customFormat="1" ht="18" customHeight="1">
      <c r="A250" s="1039"/>
      <c r="B250" s="972"/>
      <c r="C250" s="421">
        <v>41515</v>
      </c>
      <c r="D250" s="772" t="s">
        <v>448</v>
      </c>
      <c r="E250" s="789" t="s">
        <v>449</v>
      </c>
      <c r="F250" s="789" t="s">
        <v>535</v>
      </c>
      <c r="G250" s="880" t="s">
        <v>535</v>
      </c>
      <c r="H250" s="513" t="s">
        <v>686</v>
      </c>
      <c r="I250" s="514" t="s">
        <v>398</v>
      </c>
      <c r="J250" s="515">
        <v>2</v>
      </c>
      <c r="K250" s="579">
        <f>1629.3/1000</f>
        <v>1.6293</v>
      </c>
      <c r="L250" s="517" t="s">
        <v>395</v>
      </c>
      <c r="M250" s="414" t="s">
        <v>687</v>
      </c>
      <c r="N250" s="383">
        <f t="shared" si="14"/>
        <v>19.1</v>
      </c>
      <c r="O250" s="314">
        <v>6.1</v>
      </c>
      <c r="P250" s="677">
        <v>13</v>
      </c>
      <c r="Q250" s="24" t="s">
        <v>551</v>
      </c>
      <c r="R250" s="303"/>
      <c r="S250" s="303"/>
      <c r="T250" s="48"/>
      <c r="U250" s="305"/>
      <c r="V250" s="305"/>
      <c r="W250" s="305"/>
      <c r="X250" s="109"/>
      <c r="Y250" s="320"/>
      <c r="Z250" s="124"/>
    </row>
    <row r="251" spans="1:26" s="54" customFormat="1" ht="18" customHeight="1">
      <c r="A251" s="1039"/>
      <c r="B251" s="972"/>
      <c r="C251" s="1055">
        <v>41535</v>
      </c>
      <c r="D251" s="772" t="s">
        <v>448</v>
      </c>
      <c r="E251" s="789" t="s">
        <v>449</v>
      </c>
      <c r="F251" s="789" t="s">
        <v>535</v>
      </c>
      <c r="G251" s="880" t="s">
        <v>535</v>
      </c>
      <c r="H251" s="513" t="s">
        <v>549</v>
      </c>
      <c r="I251" s="514" t="s">
        <v>399</v>
      </c>
      <c r="J251" s="515">
        <v>1</v>
      </c>
      <c r="K251" s="516">
        <f>927/1000</f>
        <v>0.927</v>
      </c>
      <c r="L251" s="517" t="s">
        <v>351</v>
      </c>
      <c r="M251" s="414" t="s">
        <v>687</v>
      </c>
      <c r="N251" s="383">
        <f t="shared" si="14"/>
        <v>43</v>
      </c>
      <c r="O251" s="105">
        <v>14</v>
      </c>
      <c r="P251" s="677">
        <v>29</v>
      </c>
      <c r="Q251" s="24" t="s">
        <v>551</v>
      </c>
      <c r="R251" s="502"/>
      <c r="S251" s="502"/>
      <c r="T251" s="48"/>
      <c r="U251" s="305"/>
      <c r="V251" s="305"/>
      <c r="W251" s="305"/>
      <c r="X251" s="109"/>
      <c r="Y251" s="320"/>
      <c r="Z251" s="124"/>
    </row>
    <row r="252" spans="1:26" s="54" customFormat="1" ht="18" customHeight="1">
      <c r="A252" s="1040"/>
      <c r="B252" s="973"/>
      <c r="C252" s="973"/>
      <c r="D252" s="790" t="s">
        <v>448</v>
      </c>
      <c r="E252" s="941" t="s">
        <v>449</v>
      </c>
      <c r="F252" s="891" t="s">
        <v>542</v>
      </c>
      <c r="G252" s="921" t="s">
        <v>542</v>
      </c>
      <c r="H252" s="423" t="s">
        <v>664</v>
      </c>
      <c r="I252" s="559" t="s">
        <v>688</v>
      </c>
      <c r="J252" s="424">
        <v>1</v>
      </c>
      <c r="K252" s="580">
        <f>749.6/1000</f>
        <v>0.7496</v>
      </c>
      <c r="L252" s="521" t="s">
        <v>383</v>
      </c>
      <c r="M252" s="428" t="s">
        <v>687</v>
      </c>
      <c r="N252" s="424">
        <f t="shared" si="14"/>
        <v>173</v>
      </c>
      <c r="O252" s="267">
        <v>53</v>
      </c>
      <c r="P252" s="679">
        <v>120</v>
      </c>
      <c r="Q252" s="610" t="s">
        <v>551</v>
      </c>
      <c r="R252" s="502"/>
      <c r="S252" s="502"/>
      <c r="T252" s="48"/>
      <c r="U252" s="305"/>
      <c r="V252" s="305"/>
      <c r="W252" s="305"/>
      <c r="X252" s="109"/>
      <c r="Y252" s="320"/>
      <c r="Z252" s="124"/>
    </row>
    <row r="253" spans="1:26" s="54" customFormat="1" ht="18" customHeight="1">
      <c r="A253" s="429"/>
      <c r="B253" s="430"/>
      <c r="C253" s="503"/>
      <c r="D253" s="429"/>
      <c r="E253" s="429"/>
      <c r="F253" s="432"/>
      <c r="G253" s="433"/>
      <c r="H253" s="434"/>
      <c r="I253" s="581"/>
      <c r="J253" s="525"/>
      <c r="K253" s="437"/>
      <c r="L253" s="438"/>
      <c r="M253" s="439"/>
      <c r="N253" s="440"/>
      <c r="O253" s="440"/>
      <c r="P253" s="438"/>
      <c r="Q253" s="439"/>
      <c r="R253" s="440"/>
      <c r="S253" s="440"/>
      <c r="T253" s="439"/>
      <c r="U253" s="429"/>
      <c r="V253" s="429"/>
      <c r="W253" s="429"/>
      <c r="X253" s="52"/>
      <c r="Y253" s="320"/>
      <c r="Z253" s="124"/>
    </row>
    <row r="254" spans="1:17" s="54" customFormat="1" ht="18" customHeight="1">
      <c r="A254" s="1033" t="s">
        <v>1</v>
      </c>
      <c r="B254" s="1034"/>
      <c r="C254" s="1037" t="s">
        <v>291</v>
      </c>
      <c r="D254" s="1021" t="s">
        <v>430</v>
      </c>
      <c r="E254" s="1025" t="s">
        <v>431</v>
      </c>
      <c r="F254" s="1025" t="s">
        <v>432</v>
      </c>
      <c r="G254" s="1023" t="s">
        <v>433</v>
      </c>
      <c r="H254" s="983" t="s">
        <v>434</v>
      </c>
      <c r="I254" s="983" t="s">
        <v>435</v>
      </c>
      <c r="J254" s="1086" t="s">
        <v>292</v>
      </c>
      <c r="K254" s="1073" t="s">
        <v>293</v>
      </c>
      <c r="L254" s="1088" t="s">
        <v>436</v>
      </c>
      <c r="M254" s="1089"/>
      <c r="N254" s="1083" t="s">
        <v>295</v>
      </c>
      <c r="O254" s="1084"/>
      <c r="P254" s="1085"/>
      <c r="Q254" s="1030" t="s">
        <v>437</v>
      </c>
    </row>
    <row r="255" spans="1:20" s="54" customFormat="1" ht="18" customHeight="1">
      <c r="A255" s="1035"/>
      <c r="B255" s="1036"/>
      <c r="C255" s="1038"/>
      <c r="D255" s="1022"/>
      <c r="E255" s="1026"/>
      <c r="F255" s="1026"/>
      <c r="G255" s="1024"/>
      <c r="H255" s="1032"/>
      <c r="I255" s="1032"/>
      <c r="J255" s="1087"/>
      <c r="K255" s="1074"/>
      <c r="L255" s="612" t="s">
        <v>294</v>
      </c>
      <c r="M255" s="319" t="s">
        <v>296</v>
      </c>
      <c r="N255" s="613" t="s">
        <v>297</v>
      </c>
      <c r="O255" s="759" t="s">
        <v>438</v>
      </c>
      <c r="P255" s="755" t="s">
        <v>439</v>
      </c>
      <c r="Q255" s="1103"/>
      <c r="S255" s="439"/>
      <c r="T255" s="439"/>
    </row>
    <row r="256" spans="1:26" s="54" customFormat="1" ht="18" customHeight="1">
      <c r="A256" s="1027" t="s">
        <v>492</v>
      </c>
      <c r="B256" s="1030" t="s">
        <v>493</v>
      </c>
      <c r="C256" s="1037">
        <v>41515</v>
      </c>
      <c r="D256" s="801" t="s">
        <v>461</v>
      </c>
      <c r="E256" s="896" t="s">
        <v>443</v>
      </c>
      <c r="F256" s="641" t="s">
        <v>444</v>
      </c>
      <c r="G256" s="947" t="s">
        <v>689</v>
      </c>
      <c r="H256" s="402" t="s">
        <v>690</v>
      </c>
      <c r="I256" s="403" t="s">
        <v>691</v>
      </c>
      <c r="J256" s="404">
        <v>6</v>
      </c>
      <c r="K256" s="599">
        <v>1.7</v>
      </c>
      <c r="L256" s="406" t="s">
        <v>313</v>
      </c>
      <c r="M256" s="21" t="s">
        <v>175</v>
      </c>
      <c r="N256" s="667">
        <f aca="true" t="shared" si="15" ref="N256:N262">SUM(O256,P256)</f>
        <v>1.83</v>
      </c>
      <c r="O256" s="760">
        <v>0.63</v>
      </c>
      <c r="P256" s="756">
        <v>1.2</v>
      </c>
      <c r="Q256" s="21" t="s">
        <v>532</v>
      </c>
      <c r="R256" s="442"/>
      <c r="S256" s="441"/>
      <c r="T256" s="439"/>
      <c r="U256" s="503"/>
      <c r="V256" s="503"/>
      <c r="W256" s="503"/>
      <c r="X256" s="439"/>
      <c r="Y256" s="320"/>
      <c r="Z256" s="124"/>
    </row>
    <row r="257" spans="1:26" s="54" customFormat="1" ht="18" customHeight="1">
      <c r="A257" s="1028"/>
      <c r="B257" s="1031"/>
      <c r="C257" s="1039"/>
      <c r="D257" s="782" t="s">
        <v>461</v>
      </c>
      <c r="E257" s="902" t="s">
        <v>443</v>
      </c>
      <c r="F257" s="638" t="s">
        <v>444</v>
      </c>
      <c r="G257" s="858" t="s">
        <v>689</v>
      </c>
      <c r="H257" s="422" t="s">
        <v>692</v>
      </c>
      <c r="I257" s="409" t="s">
        <v>693</v>
      </c>
      <c r="J257" s="337">
        <v>5</v>
      </c>
      <c r="K257" s="341">
        <v>0.7</v>
      </c>
      <c r="L257" s="339" t="s">
        <v>313</v>
      </c>
      <c r="M257" s="33" t="s">
        <v>175</v>
      </c>
      <c r="N257" s="815">
        <f t="shared" si="15"/>
        <v>0.39</v>
      </c>
      <c r="O257" s="761">
        <v>0.39</v>
      </c>
      <c r="P257" s="757" t="s">
        <v>694</v>
      </c>
      <c r="Q257" s="33" t="s">
        <v>532</v>
      </c>
      <c r="R257" s="304"/>
      <c r="S257" s="626"/>
      <c r="T257" s="48"/>
      <c r="U257" s="304"/>
      <c r="V257" s="304"/>
      <c r="W257" s="304"/>
      <c r="X257" s="48"/>
      <c r="Y257" s="320"/>
      <c r="Z257" s="124"/>
    </row>
    <row r="258" spans="1:26" s="54" customFormat="1" ht="18" customHeight="1">
      <c r="A258" s="1028"/>
      <c r="B258" s="1031"/>
      <c r="C258" s="1039"/>
      <c r="D258" s="773" t="s">
        <v>448</v>
      </c>
      <c r="E258" s="881" t="s">
        <v>449</v>
      </c>
      <c r="F258" s="948" t="s">
        <v>653</v>
      </c>
      <c r="G258" s="900" t="s">
        <v>695</v>
      </c>
      <c r="H258" s="408" t="s">
        <v>696</v>
      </c>
      <c r="I258" s="412" t="s">
        <v>695</v>
      </c>
      <c r="J258" s="383">
        <v>8</v>
      </c>
      <c r="K258" s="387">
        <v>2.4</v>
      </c>
      <c r="L258" s="413" t="s">
        <v>320</v>
      </c>
      <c r="M258" s="414" t="s">
        <v>429</v>
      </c>
      <c r="N258" s="572">
        <f t="shared" si="15"/>
        <v>1.56</v>
      </c>
      <c r="O258" s="762">
        <v>0.46</v>
      </c>
      <c r="P258" s="732">
        <v>1.1</v>
      </c>
      <c r="Q258" s="467">
        <v>0.019</v>
      </c>
      <c r="R258" s="611"/>
      <c r="S258" s="611"/>
      <c r="T258" s="439"/>
      <c r="U258" s="503"/>
      <c r="V258" s="503"/>
      <c r="W258" s="503"/>
      <c r="X258" s="317"/>
      <c r="Y258" s="320"/>
      <c r="Z258" s="124"/>
    </row>
    <row r="259" spans="1:26" s="54" customFormat="1" ht="18" customHeight="1">
      <c r="A259" s="1028"/>
      <c r="B259" s="1031"/>
      <c r="C259" s="1039"/>
      <c r="D259" s="779" t="s">
        <v>448</v>
      </c>
      <c r="E259" s="890" t="s">
        <v>449</v>
      </c>
      <c r="F259" s="637" t="s">
        <v>653</v>
      </c>
      <c r="G259" s="812" t="s">
        <v>697</v>
      </c>
      <c r="H259" s="408" t="s">
        <v>698</v>
      </c>
      <c r="I259" s="412" t="s">
        <v>697</v>
      </c>
      <c r="J259" s="383">
        <v>11</v>
      </c>
      <c r="K259" s="387">
        <v>2.7</v>
      </c>
      <c r="L259" s="413" t="s">
        <v>380</v>
      </c>
      <c r="M259" s="414" t="s">
        <v>429</v>
      </c>
      <c r="N259" s="572">
        <f t="shared" si="15"/>
        <v>2.48</v>
      </c>
      <c r="O259" s="762">
        <v>0.78</v>
      </c>
      <c r="P259" s="732">
        <v>1.7</v>
      </c>
      <c r="Q259" s="467">
        <v>0.024</v>
      </c>
      <c r="R259" s="611"/>
      <c r="S259" s="611"/>
      <c r="T259" s="439"/>
      <c r="U259" s="503"/>
      <c r="V259" s="503"/>
      <c r="W259" s="503"/>
      <c r="X259" s="317"/>
      <c r="Y259" s="320"/>
      <c r="Z259" s="124"/>
    </row>
    <row r="260" spans="1:26" s="54" customFormat="1" ht="18" customHeight="1">
      <c r="A260" s="1028"/>
      <c r="B260" s="1031"/>
      <c r="C260" s="1039"/>
      <c r="D260" s="799" t="s">
        <v>448</v>
      </c>
      <c r="E260" s="904" t="s">
        <v>449</v>
      </c>
      <c r="F260" s="638" t="s">
        <v>653</v>
      </c>
      <c r="G260" s="858" t="s">
        <v>699</v>
      </c>
      <c r="H260" s="606" t="s">
        <v>700</v>
      </c>
      <c r="I260" s="466" t="s">
        <v>428</v>
      </c>
      <c r="J260" s="380">
        <v>5</v>
      </c>
      <c r="K260" s="418">
        <v>1.1</v>
      </c>
      <c r="L260" s="419" t="s">
        <v>351</v>
      </c>
      <c r="M260" s="420" t="s">
        <v>429</v>
      </c>
      <c r="N260" s="666">
        <f t="shared" si="15"/>
        <v>7</v>
      </c>
      <c r="O260" s="859">
        <v>2.1</v>
      </c>
      <c r="P260" s="860">
        <v>4.9</v>
      </c>
      <c r="Q260" s="20" t="s">
        <v>510</v>
      </c>
      <c r="R260" s="611"/>
      <c r="S260" s="611"/>
      <c r="T260" s="439"/>
      <c r="U260" s="503"/>
      <c r="V260" s="503"/>
      <c r="W260" s="503"/>
      <c r="X260" s="317"/>
      <c r="Y260" s="320"/>
      <c r="Z260" s="124"/>
    </row>
    <row r="261" spans="1:26" s="54" customFormat="1" ht="18" customHeight="1">
      <c r="A261" s="1028"/>
      <c r="B261" s="1031"/>
      <c r="C261" s="1039"/>
      <c r="D261" s="779" t="s">
        <v>448</v>
      </c>
      <c r="E261" s="890" t="s">
        <v>449</v>
      </c>
      <c r="F261" s="637" t="s">
        <v>701</v>
      </c>
      <c r="G261" s="901" t="s">
        <v>702</v>
      </c>
      <c r="H261" s="408" t="s">
        <v>703</v>
      </c>
      <c r="I261" s="412" t="s">
        <v>702</v>
      </c>
      <c r="J261" s="383">
        <v>6</v>
      </c>
      <c r="K261" s="387">
        <v>2.5</v>
      </c>
      <c r="L261" s="413" t="s">
        <v>363</v>
      </c>
      <c r="M261" s="414" t="s">
        <v>349</v>
      </c>
      <c r="N261" s="572">
        <f t="shared" si="15"/>
        <v>1.71</v>
      </c>
      <c r="O261" s="762">
        <v>0.51</v>
      </c>
      <c r="P261" s="732">
        <v>1.2</v>
      </c>
      <c r="Q261" s="467">
        <v>0.015</v>
      </c>
      <c r="R261" s="611"/>
      <c r="S261" s="611"/>
      <c r="T261" s="442"/>
      <c r="U261" s="439"/>
      <c r="V261" s="652"/>
      <c r="W261" s="442"/>
      <c r="X261" s="317"/>
      <c r="Y261" s="320"/>
      <c r="Z261" s="124"/>
    </row>
    <row r="262" spans="1:26" s="54" customFormat="1" ht="18" customHeight="1">
      <c r="A262" s="1029"/>
      <c r="B262" s="1032"/>
      <c r="C262" s="1040"/>
      <c r="D262" s="781" t="s">
        <v>448</v>
      </c>
      <c r="E262" s="891" t="s">
        <v>449</v>
      </c>
      <c r="F262" s="949" t="s">
        <v>554</v>
      </c>
      <c r="G262" s="950" t="s">
        <v>704</v>
      </c>
      <c r="H262" s="423" t="s">
        <v>705</v>
      </c>
      <c r="I262" s="559" t="s">
        <v>706</v>
      </c>
      <c r="J262" s="424">
        <v>8</v>
      </c>
      <c r="K262" s="425">
        <v>1.7</v>
      </c>
      <c r="L262" s="521" t="s">
        <v>383</v>
      </c>
      <c r="M262" s="428" t="s">
        <v>318</v>
      </c>
      <c r="N262" s="596">
        <f t="shared" si="15"/>
        <v>2.23</v>
      </c>
      <c r="O262" s="763">
        <v>0.73</v>
      </c>
      <c r="P262" s="758">
        <v>1.5</v>
      </c>
      <c r="Q262" s="610" t="s">
        <v>538</v>
      </c>
      <c r="R262" s="611"/>
      <c r="S262" s="611"/>
      <c r="T262" s="442"/>
      <c r="U262" s="439"/>
      <c r="V262" s="652"/>
      <c r="W262" s="442"/>
      <c r="X262" s="317"/>
      <c r="Y262" s="320"/>
      <c r="Z262" s="124"/>
    </row>
    <row r="263" spans="1:26" s="54" customFormat="1" ht="18" customHeight="1">
      <c r="A263" s="522"/>
      <c r="B263" s="430"/>
      <c r="C263" s="503"/>
      <c r="D263" s="429"/>
      <c r="E263" s="429"/>
      <c r="F263" s="432"/>
      <c r="G263" s="433"/>
      <c r="H263" s="434"/>
      <c r="I263" s="435"/>
      <c r="J263" s="436"/>
      <c r="K263" s="600"/>
      <c r="L263" s="601"/>
      <c r="M263" s="439"/>
      <c r="N263" s="441"/>
      <c r="O263" s="441"/>
      <c r="P263" s="601"/>
      <c r="Q263" s="439"/>
      <c r="R263" s="441"/>
      <c r="S263" s="441"/>
      <c r="T263" s="602"/>
      <c r="U263" s="439"/>
      <c r="V263" s="602"/>
      <c r="W263" s="602"/>
      <c r="X263" s="52"/>
      <c r="Y263" s="320"/>
      <c r="Z263" s="124"/>
    </row>
    <row r="264" spans="1:17" s="54" customFormat="1" ht="18" customHeight="1">
      <c r="A264" s="1033" t="s">
        <v>1</v>
      </c>
      <c r="B264" s="1034"/>
      <c r="C264" s="1037" t="s">
        <v>291</v>
      </c>
      <c r="D264" s="1021" t="s">
        <v>430</v>
      </c>
      <c r="E264" s="1025" t="s">
        <v>431</v>
      </c>
      <c r="F264" s="1025" t="s">
        <v>432</v>
      </c>
      <c r="G264" s="1023" t="s">
        <v>433</v>
      </c>
      <c r="H264" s="983" t="s">
        <v>434</v>
      </c>
      <c r="I264" s="983" t="s">
        <v>435</v>
      </c>
      <c r="J264" s="1086" t="s">
        <v>292</v>
      </c>
      <c r="K264" s="1073" t="s">
        <v>293</v>
      </c>
      <c r="L264" s="1088" t="s">
        <v>436</v>
      </c>
      <c r="M264" s="1089"/>
      <c r="N264" s="1083" t="s">
        <v>295</v>
      </c>
      <c r="O264" s="1084"/>
      <c r="P264" s="1085"/>
      <c r="Q264" s="1030" t="s">
        <v>437</v>
      </c>
    </row>
    <row r="265" spans="1:20" s="54" customFormat="1" ht="18" customHeight="1">
      <c r="A265" s="1035"/>
      <c r="B265" s="1036"/>
      <c r="C265" s="1038"/>
      <c r="D265" s="1022"/>
      <c r="E265" s="1026"/>
      <c r="F265" s="1026"/>
      <c r="G265" s="1024"/>
      <c r="H265" s="1032"/>
      <c r="I265" s="1032"/>
      <c r="J265" s="1087"/>
      <c r="K265" s="1074"/>
      <c r="L265" s="612" t="s">
        <v>294</v>
      </c>
      <c r="M265" s="319" t="s">
        <v>296</v>
      </c>
      <c r="N265" s="613" t="s">
        <v>297</v>
      </c>
      <c r="O265" s="614" t="s">
        <v>438</v>
      </c>
      <c r="P265" s="615" t="s">
        <v>439</v>
      </c>
      <c r="Q265" s="1103"/>
      <c r="S265" s="439"/>
      <c r="T265" s="439"/>
    </row>
    <row r="266" spans="1:26" s="54" customFormat="1" ht="18" customHeight="1">
      <c r="A266" s="1052" t="s">
        <v>417</v>
      </c>
      <c r="B266" s="1054" t="s">
        <v>494</v>
      </c>
      <c r="C266" s="1055">
        <v>41521</v>
      </c>
      <c r="D266" s="951" t="s">
        <v>471</v>
      </c>
      <c r="E266" s="952" t="s">
        <v>472</v>
      </c>
      <c r="F266" s="952" t="s">
        <v>707</v>
      </c>
      <c r="G266" s="953" t="s">
        <v>707</v>
      </c>
      <c r="H266" s="459" t="s">
        <v>708</v>
      </c>
      <c r="I266" s="460" t="s">
        <v>709</v>
      </c>
      <c r="J266" s="474" t="s">
        <v>175</v>
      </c>
      <c r="K266" s="476">
        <f>511.8/1000</f>
        <v>0.5118</v>
      </c>
      <c r="L266" s="463" t="s">
        <v>175</v>
      </c>
      <c r="M266" s="465" t="s">
        <v>175</v>
      </c>
      <c r="N266" s="603">
        <f>SUM(O266,P266)</f>
        <v>0.53</v>
      </c>
      <c r="O266" s="751" t="s">
        <v>710</v>
      </c>
      <c r="P266" s="747">
        <v>0.53</v>
      </c>
      <c r="Q266" s="327" t="s">
        <v>607</v>
      </c>
      <c r="R266" s="651"/>
      <c r="S266" s="651"/>
      <c r="T266" s="1046"/>
      <c r="U266" s="1047"/>
      <c r="V266" s="1047"/>
      <c r="W266" s="1047"/>
      <c r="X266" s="616"/>
      <c r="Y266" s="320"/>
      <c r="Z266" s="124"/>
    </row>
    <row r="267" spans="1:26" s="54" customFormat="1" ht="18" customHeight="1">
      <c r="A267" s="1052"/>
      <c r="B267" s="1031"/>
      <c r="C267" s="972"/>
      <c r="D267" s="800" t="s">
        <v>473</v>
      </c>
      <c r="E267" s="945" t="s">
        <v>458</v>
      </c>
      <c r="F267" s="923" t="s">
        <v>595</v>
      </c>
      <c r="G267" s="954" t="s">
        <v>711</v>
      </c>
      <c r="H267" s="459" t="s">
        <v>712</v>
      </c>
      <c r="I267" s="460" t="s">
        <v>418</v>
      </c>
      <c r="J267" s="474" t="s">
        <v>175</v>
      </c>
      <c r="K267" s="476">
        <f>314.3/1000</f>
        <v>0.3143</v>
      </c>
      <c r="L267" s="463" t="s">
        <v>175</v>
      </c>
      <c r="M267" s="465" t="s">
        <v>175</v>
      </c>
      <c r="N267" s="604" t="s">
        <v>675</v>
      </c>
      <c r="O267" s="744" t="s">
        <v>713</v>
      </c>
      <c r="P267" s="748" t="s">
        <v>714</v>
      </c>
      <c r="Q267" s="465" t="s">
        <v>600</v>
      </c>
      <c r="R267" s="619"/>
      <c r="S267" s="651"/>
      <c r="T267" s="1046"/>
      <c r="U267" s="1047"/>
      <c r="V267" s="1047"/>
      <c r="W267" s="1047"/>
      <c r="X267" s="616"/>
      <c r="Y267" s="320"/>
      <c r="Z267" s="124"/>
    </row>
    <row r="268" spans="1:26" s="54" customFormat="1" ht="18" customHeight="1">
      <c r="A268" s="1052"/>
      <c r="B268" s="1031"/>
      <c r="C268" s="972"/>
      <c r="D268" s="773" t="s">
        <v>461</v>
      </c>
      <c r="E268" s="881" t="s">
        <v>443</v>
      </c>
      <c r="F268" s="881" t="s">
        <v>444</v>
      </c>
      <c r="G268" s="900" t="s">
        <v>717</v>
      </c>
      <c r="H268" s="606" t="s">
        <v>718</v>
      </c>
      <c r="I268" s="466" t="s">
        <v>421</v>
      </c>
      <c r="J268" s="383">
        <v>60</v>
      </c>
      <c r="K268" s="527">
        <f>102.5/1000</f>
        <v>0.1025</v>
      </c>
      <c r="L268" s="388" t="s">
        <v>313</v>
      </c>
      <c r="M268" s="24" t="s">
        <v>175</v>
      </c>
      <c r="N268" s="605">
        <f>SUM(O268,P268)</f>
        <v>6.699999999999999</v>
      </c>
      <c r="O268" s="745">
        <v>2.1</v>
      </c>
      <c r="P268" s="740">
        <v>4.6</v>
      </c>
      <c r="Q268" s="33" t="s">
        <v>532</v>
      </c>
      <c r="R268" s="303"/>
      <c r="S268" s="502"/>
      <c r="T268" s="48"/>
      <c r="U268" s="304"/>
      <c r="V268" s="304"/>
      <c r="W268" s="304"/>
      <c r="X268" s="48"/>
      <c r="Y268" s="320"/>
      <c r="Z268" s="124"/>
    </row>
    <row r="269" spans="1:26" s="54" customFormat="1" ht="18" customHeight="1">
      <c r="A269" s="1052"/>
      <c r="B269" s="1031"/>
      <c r="C269" s="972"/>
      <c r="D269" s="773" t="s">
        <v>461</v>
      </c>
      <c r="E269" s="881" t="s">
        <v>443</v>
      </c>
      <c r="F269" s="881" t="s">
        <v>444</v>
      </c>
      <c r="G269" s="636" t="s">
        <v>668</v>
      </c>
      <c r="H269" s="408" t="s">
        <v>719</v>
      </c>
      <c r="I269" s="412" t="s">
        <v>420</v>
      </c>
      <c r="J269" s="383">
        <v>97</v>
      </c>
      <c r="K269" s="526">
        <f>68/1000</f>
        <v>0.068</v>
      </c>
      <c r="L269" s="388" t="s">
        <v>313</v>
      </c>
      <c r="M269" s="24" t="s">
        <v>175</v>
      </c>
      <c r="N269" s="605">
        <f aca="true" t="shared" si="16" ref="N269:N278">SUM(O269,P269)</f>
        <v>4.6</v>
      </c>
      <c r="O269" s="745">
        <v>1.5</v>
      </c>
      <c r="P269" s="740">
        <v>3.1</v>
      </c>
      <c r="Q269" s="33" t="s">
        <v>532</v>
      </c>
      <c r="R269" s="441"/>
      <c r="S269" s="441"/>
      <c r="T269" s="1044"/>
      <c r="U269" s="1045"/>
      <c r="V269" s="1045"/>
      <c r="W269" s="1045"/>
      <c r="X269" s="439"/>
      <c r="Y269" s="320"/>
      <c r="Z269" s="124"/>
    </row>
    <row r="270" spans="1:26" s="54" customFormat="1" ht="18" customHeight="1">
      <c r="A270" s="1052"/>
      <c r="B270" s="1031"/>
      <c r="C270" s="972"/>
      <c r="D270" s="779" t="s">
        <v>461</v>
      </c>
      <c r="E270" s="890" t="s">
        <v>443</v>
      </c>
      <c r="F270" s="890" t="s">
        <v>444</v>
      </c>
      <c r="G270" s="901" t="s">
        <v>689</v>
      </c>
      <c r="H270" s="408" t="s">
        <v>720</v>
      </c>
      <c r="I270" s="412" t="s">
        <v>721</v>
      </c>
      <c r="J270" s="383">
        <v>20</v>
      </c>
      <c r="K270" s="527">
        <f>879.6/1000</f>
        <v>0.8796</v>
      </c>
      <c r="L270" s="388" t="s">
        <v>313</v>
      </c>
      <c r="M270" s="24" t="s">
        <v>175</v>
      </c>
      <c r="N270" s="605">
        <f t="shared" si="16"/>
        <v>5.2</v>
      </c>
      <c r="O270" s="745">
        <v>1.6</v>
      </c>
      <c r="P270" s="740">
        <v>3.6</v>
      </c>
      <c r="Q270" s="33" t="s">
        <v>532</v>
      </c>
      <c r="R270" s="441"/>
      <c r="S270" s="441"/>
      <c r="T270" s="1044"/>
      <c r="U270" s="1045"/>
      <c r="V270" s="1045"/>
      <c r="W270" s="1045"/>
      <c r="X270" s="439"/>
      <c r="Y270" s="320"/>
      <c r="Z270" s="124"/>
    </row>
    <row r="271" spans="1:26" s="54" customFormat="1" ht="18" customHeight="1">
      <c r="A271" s="1052"/>
      <c r="B271" s="1031"/>
      <c r="C271" s="972"/>
      <c r="D271" s="779" t="s">
        <v>474</v>
      </c>
      <c r="E271" s="890" t="s">
        <v>475</v>
      </c>
      <c r="F271" s="955" t="s">
        <v>600</v>
      </c>
      <c r="G271" s="956" t="s">
        <v>600</v>
      </c>
      <c r="H271" s="409" t="s">
        <v>715</v>
      </c>
      <c r="I271" s="409" t="s">
        <v>419</v>
      </c>
      <c r="J271" s="337">
        <v>241</v>
      </c>
      <c r="K271" s="338">
        <f>20.1/1000</f>
        <v>0.0201</v>
      </c>
      <c r="L271" s="339" t="s">
        <v>313</v>
      </c>
      <c r="M271" s="33" t="s">
        <v>175</v>
      </c>
      <c r="N271" s="605">
        <f>SUM(O271,P271)</f>
        <v>6.9</v>
      </c>
      <c r="O271" s="752" t="s">
        <v>716</v>
      </c>
      <c r="P271" s="749">
        <v>6.9</v>
      </c>
      <c r="Q271" s="33" t="s">
        <v>532</v>
      </c>
      <c r="R271" s="441"/>
      <c r="S271" s="441"/>
      <c r="T271" s="439"/>
      <c r="U271" s="503"/>
      <c r="V271" s="503"/>
      <c r="W271" s="503"/>
      <c r="X271" s="439"/>
      <c r="Y271" s="320"/>
      <c r="Z271" s="124"/>
    </row>
    <row r="272" spans="1:26" s="54" customFormat="1" ht="18" customHeight="1">
      <c r="A272" s="1052"/>
      <c r="B272" s="1031"/>
      <c r="C272" s="972"/>
      <c r="D272" s="773" t="s">
        <v>463</v>
      </c>
      <c r="E272" s="881" t="s">
        <v>476</v>
      </c>
      <c r="F272" s="881" t="s">
        <v>722</v>
      </c>
      <c r="G272" s="943" t="s">
        <v>723</v>
      </c>
      <c r="H272" s="1048" t="s">
        <v>724</v>
      </c>
      <c r="I272" s="412" t="s">
        <v>422</v>
      </c>
      <c r="J272" s="1050">
        <v>43</v>
      </c>
      <c r="K272" s="607">
        <f>2632.7/1000</f>
        <v>2.6327</v>
      </c>
      <c r="L272" s="1180" t="s">
        <v>339</v>
      </c>
      <c r="M272" s="24" t="s">
        <v>175</v>
      </c>
      <c r="N272" s="605">
        <f t="shared" si="16"/>
        <v>6</v>
      </c>
      <c r="O272" s="745">
        <v>1.9</v>
      </c>
      <c r="P272" s="740">
        <v>4.1</v>
      </c>
      <c r="Q272" s="33" t="s">
        <v>532</v>
      </c>
      <c r="R272" s="441"/>
      <c r="S272" s="441"/>
      <c r="T272" s="1044"/>
      <c r="U272" s="1045"/>
      <c r="V272" s="1045"/>
      <c r="W272" s="1045"/>
      <c r="X272" s="439"/>
      <c r="Y272" s="320"/>
      <c r="Z272" s="124"/>
    </row>
    <row r="273" spans="1:26" s="54" customFormat="1" ht="18" customHeight="1">
      <c r="A273" s="1052"/>
      <c r="B273" s="1031"/>
      <c r="C273" s="972"/>
      <c r="D273" s="778" t="s">
        <v>463</v>
      </c>
      <c r="E273" s="637" t="s">
        <v>476</v>
      </c>
      <c r="F273" s="890" t="s">
        <v>722</v>
      </c>
      <c r="G273" s="882" t="s">
        <v>723</v>
      </c>
      <c r="H273" s="1049"/>
      <c r="I273" s="412" t="s">
        <v>423</v>
      </c>
      <c r="J273" s="1051"/>
      <c r="K273" s="216">
        <f>804.2/1000</f>
        <v>0.8042</v>
      </c>
      <c r="L273" s="1181"/>
      <c r="M273" s="24" t="s">
        <v>175</v>
      </c>
      <c r="N273" s="605">
        <f t="shared" si="16"/>
        <v>2.31</v>
      </c>
      <c r="O273" s="753">
        <v>0.71</v>
      </c>
      <c r="P273" s="740">
        <v>1.6</v>
      </c>
      <c r="Q273" s="33" t="s">
        <v>538</v>
      </c>
      <c r="R273" s="441"/>
      <c r="S273" s="441"/>
      <c r="T273" s="1044"/>
      <c r="U273" s="1045"/>
      <c r="V273" s="1045"/>
      <c r="W273" s="1045"/>
      <c r="X273" s="439"/>
      <c r="Y273" s="320"/>
      <c r="Z273" s="124"/>
    </row>
    <row r="274" spans="1:26" s="54" customFormat="1" ht="18" customHeight="1">
      <c r="A274" s="1052"/>
      <c r="B274" s="1031"/>
      <c r="C274" s="972"/>
      <c r="D274" s="794" t="s">
        <v>463</v>
      </c>
      <c r="E274" s="902" t="s">
        <v>476</v>
      </c>
      <c r="F274" s="942" t="s">
        <v>725</v>
      </c>
      <c r="G274" s="903" t="s">
        <v>725</v>
      </c>
      <c r="H274" s="1048" t="s">
        <v>726</v>
      </c>
      <c r="I274" s="412" t="s">
        <v>424</v>
      </c>
      <c r="J274" s="1050">
        <v>64</v>
      </c>
      <c r="K274" s="224">
        <f>1038.5/1000</f>
        <v>1.0385</v>
      </c>
      <c r="L274" s="1180" t="s">
        <v>339</v>
      </c>
      <c r="M274" s="24" t="s">
        <v>175</v>
      </c>
      <c r="N274" s="605">
        <f t="shared" si="16"/>
        <v>1.56</v>
      </c>
      <c r="O274" s="753">
        <v>0.46</v>
      </c>
      <c r="P274" s="740">
        <v>1.1</v>
      </c>
      <c r="Q274" s="33" t="s">
        <v>532</v>
      </c>
      <c r="R274" s="442"/>
      <c r="S274" s="441"/>
      <c r="T274" s="1044"/>
      <c r="U274" s="1045"/>
      <c r="V274" s="1045"/>
      <c r="W274" s="1045"/>
      <c r="X274" s="439"/>
      <c r="Y274" s="320"/>
      <c r="Z274" s="124"/>
    </row>
    <row r="275" spans="1:26" s="54" customFormat="1" ht="18" customHeight="1">
      <c r="A275" s="1052"/>
      <c r="B275" s="1031"/>
      <c r="C275" s="972"/>
      <c r="D275" s="794" t="s">
        <v>463</v>
      </c>
      <c r="E275" s="902" t="s">
        <v>476</v>
      </c>
      <c r="F275" s="942" t="s">
        <v>725</v>
      </c>
      <c r="G275" s="903" t="s">
        <v>725</v>
      </c>
      <c r="H275" s="1049"/>
      <c r="I275" s="412" t="s">
        <v>425</v>
      </c>
      <c r="J275" s="1051"/>
      <c r="K275" s="216">
        <f>475.2/1000</f>
        <v>0.4752</v>
      </c>
      <c r="L275" s="1181"/>
      <c r="M275" s="24" t="s">
        <v>175</v>
      </c>
      <c r="N275" s="605">
        <f t="shared" si="16"/>
        <v>2.37</v>
      </c>
      <c r="O275" s="753">
        <v>0.77</v>
      </c>
      <c r="P275" s="740">
        <v>1.6</v>
      </c>
      <c r="Q275" s="33" t="s">
        <v>538</v>
      </c>
      <c r="R275" s="441"/>
      <c r="S275" s="441"/>
      <c r="T275" s="1044"/>
      <c r="U275" s="1045"/>
      <c r="V275" s="1045"/>
      <c r="W275" s="1045"/>
      <c r="X275" s="439"/>
      <c r="Y275" s="320"/>
      <c r="Z275" s="124"/>
    </row>
    <row r="276" spans="1:26" s="54" customFormat="1" ht="18" customHeight="1">
      <c r="A276" s="1052"/>
      <c r="B276" s="1031"/>
      <c r="C276" s="972"/>
      <c r="D276" s="779" t="s">
        <v>448</v>
      </c>
      <c r="E276" s="890" t="s">
        <v>449</v>
      </c>
      <c r="F276" s="637" t="s">
        <v>701</v>
      </c>
      <c r="G276" s="901" t="s">
        <v>701</v>
      </c>
      <c r="H276" s="514" t="s">
        <v>727</v>
      </c>
      <c r="I276" s="514" t="s">
        <v>728</v>
      </c>
      <c r="J276" s="515">
        <v>9</v>
      </c>
      <c r="K276" s="570">
        <f>26.3/1000</f>
        <v>0.0263</v>
      </c>
      <c r="L276" s="571" t="s">
        <v>427</v>
      </c>
      <c r="M276" s="24" t="s">
        <v>175</v>
      </c>
      <c r="N276" s="605">
        <f>SUM(O276,P276)</f>
        <v>4.6</v>
      </c>
      <c r="O276" s="745">
        <v>1.4</v>
      </c>
      <c r="P276" s="740">
        <v>3.2</v>
      </c>
      <c r="Q276" s="33" t="s">
        <v>560</v>
      </c>
      <c r="R276" s="441"/>
      <c r="S276" s="441"/>
      <c r="T276" s="439"/>
      <c r="U276" s="503"/>
      <c r="V276" s="503"/>
      <c r="W276" s="503"/>
      <c r="X276" s="439"/>
      <c r="Y276" s="320"/>
      <c r="Z276" s="124"/>
    </row>
    <row r="277" spans="1:26" s="54" customFormat="1" ht="18" customHeight="1">
      <c r="A277" s="1052"/>
      <c r="B277" s="1031"/>
      <c r="C277" s="972"/>
      <c r="D277" s="806" t="s">
        <v>448</v>
      </c>
      <c r="E277" s="637" t="s">
        <v>449</v>
      </c>
      <c r="F277" s="637" t="s">
        <v>554</v>
      </c>
      <c r="G277" s="812" t="s">
        <v>587</v>
      </c>
      <c r="H277" s="412" t="s">
        <v>729</v>
      </c>
      <c r="I277" s="412" t="s">
        <v>426</v>
      </c>
      <c r="J277" s="383">
        <v>43</v>
      </c>
      <c r="K277" s="527">
        <f>156.6/1000</f>
        <v>0.1566</v>
      </c>
      <c r="L277" s="388" t="s">
        <v>427</v>
      </c>
      <c r="M277" s="24" t="s">
        <v>175</v>
      </c>
      <c r="N277" s="605">
        <f t="shared" si="16"/>
        <v>5.3</v>
      </c>
      <c r="O277" s="745">
        <v>1.7</v>
      </c>
      <c r="P277" s="740">
        <v>3.6</v>
      </c>
      <c r="Q277" s="33" t="s">
        <v>560</v>
      </c>
      <c r="R277" s="441"/>
      <c r="S277" s="441"/>
      <c r="T277" s="1044"/>
      <c r="U277" s="1045"/>
      <c r="V277" s="1045"/>
      <c r="W277" s="1045"/>
      <c r="X277" s="439"/>
      <c r="Y277" s="320"/>
      <c r="Z277" s="124"/>
    </row>
    <row r="278" spans="1:26" s="54" customFormat="1" ht="18" customHeight="1">
      <c r="A278" s="1053"/>
      <c r="B278" s="1032"/>
      <c r="C278" s="973"/>
      <c r="D278" s="781" t="s">
        <v>448</v>
      </c>
      <c r="E278" s="891" t="s">
        <v>449</v>
      </c>
      <c r="F278" s="813" t="s">
        <v>730</v>
      </c>
      <c r="G278" s="657" t="s">
        <v>730</v>
      </c>
      <c r="H278" s="423" t="s">
        <v>731</v>
      </c>
      <c r="I278" s="559" t="s">
        <v>732</v>
      </c>
      <c r="J278" s="424">
        <v>1</v>
      </c>
      <c r="K278" s="608">
        <f>396.6/1000</f>
        <v>0.3966</v>
      </c>
      <c r="L278" s="521" t="s">
        <v>320</v>
      </c>
      <c r="M278" s="610" t="s">
        <v>175</v>
      </c>
      <c r="N278" s="609">
        <f t="shared" si="16"/>
        <v>5</v>
      </c>
      <c r="O278" s="754">
        <v>1.4</v>
      </c>
      <c r="P278" s="750">
        <v>3.6</v>
      </c>
      <c r="Q278" s="34" t="s">
        <v>551</v>
      </c>
      <c r="R278" s="303"/>
      <c r="S278" s="303"/>
      <c r="T278" s="1044"/>
      <c r="U278" s="1045"/>
      <c r="V278" s="1045"/>
      <c r="W278" s="1045"/>
      <c r="X278" s="439"/>
      <c r="Y278" s="320"/>
      <c r="Z278" s="124"/>
    </row>
    <row r="279" spans="2:26" s="541" customFormat="1" ht="18" customHeight="1">
      <c r="B279" s="443"/>
      <c r="C279" s="542"/>
      <c r="D279" s="543"/>
      <c r="E279" s="544"/>
      <c r="F279" s="544"/>
      <c r="G279" s="544"/>
      <c r="H279" s="545"/>
      <c r="J279" s="546"/>
      <c r="K279" s="547"/>
      <c r="L279" s="548"/>
      <c r="M279" s="549"/>
      <c r="N279" s="550"/>
      <c r="O279" s="550"/>
      <c r="P279" s="548"/>
      <c r="Q279" s="549"/>
      <c r="R279" s="550"/>
      <c r="S279" s="550"/>
      <c r="U279" s="549"/>
      <c r="Y279" s="539"/>
      <c r="Z279" s="540"/>
    </row>
    <row r="280" spans="1:17" s="54" customFormat="1" ht="18" customHeight="1">
      <c r="A280" s="1033" t="s">
        <v>1</v>
      </c>
      <c r="B280" s="1034"/>
      <c r="C280" s="1037" t="s">
        <v>291</v>
      </c>
      <c r="D280" s="1021" t="s">
        <v>430</v>
      </c>
      <c r="E280" s="1025" t="s">
        <v>431</v>
      </c>
      <c r="F280" s="1025" t="s">
        <v>432</v>
      </c>
      <c r="G280" s="1023" t="s">
        <v>433</v>
      </c>
      <c r="H280" s="983" t="s">
        <v>434</v>
      </c>
      <c r="I280" s="983" t="s">
        <v>435</v>
      </c>
      <c r="J280" s="1086" t="s">
        <v>292</v>
      </c>
      <c r="K280" s="1073" t="s">
        <v>293</v>
      </c>
      <c r="L280" s="1088" t="s">
        <v>436</v>
      </c>
      <c r="M280" s="1089"/>
      <c r="N280" s="1083" t="s">
        <v>295</v>
      </c>
      <c r="O280" s="1084"/>
      <c r="P280" s="1085"/>
      <c r="Q280" s="1030" t="s">
        <v>437</v>
      </c>
    </row>
    <row r="281" spans="1:20" s="54" customFormat="1" ht="18" customHeight="1">
      <c r="A281" s="1035"/>
      <c r="B281" s="1036"/>
      <c r="C281" s="1038"/>
      <c r="D281" s="1022"/>
      <c r="E281" s="1026"/>
      <c r="F281" s="1026"/>
      <c r="G281" s="1024"/>
      <c r="H281" s="1032"/>
      <c r="I281" s="1032"/>
      <c r="J281" s="1087"/>
      <c r="K281" s="1074"/>
      <c r="L281" s="612" t="s">
        <v>294</v>
      </c>
      <c r="M281" s="319" t="s">
        <v>296</v>
      </c>
      <c r="N281" s="613" t="s">
        <v>297</v>
      </c>
      <c r="O281" s="614" t="s">
        <v>438</v>
      </c>
      <c r="P281" s="615" t="s">
        <v>439</v>
      </c>
      <c r="Q281" s="1103"/>
      <c r="S281" s="439"/>
      <c r="T281" s="439"/>
    </row>
    <row r="282" spans="1:26" s="54" customFormat="1" ht="18" customHeight="1">
      <c r="A282" s="1041" t="s">
        <v>411</v>
      </c>
      <c r="B282" s="1030" t="s">
        <v>496</v>
      </c>
      <c r="C282" s="1037">
        <v>41528</v>
      </c>
      <c r="D282" s="796" t="s">
        <v>467</v>
      </c>
      <c r="E282" s="641" t="s">
        <v>733</v>
      </c>
      <c r="F282" s="797" t="s">
        <v>734</v>
      </c>
      <c r="G282" s="798" t="s">
        <v>734</v>
      </c>
      <c r="H282" s="402" t="s">
        <v>735</v>
      </c>
      <c r="I282" s="403" t="s">
        <v>736</v>
      </c>
      <c r="J282" s="404">
        <v>35</v>
      </c>
      <c r="K282" s="599">
        <f>1300/1000</f>
        <v>1.3</v>
      </c>
      <c r="L282" s="406" t="s">
        <v>313</v>
      </c>
      <c r="M282" s="21" t="s">
        <v>175</v>
      </c>
      <c r="N282" s="825">
        <f aca="true" t="shared" si="17" ref="N282:N289">SUM(O282,P282)</f>
        <v>22.9</v>
      </c>
      <c r="O282" s="271">
        <v>6.9</v>
      </c>
      <c r="P282" s="407">
        <v>16</v>
      </c>
      <c r="Q282" s="599">
        <v>6</v>
      </c>
      <c r="R282" s="626"/>
      <c r="S282" s="626"/>
      <c r="T282" s="48"/>
      <c r="U282" s="305"/>
      <c r="V282" s="305"/>
      <c r="W282" s="305"/>
      <c r="X282" s="48"/>
      <c r="Y282" s="320"/>
      <c r="Z282" s="124"/>
    </row>
    <row r="283" spans="1:26" s="54" customFormat="1" ht="18" customHeight="1">
      <c r="A283" s="1042"/>
      <c r="B283" s="972"/>
      <c r="C283" s="972"/>
      <c r="D283" s="773" t="s">
        <v>448</v>
      </c>
      <c r="E283" s="881" t="s">
        <v>449</v>
      </c>
      <c r="F283" s="317" t="s">
        <v>653</v>
      </c>
      <c r="G283" s="957" t="s">
        <v>695</v>
      </c>
      <c r="H283" s="408" t="s">
        <v>696</v>
      </c>
      <c r="I283" s="412" t="s">
        <v>695</v>
      </c>
      <c r="J283" s="383">
        <v>8</v>
      </c>
      <c r="K283" s="387">
        <v>4.7</v>
      </c>
      <c r="L283" s="413" t="s">
        <v>320</v>
      </c>
      <c r="M283" s="414" t="s">
        <v>415</v>
      </c>
      <c r="N283" s="411">
        <f t="shared" si="17"/>
        <v>28.9</v>
      </c>
      <c r="O283" s="314">
        <v>8.9</v>
      </c>
      <c r="P283" s="105">
        <v>20</v>
      </c>
      <c r="Q283" s="384">
        <v>0.16</v>
      </c>
      <c r="R283" s="303"/>
      <c r="S283" s="303"/>
      <c r="T283" s="48"/>
      <c r="U283" s="304"/>
      <c r="V283" s="304"/>
      <c r="W283" s="304"/>
      <c r="X283" s="48"/>
      <c r="Y283" s="320"/>
      <c r="Z283" s="124"/>
    </row>
    <row r="284" spans="1:26" s="54" customFormat="1" ht="18" customHeight="1">
      <c r="A284" s="1042"/>
      <c r="B284" s="972"/>
      <c r="C284" s="972"/>
      <c r="D284" s="779" t="s">
        <v>448</v>
      </c>
      <c r="E284" s="890" t="s">
        <v>449</v>
      </c>
      <c r="F284" s="637" t="s">
        <v>653</v>
      </c>
      <c r="G284" s="812" t="s">
        <v>697</v>
      </c>
      <c r="H284" s="408" t="s">
        <v>698</v>
      </c>
      <c r="I284" s="412" t="s">
        <v>697</v>
      </c>
      <c r="J284" s="383">
        <v>6</v>
      </c>
      <c r="K284" s="387">
        <v>1.3</v>
      </c>
      <c r="L284" s="413" t="s">
        <v>320</v>
      </c>
      <c r="M284" s="414" t="s">
        <v>416</v>
      </c>
      <c r="N284" s="572">
        <f>SUM(O284,P284)</f>
        <v>7.1000000000000005</v>
      </c>
      <c r="O284" s="314">
        <v>2.2</v>
      </c>
      <c r="P284" s="314">
        <v>4.9</v>
      </c>
      <c r="Q284" s="24" t="s">
        <v>175</v>
      </c>
      <c r="R284" s="303"/>
      <c r="S284" s="303"/>
      <c r="T284" s="48"/>
      <c r="U284" s="304"/>
      <c r="V284" s="304"/>
      <c r="W284" s="304"/>
      <c r="X284" s="48"/>
      <c r="Y284" s="320"/>
      <c r="Z284" s="124"/>
    </row>
    <row r="285" spans="1:26" s="54" customFormat="1" ht="18" customHeight="1">
      <c r="A285" s="1042"/>
      <c r="B285" s="972"/>
      <c r="C285" s="972"/>
      <c r="D285" s="799" t="s">
        <v>448</v>
      </c>
      <c r="E285" s="904" t="s">
        <v>449</v>
      </c>
      <c r="F285" s="882" t="s">
        <v>701</v>
      </c>
      <c r="G285" s="958" t="s">
        <v>701</v>
      </c>
      <c r="H285" s="408" t="s">
        <v>737</v>
      </c>
      <c r="I285" s="412" t="s">
        <v>738</v>
      </c>
      <c r="J285" s="383">
        <v>8</v>
      </c>
      <c r="K285" s="387">
        <v>4.8</v>
      </c>
      <c r="L285" s="388" t="s">
        <v>328</v>
      </c>
      <c r="M285" s="414" t="s">
        <v>318</v>
      </c>
      <c r="N285" s="411">
        <f>SUM(O285,P285)</f>
        <v>19.1</v>
      </c>
      <c r="O285" s="314">
        <v>6.1</v>
      </c>
      <c r="P285" s="105">
        <v>13</v>
      </c>
      <c r="Q285" s="384">
        <v>0.11</v>
      </c>
      <c r="R285" s="303"/>
      <c r="S285" s="303"/>
      <c r="T285" s="48"/>
      <c r="U285" s="304"/>
      <c r="V285" s="304"/>
      <c r="W285" s="304"/>
      <c r="X285" s="48"/>
      <c r="Y285" s="320"/>
      <c r="Z285" s="124"/>
    </row>
    <row r="286" spans="1:26" s="54" customFormat="1" ht="18" customHeight="1">
      <c r="A286" s="1042"/>
      <c r="B286" s="972"/>
      <c r="C286" s="972"/>
      <c r="D286" s="779" t="s">
        <v>448</v>
      </c>
      <c r="E286" s="890" t="s">
        <v>449</v>
      </c>
      <c r="F286" s="882" t="s">
        <v>701</v>
      </c>
      <c r="G286" s="958" t="s">
        <v>702</v>
      </c>
      <c r="H286" s="408" t="s">
        <v>703</v>
      </c>
      <c r="I286" s="412" t="s">
        <v>702</v>
      </c>
      <c r="J286" s="383">
        <v>5</v>
      </c>
      <c r="K286" s="387">
        <v>4.7</v>
      </c>
      <c r="L286" s="413" t="s">
        <v>363</v>
      </c>
      <c r="M286" s="414" t="s">
        <v>318</v>
      </c>
      <c r="N286" s="572">
        <f t="shared" si="17"/>
        <v>4.1</v>
      </c>
      <c r="O286" s="314">
        <v>1.5</v>
      </c>
      <c r="P286" s="314">
        <v>2.6</v>
      </c>
      <c r="Q286" s="467">
        <v>0.04</v>
      </c>
      <c r="R286" s="303"/>
      <c r="S286" s="303"/>
      <c r="T286" s="304"/>
      <c r="U286" s="304"/>
      <c r="V286" s="304"/>
      <c r="W286" s="304"/>
      <c r="X286" s="304"/>
      <c r="Y286" s="320"/>
      <c r="Z286" s="124"/>
    </row>
    <row r="287" spans="1:26" s="54" customFormat="1" ht="18" customHeight="1">
      <c r="A287" s="1042"/>
      <c r="B287" s="972"/>
      <c r="C287" s="972"/>
      <c r="D287" s="779" t="s">
        <v>448</v>
      </c>
      <c r="E287" s="890" t="s">
        <v>470</v>
      </c>
      <c r="F287" s="882" t="s">
        <v>739</v>
      </c>
      <c r="G287" s="958" t="s">
        <v>739</v>
      </c>
      <c r="H287" s="408" t="s">
        <v>740</v>
      </c>
      <c r="I287" s="412" t="s">
        <v>741</v>
      </c>
      <c r="J287" s="383">
        <v>5</v>
      </c>
      <c r="K287" s="387">
        <v>2.6</v>
      </c>
      <c r="L287" s="388" t="s">
        <v>328</v>
      </c>
      <c r="M287" s="414" t="s">
        <v>416</v>
      </c>
      <c r="N287" s="411">
        <f t="shared" si="17"/>
        <v>84</v>
      </c>
      <c r="O287" s="105">
        <v>26</v>
      </c>
      <c r="P287" s="105">
        <v>58</v>
      </c>
      <c r="Q287" s="384">
        <v>0.24</v>
      </c>
      <c r="R287" s="303"/>
      <c r="S287" s="303"/>
      <c r="T287" s="303"/>
      <c r="U287" s="48"/>
      <c r="V287" s="620"/>
      <c r="W287" s="620"/>
      <c r="X287" s="109"/>
      <c r="Y287" s="320"/>
      <c r="Z287" s="124"/>
    </row>
    <row r="288" spans="1:26" s="54" customFormat="1" ht="18" customHeight="1">
      <c r="A288" s="1042"/>
      <c r="B288" s="972"/>
      <c r="C288" s="972"/>
      <c r="D288" s="773" t="s">
        <v>448</v>
      </c>
      <c r="E288" s="881" t="s">
        <v>449</v>
      </c>
      <c r="F288" s="882" t="s">
        <v>742</v>
      </c>
      <c r="G288" s="958" t="s">
        <v>742</v>
      </c>
      <c r="H288" s="408" t="s">
        <v>743</v>
      </c>
      <c r="I288" s="412" t="s">
        <v>742</v>
      </c>
      <c r="J288" s="383">
        <v>3</v>
      </c>
      <c r="K288" s="387">
        <v>3</v>
      </c>
      <c r="L288" s="388" t="s">
        <v>328</v>
      </c>
      <c r="M288" s="414" t="s">
        <v>414</v>
      </c>
      <c r="N288" s="572">
        <f>SUM(O288,P288)</f>
        <v>5.300000000000001</v>
      </c>
      <c r="O288" s="314">
        <v>1.6</v>
      </c>
      <c r="P288" s="314">
        <v>3.7</v>
      </c>
      <c r="Q288" s="24" t="s">
        <v>764</v>
      </c>
      <c r="R288" s="303"/>
      <c r="S288" s="303"/>
      <c r="T288" s="303"/>
      <c r="U288" s="48"/>
      <c r="V288" s="620"/>
      <c r="W288" s="620"/>
      <c r="X288" s="109"/>
      <c r="Y288" s="320"/>
      <c r="Z288" s="124"/>
    </row>
    <row r="289" spans="1:26" s="54" customFormat="1" ht="18" customHeight="1">
      <c r="A289" s="1042"/>
      <c r="B289" s="973"/>
      <c r="C289" s="973"/>
      <c r="D289" s="781" t="s">
        <v>448</v>
      </c>
      <c r="E289" s="892" t="s">
        <v>470</v>
      </c>
      <c r="F289" s="949" t="s">
        <v>744</v>
      </c>
      <c r="G289" s="950" t="s">
        <v>745</v>
      </c>
      <c r="H289" s="423" t="s">
        <v>746</v>
      </c>
      <c r="I289" s="559" t="s">
        <v>747</v>
      </c>
      <c r="J289" s="424">
        <v>4</v>
      </c>
      <c r="K289" s="425">
        <v>3.9</v>
      </c>
      <c r="L289" s="426" t="s">
        <v>328</v>
      </c>
      <c r="M289" s="428" t="s">
        <v>416</v>
      </c>
      <c r="N289" s="596">
        <f t="shared" si="17"/>
        <v>8.8</v>
      </c>
      <c r="O289" s="598">
        <v>2.8</v>
      </c>
      <c r="P289" s="598">
        <v>6</v>
      </c>
      <c r="Q289" s="560">
        <v>0.029</v>
      </c>
      <c r="R289" s="303"/>
      <c r="S289" s="303"/>
      <c r="T289" s="620"/>
      <c r="U289" s="48"/>
      <c r="V289" s="620"/>
      <c r="W289" s="620"/>
      <c r="X289" s="109"/>
      <c r="Y289" s="320"/>
      <c r="Z289" s="124"/>
    </row>
    <row r="290" spans="1:26" s="54" customFormat="1" ht="18" customHeight="1">
      <c r="A290" s="1042"/>
      <c r="B290" s="1030" t="s">
        <v>495</v>
      </c>
      <c r="C290" s="1037">
        <v>41522</v>
      </c>
      <c r="D290" s="793" t="s">
        <v>465</v>
      </c>
      <c r="E290" s="959" t="s">
        <v>466</v>
      </c>
      <c r="F290" s="959" t="s">
        <v>748</v>
      </c>
      <c r="G290" s="924" t="s">
        <v>748</v>
      </c>
      <c r="H290" s="591" t="s">
        <v>749</v>
      </c>
      <c r="I290" s="323" t="s">
        <v>750</v>
      </c>
      <c r="J290" s="324" t="s">
        <v>175</v>
      </c>
      <c r="K290" s="592">
        <f>1200/1000</f>
        <v>1.2</v>
      </c>
      <c r="L290" s="326" t="s">
        <v>175</v>
      </c>
      <c r="M290" s="327" t="s">
        <v>175</v>
      </c>
      <c r="N290" s="593">
        <f>SUM(O290,P290)</f>
        <v>1.6</v>
      </c>
      <c r="O290" s="594">
        <v>0.5</v>
      </c>
      <c r="P290" s="595">
        <v>1.1</v>
      </c>
      <c r="Q290" s="327" t="s">
        <v>751</v>
      </c>
      <c r="R290" s="303"/>
      <c r="S290" s="303"/>
      <c r="T290" s="303"/>
      <c r="U290" s="48"/>
      <c r="V290" s="620"/>
      <c r="W290" s="620"/>
      <c r="X290" s="109"/>
      <c r="Y290" s="320"/>
      <c r="Z290" s="124"/>
    </row>
    <row r="291" spans="1:26" s="54" customFormat="1" ht="18" customHeight="1">
      <c r="A291" s="1042"/>
      <c r="B291" s="972"/>
      <c r="C291" s="972"/>
      <c r="D291" s="794" t="s">
        <v>467</v>
      </c>
      <c r="E291" s="638" t="s">
        <v>733</v>
      </c>
      <c r="F291" s="637" t="s">
        <v>752</v>
      </c>
      <c r="G291" s="901" t="s">
        <v>753</v>
      </c>
      <c r="H291" s="408" t="s">
        <v>754</v>
      </c>
      <c r="I291" s="412" t="s">
        <v>755</v>
      </c>
      <c r="J291" s="383">
        <v>30</v>
      </c>
      <c r="K291" s="387">
        <v>3.1</v>
      </c>
      <c r="L291" s="388" t="s">
        <v>313</v>
      </c>
      <c r="M291" s="24" t="s">
        <v>175</v>
      </c>
      <c r="N291" s="572">
        <f>SUM(O291,P291)</f>
        <v>4.8</v>
      </c>
      <c r="O291" s="314">
        <v>1.5</v>
      </c>
      <c r="P291" s="314">
        <v>3.3</v>
      </c>
      <c r="Q291" s="24" t="s">
        <v>175</v>
      </c>
      <c r="R291" s="303"/>
      <c r="S291" s="303"/>
      <c r="T291" s="48"/>
      <c r="U291" s="304"/>
      <c r="V291" s="304"/>
      <c r="W291" s="304"/>
      <c r="X291" s="109"/>
      <c r="Y291" s="320"/>
      <c r="Z291" s="124"/>
    </row>
    <row r="292" spans="1:26" s="54" customFormat="1" ht="18" customHeight="1">
      <c r="A292" s="1042"/>
      <c r="B292" s="972"/>
      <c r="C292" s="972"/>
      <c r="D292" s="779" t="s">
        <v>463</v>
      </c>
      <c r="E292" s="637" t="s">
        <v>468</v>
      </c>
      <c r="F292" s="899" t="s">
        <v>469</v>
      </c>
      <c r="G292" s="812" t="s">
        <v>756</v>
      </c>
      <c r="H292" s="1048" t="s">
        <v>757</v>
      </c>
      <c r="I292" s="412" t="s">
        <v>412</v>
      </c>
      <c r="J292" s="1081">
        <v>12</v>
      </c>
      <c r="K292" s="384">
        <v>0.6</v>
      </c>
      <c r="L292" s="1177" t="s">
        <v>313</v>
      </c>
      <c r="M292" s="1179" t="s">
        <v>175</v>
      </c>
      <c r="N292" s="411">
        <f>SUM(O292,P292)</f>
        <v>16</v>
      </c>
      <c r="O292" s="314">
        <v>5</v>
      </c>
      <c r="P292" s="105">
        <v>11</v>
      </c>
      <c r="Q292" s="24" t="s">
        <v>175</v>
      </c>
      <c r="R292" s="303"/>
      <c r="S292" s="303"/>
      <c r="T292" s="303"/>
      <c r="U292" s="48"/>
      <c r="V292" s="620"/>
      <c r="W292" s="620"/>
      <c r="X292" s="109"/>
      <c r="Y292" s="320"/>
      <c r="Z292" s="124"/>
    </row>
    <row r="293" spans="1:26" s="54" customFormat="1" ht="18" customHeight="1">
      <c r="A293" s="1043"/>
      <c r="B293" s="973"/>
      <c r="C293" s="973"/>
      <c r="D293" s="795" t="s">
        <v>463</v>
      </c>
      <c r="E293" s="892" t="s">
        <v>468</v>
      </c>
      <c r="F293" s="892" t="s">
        <v>469</v>
      </c>
      <c r="G293" s="893" t="s">
        <v>756</v>
      </c>
      <c r="H293" s="1090"/>
      <c r="I293" s="559" t="s">
        <v>413</v>
      </c>
      <c r="J293" s="1082"/>
      <c r="K293" s="425">
        <v>1.8</v>
      </c>
      <c r="L293" s="1178"/>
      <c r="M293" s="1032"/>
      <c r="N293" s="596">
        <f>SUM(O293,P293)</f>
        <v>1.85</v>
      </c>
      <c r="O293" s="597">
        <v>0.75</v>
      </c>
      <c r="P293" s="598">
        <v>1.1</v>
      </c>
      <c r="Q293" s="610" t="s">
        <v>175</v>
      </c>
      <c r="R293" s="303"/>
      <c r="S293" s="303"/>
      <c r="T293" s="620"/>
      <c r="U293" s="48"/>
      <c r="V293" s="620"/>
      <c r="W293" s="620"/>
      <c r="X293" s="109"/>
      <c r="Y293" s="320"/>
      <c r="Z293" s="124"/>
    </row>
  </sheetData>
  <sheetProtection/>
  <mergeCells count="368">
    <mergeCell ref="H31:H32"/>
    <mergeCell ref="I31:I32"/>
    <mergeCell ref="A87:A111"/>
    <mergeCell ref="J65:J73"/>
    <mergeCell ref="K65:K73"/>
    <mergeCell ref="L65:L73"/>
    <mergeCell ref="J31:J32"/>
    <mergeCell ref="K31:K32"/>
    <mergeCell ref="L292:L293"/>
    <mergeCell ref="M292:M293"/>
    <mergeCell ref="L272:L273"/>
    <mergeCell ref="L274:L275"/>
    <mergeCell ref="J118:J119"/>
    <mergeCell ref="L58:M58"/>
    <mergeCell ref="L31:M31"/>
    <mergeCell ref="J222:J223"/>
    <mergeCell ref="J254:J255"/>
    <mergeCell ref="N264:P264"/>
    <mergeCell ref="Q264:Q265"/>
    <mergeCell ref="K254:K255"/>
    <mergeCell ref="L254:M254"/>
    <mergeCell ref="Q254:Q255"/>
    <mergeCell ref="N254:P254"/>
    <mergeCell ref="J264:J265"/>
    <mergeCell ref="H254:H255"/>
    <mergeCell ref="G172:G173"/>
    <mergeCell ref="H172:H173"/>
    <mergeCell ref="J172:J173"/>
    <mergeCell ref="H222:H223"/>
    <mergeCell ref="I222:I223"/>
    <mergeCell ref="I172:I173"/>
    <mergeCell ref="N172:P172"/>
    <mergeCell ref="Q172:Q173"/>
    <mergeCell ref="L222:M222"/>
    <mergeCell ref="G280:G281"/>
    <mergeCell ref="Q222:Q223"/>
    <mergeCell ref="K172:K173"/>
    <mergeCell ref="L172:M172"/>
    <mergeCell ref="M180:M181"/>
    <mergeCell ref="L280:M280"/>
    <mergeCell ref="I254:I255"/>
    <mergeCell ref="Q280:Q281"/>
    <mergeCell ref="A222:B223"/>
    <mergeCell ref="C222:C223"/>
    <mergeCell ref="D222:D223"/>
    <mergeCell ref="E222:E223"/>
    <mergeCell ref="C224:C235"/>
    <mergeCell ref="B236:B252"/>
    <mergeCell ref="C236:C242"/>
    <mergeCell ref="C244:C248"/>
    <mergeCell ref="C251:C252"/>
    <mergeCell ref="F197:F198"/>
    <mergeCell ref="A172:B173"/>
    <mergeCell ref="C172:C173"/>
    <mergeCell ref="D172:D173"/>
    <mergeCell ref="E172:E173"/>
    <mergeCell ref="A174:A195"/>
    <mergeCell ref="Q197:Q198"/>
    <mergeCell ref="N222:P222"/>
    <mergeCell ref="F222:F223"/>
    <mergeCell ref="G222:G223"/>
    <mergeCell ref="K222:K223"/>
    <mergeCell ref="I197:I198"/>
    <mergeCell ref="J197:J198"/>
    <mergeCell ref="K197:K198"/>
    <mergeCell ref="L197:M197"/>
    <mergeCell ref="G197:G198"/>
    <mergeCell ref="Q141:Q142"/>
    <mergeCell ref="H141:H142"/>
    <mergeCell ref="I141:I142"/>
    <mergeCell ref="J141:J142"/>
    <mergeCell ref="K141:K142"/>
    <mergeCell ref="L141:M141"/>
    <mergeCell ref="N141:P141"/>
    <mergeCell ref="A58:B59"/>
    <mergeCell ref="C58:C59"/>
    <mergeCell ref="H58:H59"/>
    <mergeCell ref="A197:B198"/>
    <mergeCell ref="C197:C198"/>
    <mergeCell ref="D197:D198"/>
    <mergeCell ref="E197:E198"/>
    <mergeCell ref="F172:F173"/>
    <mergeCell ref="D58:D59"/>
    <mergeCell ref="E58:E59"/>
    <mergeCell ref="F58:F59"/>
    <mergeCell ref="G58:G59"/>
    <mergeCell ref="Q113:Q114"/>
    <mergeCell ref="G85:G86"/>
    <mergeCell ref="L113:M113"/>
    <mergeCell ref="J85:J86"/>
    <mergeCell ref="H85:H86"/>
    <mergeCell ref="F85:F86"/>
    <mergeCell ref="Q85:Q86"/>
    <mergeCell ref="F113:F114"/>
    <mergeCell ref="A115:A139"/>
    <mergeCell ref="B115:B139"/>
    <mergeCell ref="C116:C138"/>
    <mergeCell ref="A113:B114"/>
    <mergeCell ref="C113:C114"/>
    <mergeCell ref="D113:D114"/>
    <mergeCell ref="E113:E114"/>
    <mergeCell ref="C85:C86"/>
    <mergeCell ref="D85:D86"/>
    <mergeCell ref="E85:E86"/>
    <mergeCell ref="G113:G114"/>
    <mergeCell ref="H113:H114"/>
    <mergeCell ref="C89:C91"/>
    <mergeCell ref="N58:P58"/>
    <mergeCell ref="P96:P97"/>
    <mergeCell ref="J96:J97"/>
    <mergeCell ref="I85:I86"/>
    <mergeCell ref="O96:O97"/>
    <mergeCell ref="Q96:Q97"/>
    <mergeCell ref="K85:K86"/>
    <mergeCell ref="N85:P85"/>
    <mergeCell ref="N96:N97"/>
    <mergeCell ref="K96:K97"/>
    <mergeCell ref="J44:J45"/>
    <mergeCell ref="K44:K45"/>
    <mergeCell ref="K100:K106"/>
    <mergeCell ref="J98:J99"/>
    <mergeCell ref="K113:K114"/>
    <mergeCell ref="L85:M85"/>
    <mergeCell ref="K98:K99"/>
    <mergeCell ref="L98:L99"/>
    <mergeCell ref="M98:M99"/>
    <mergeCell ref="M65:M73"/>
    <mergeCell ref="Q1:Q2"/>
    <mergeCell ref="B6:B29"/>
    <mergeCell ref="C6:C29"/>
    <mergeCell ref="J1:J2"/>
    <mergeCell ref="K7:K8"/>
    <mergeCell ref="L7:L8"/>
    <mergeCell ref="M7:M8"/>
    <mergeCell ref="N7:N8"/>
    <mergeCell ref="Q9:Q20"/>
    <mergeCell ref="K1:K2"/>
    <mergeCell ref="A33:A56"/>
    <mergeCell ref="C33:C36"/>
    <mergeCell ref="C41:C42"/>
    <mergeCell ref="N1:P1"/>
    <mergeCell ref="L1:M1"/>
    <mergeCell ref="A1:B2"/>
    <mergeCell ref="C1:C2"/>
    <mergeCell ref="D1:D2"/>
    <mergeCell ref="E1:E2"/>
    <mergeCell ref="G1:G2"/>
    <mergeCell ref="F1:F2"/>
    <mergeCell ref="O7:O8"/>
    <mergeCell ref="B43:B56"/>
    <mergeCell ref="C43:C56"/>
    <mergeCell ref="B33:B42"/>
    <mergeCell ref="H1:H2"/>
    <mergeCell ref="I1:I2"/>
    <mergeCell ref="L44:L45"/>
    <mergeCell ref="M44:M45"/>
    <mergeCell ref="N44:N45"/>
    <mergeCell ref="A31:B32"/>
    <mergeCell ref="A3:A29"/>
    <mergeCell ref="J7:J8"/>
    <mergeCell ref="D31:D32"/>
    <mergeCell ref="E31:E32"/>
    <mergeCell ref="F31:F32"/>
    <mergeCell ref="G31:G32"/>
    <mergeCell ref="C31:C32"/>
    <mergeCell ref="B3:B5"/>
    <mergeCell ref="C3:C5"/>
    <mergeCell ref="Y7:Y8"/>
    <mergeCell ref="Z7:Z8"/>
    <mergeCell ref="P7:P8"/>
    <mergeCell ref="Q7:Q8"/>
    <mergeCell ref="Y9:Y20"/>
    <mergeCell ref="Z9:Z20"/>
    <mergeCell ref="P9:P20"/>
    <mergeCell ref="J9:J20"/>
    <mergeCell ref="K9:K20"/>
    <mergeCell ref="L9:L20"/>
    <mergeCell ref="M9:M20"/>
    <mergeCell ref="N9:N20"/>
    <mergeCell ref="O9:O20"/>
    <mergeCell ref="Z44:Z45"/>
    <mergeCell ref="Y44:Y45"/>
    <mergeCell ref="O44:O45"/>
    <mergeCell ref="Q44:Q45"/>
    <mergeCell ref="P44:P45"/>
    <mergeCell ref="N31:P31"/>
    <mergeCell ref="Q31:Q32"/>
    <mergeCell ref="M118:M119"/>
    <mergeCell ref="O62:O63"/>
    <mergeCell ref="P62:P63"/>
    <mergeCell ref="M62:M63"/>
    <mergeCell ref="P147:P157"/>
    <mergeCell ref="P98:P99"/>
    <mergeCell ref="O118:O119"/>
    <mergeCell ref="P65:P73"/>
    <mergeCell ref="O65:O73"/>
    <mergeCell ref="N65:N73"/>
    <mergeCell ref="I58:I59"/>
    <mergeCell ref="N118:N119"/>
    <mergeCell ref="K58:K59"/>
    <mergeCell ref="J58:J59"/>
    <mergeCell ref="K118:K119"/>
    <mergeCell ref="N98:N99"/>
    <mergeCell ref="L96:L97"/>
    <mergeCell ref="M96:M97"/>
    <mergeCell ref="L100:L106"/>
    <mergeCell ref="N62:N63"/>
    <mergeCell ref="Z120:Z127"/>
    <mergeCell ref="Y120:Y127"/>
    <mergeCell ref="Q118:Q119"/>
    <mergeCell ref="P120:P127"/>
    <mergeCell ref="Q120:Q127"/>
    <mergeCell ref="P118:P119"/>
    <mergeCell ref="Y118:Y119"/>
    <mergeCell ref="Q98:Q99"/>
    <mergeCell ref="N113:P113"/>
    <mergeCell ref="I113:I114"/>
    <mergeCell ref="Z118:Z119"/>
    <mergeCell ref="Q100:Q106"/>
    <mergeCell ref="Y96:Y97"/>
    <mergeCell ref="Z96:Z97"/>
    <mergeCell ref="Z98:Z99"/>
    <mergeCell ref="Y98:Y99"/>
    <mergeCell ref="Y100:Y106"/>
    <mergeCell ref="O98:O99"/>
    <mergeCell ref="P100:P106"/>
    <mergeCell ref="J100:J106"/>
    <mergeCell ref="M158:M159"/>
    <mergeCell ref="N100:N106"/>
    <mergeCell ref="O100:O106"/>
    <mergeCell ref="J120:J127"/>
    <mergeCell ref="K120:K127"/>
    <mergeCell ref="K147:K157"/>
    <mergeCell ref="N120:N127"/>
    <mergeCell ref="J113:J114"/>
    <mergeCell ref="M100:M106"/>
    <mergeCell ref="B169:B170"/>
    <mergeCell ref="F141:F142"/>
    <mergeCell ref="J147:J157"/>
    <mergeCell ref="E141:E142"/>
    <mergeCell ref="C143:C166"/>
    <mergeCell ref="B92:B111"/>
    <mergeCell ref="C92:C111"/>
    <mergeCell ref="L118:L119"/>
    <mergeCell ref="G141:G142"/>
    <mergeCell ref="N147:N157"/>
    <mergeCell ref="O147:O157"/>
    <mergeCell ref="N158:N159"/>
    <mergeCell ref="L158:L159"/>
    <mergeCell ref="L120:L127"/>
    <mergeCell ref="M120:M127"/>
    <mergeCell ref="O120:O127"/>
    <mergeCell ref="J62:J63"/>
    <mergeCell ref="K62:K63"/>
    <mergeCell ref="L62:L63"/>
    <mergeCell ref="L147:L157"/>
    <mergeCell ref="P158:P159"/>
    <mergeCell ref="Y147:Y157"/>
    <mergeCell ref="M147:M157"/>
    <mergeCell ref="O158:O159"/>
    <mergeCell ref="J158:J159"/>
    <mergeCell ref="K158:K159"/>
    <mergeCell ref="Z147:Z157"/>
    <mergeCell ref="Q58:Q59"/>
    <mergeCell ref="Y62:Y63"/>
    <mergeCell ref="Q65:Q73"/>
    <mergeCell ref="Z62:Z63"/>
    <mergeCell ref="Y65:Y72"/>
    <mergeCell ref="Z65:Z72"/>
    <mergeCell ref="Q62:Q63"/>
    <mergeCell ref="Q147:Q157"/>
    <mergeCell ref="Z100:Z106"/>
    <mergeCell ref="A60:A83"/>
    <mergeCell ref="A199:A220"/>
    <mergeCell ref="B199:B220"/>
    <mergeCell ref="C199:C208"/>
    <mergeCell ref="C218:C220"/>
    <mergeCell ref="B60:B83"/>
    <mergeCell ref="C60:C83"/>
    <mergeCell ref="C209:C217"/>
    <mergeCell ref="B174:B176"/>
    <mergeCell ref="A85:B86"/>
    <mergeCell ref="A141:B142"/>
    <mergeCell ref="C141:C142"/>
    <mergeCell ref="B87:B91"/>
    <mergeCell ref="Y180:Y181"/>
    <mergeCell ref="O180:O181"/>
    <mergeCell ref="D141:D142"/>
    <mergeCell ref="A143:A170"/>
    <mergeCell ref="B143:B168"/>
    <mergeCell ref="C167:C168"/>
    <mergeCell ref="Q158:Q159"/>
    <mergeCell ref="Z180:Z181"/>
    <mergeCell ref="Q180:Q181"/>
    <mergeCell ref="A224:A252"/>
    <mergeCell ref="L180:L181"/>
    <mergeCell ref="B177:B195"/>
    <mergeCell ref="C177:C195"/>
    <mergeCell ref="J180:J181"/>
    <mergeCell ref="K180:K181"/>
    <mergeCell ref="P180:P181"/>
    <mergeCell ref="N180:N181"/>
    <mergeCell ref="B290:B293"/>
    <mergeCell ref="C290:C293"/>
    <mergeCell ref="I264:I265"/>
    <mergeCell ref="F264:F265"/>
    <mergeCell ref="C282:C289"/>
    <mergeCell ref="D264:D265"/>
    <mergeCell ref="E264:E265"/>
    <mergeCell ref="G264:G265"/>
    <mergeCell ref="H264:H265"/>
    <mergeCell ref="H292:H293"/>
    <mergeCell ref="J292:J293"/>
    <mergeCell ref="N197:P197"/>
    <mergeCell ref="H280:H281"/>
    <mergeCell ref="I280:I281"/>
    <mergeCell ref="J280:J281"/>
    <mergeCell ref="K264:K265"/>
    <mergeCell ref="L264:M264"/>
    <mergeCell ref="N280:P280"/>
    <mergeCell ref="J274:J275"/>
    <mergeCell ref="H197:H198"/>
    <mergeCell ref="B282:B289"/>
    <mergeCell ref="M182:M188"/>
    <mergeCell ref="A280:B281"/>
    <mergeCell ref="C280:C281"/>
    <mergeCell ref="D280:D281"/>
    <mergeCell ref="E280:E281"/>
    <mergeCell ref="F280:F281"/>
    <mergeCell ref="K280:K281"/>
    <mergeCell ref="J182:J188"/>
    <mergeCell ref="K182:K188"/>
    <mergeCell ref="A264:B265"/>
    <mergeCell ref="C264:C265"/>
    <mergeCell ref="Z182:Z188"/>
    <mergeCell ref="P182:P188"/>
    <mergeCell ref="Q182:Q188"/>
    <mergeCell ref="Y182:Y188"/>
    <mergeCell ref="N182:N188"/>
    <mergeCell ref="O182:O188"/>
    <mergeCell ref="L182:L188"/>
    <mergeCell ref="B224:B235"/>
    <mergeCell ref="B266:B278"/>
    <mergeCell ref="C266:C278"/>
    <mergeCell ref="T266:W266"/>
    <mergeCell ref="T270:W270"/>
    <mergeCell ref="T274:W274"/>
    <mergeCell ref="T275:W275"/>
    <mergeCell ref="H274:H275"/>
    <mergeCell ref="A282:A293"/>
    <mergeCell ref="T277:W277"/>
    <mergeCell ref="T267:W267"/>
    <mergeCell ref="T269:W269"/>
    <mergeCell ref="T272:W272"/>
    <mergeCell ref="T273:W273"/>
    <mergeCell ref="H272:H273"/>
    <mergeCell ref="J272:J273"/>
    <mergeCell ref="T278:W278"/>
    <mergeCell ref="A266:A278"/>
    <mergeCell ref="D254:D255"/>
    <mergeCell ref="G254:G255"/>
    <mergeCell ref="E254:E255"/>
    <mergeCell ref="F254:F255"/>
    <mergeCell ref="A256:A262"/>
    <mergeCell ref="B256:B262"/>
    <mergeCell ref="A254:B255"/>
    <mergeCell ref="C254:C255"/>
    <mergeCell ref="C256:C262"/>
  </mergeCells>
  <printOptions/>
  <pageMargins left="0.3937007874015748" right="0.3937007874015748" top="0.7874015748031497" bottom="0.4330708661417323" header="0.5118110236220472" footer="0.31496062992125984"/>
  <pageSetup horizontalDpi="600" verticalDpi="600" orientation="landscape" paperSize="9" scale="63" r:id="rId1"/>
  <headerFooter alignWithMargins="0">
    <oddHeader>&amp;C&amp;"ＭＳ ゴシック,標準"&amp;12｢水環境中の放射性物質影響調査業務｣水生生物の放射性核種分析結果一覧（平成25年度8～9月調査）</oddHeader>
    <oddFooter xml:space="preserve">&amp;L&amp;"ＭＳ 明朝,標準"&amp;12注1）水生生物が複数採取できた場合は、これらを混合して試料とした。
注2）特記事項欄に胃内容物について記載のある種については、胃内容物を取り除いた上で分析に供した。
注3）和名の下線は、当該の試料の中で特に多く採取された種であることを示す。
注4）成長段階の赤字は、鱗または耳石による年齢査定の結果を示す。
注5）N.D.は、検出下限値未満であることを示す。
&amp;R&amp;"ＭＳ 明朝,標準"&amp;16 </oddFooter>
  </headerFooter>
  <rowBreaks count="9" manualBreakCount="9">
    <brk id="30" max="16" man="1"/>
    <brk id="57" max="16" man="1"/>
    <brk id="84" max="16" man="1"/>
    <brk id="112" max="16" man="1"/>
    <brk id="140" max="16" man="1"/>
    <brk id="171" max="16" man="1"/>
    <brk id="196" max="16" man="1"/>
    <brk id="221" max="16" man="1"/>
    <brk id="253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/>
  <cp:lastPrinted>2015-10-02T01:29:18Z</cp:lastPrinted>
  <dcterms:created xsi:type="dcterms:W3CDTF">2014-07-04T06:27:33Z</dcterms:created>
  <dcterms:modified xsi:type="dcterms:W3CDTF">2015-10-05T06:04:28Z</dcterms:modified>
  <cp:category/>
  <cp:version/>
  <cp:contentType/>
  <cp:contentStatus/>
</cp:coreProperties>
</file>