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20730" windowHeight="6180" activeTab="2"/>
  </bookViews>
  <sheets>
    <sheet name="【正】水質測定結果" sheetId="1" r:id="rId1"/>
    <sheet name="底質測定結果" sheetId="2" r:id="rId2"/>
    <sheet name="水生生物測定結果" sheetId="3" r:id="rId3"/>
  </sheets>
  <definedNames>
    <definedName name="_xlnm.Print_Area" localSheetId="0">'【正】水質測定結果'!$A$1:$P$58</definedName>
    <definedName name="_xlnm.Print_Area" localSheetId="2">'水生生物測定結果'!$A$1:$Q$285</definedName>
    <definedName name="_xlnm.Print_Area" localSheetId="1">'底質測定結果'!$A$1:$U$56</definedName>
    <definedName name="_xlnm.Print_Titles" localSheetId="0">'【正】水質測定結果'!$1:$4</definedName>
  </definedNames>
  <calcPr fullCalcOnLoad="1"/>
</workbook>
</file>

<file path=xl/sharedStrings.xml><?xml version="1.0" encoding="utf-8"?>
<sst xmlns="http://schemas.openxmlformats.org/spreadsheetml/2006/main" count="2838" uniqueCount="793">
  <si>
    <t>IL</t>
  </si>
  <si>
    <t>－</t>
  </si>
  <si>
    <t>&lt;1</t>
  </si>
  <si>
    <t>地点</t>
  </si>
  <si>
    <t>緯度</t>
  </si>
  <si>
    <t>経度</t>
  </si>
  <si>
    <t>粒度組成</t>
  </si>
  <si>
    <t>pH</t>
  </si>
  <si>
    <t>酸化還元電位</t>
  </si>
  <si>
    <t>含水率</t>
  </si>
  <si>
    <t>TOC</t>
  </si>
  <si>
    <t>土粒子の密度</t>
  </si>
  <si>
    <t>礫</t>
  </si>
  <si>
    <t>粗砂</t>
  </si>
  <si>
    <t>中砂</t>
  </si>
  <si>
    <t>細砂</t>
  </si>
  <si>
    <t>シルト</t>
  </si>
  <si>
    <t>粘土</t>
  </si>
  <si>
    <t>中央粒径</t>
  </si>
  <si>
    <t>最大粒径</t>
  </si>
  <si>
    <t>Cs-134</t>
  </si>
  <si>
    <t>Cs-137</t>
  </si>
  <si>
    <t>Sr-90</t>
  </si>
  <si>
    <r>
      <t>E</t>
    </r>
    <r>
      <rPr>
        <vertAlign val="subscript"/>
        <sz val="10"/>
        <rFont val="ＭＳ 明朝"/>
        <family val="1"/>
      </rPr>
      <t>N.H.E</t>
    </r>
  </si>
  <si>
    <t>(2～75mm)</t>
  </si>
  <si>
    <t>(0.85～2mm)</t>
  </si>
  <si>
    <t>(0.25～0.85mm)</t>
  </si>
  <si>
    <t>(0.075～0.25mm)</t>
  </si>
  <si>
    <t>(0.005～0.075mm)</t>
  </si>
  <si>
    <t>(0.005mm未満)</t>
  </si>
  <si>
    <t>（mV）</t>
  </si>
  <si>
    <t>（％）</t>
  </si>
  <si>
    <r>
      <t>（g/cm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）</t>
    </r>
  </si>
  <si>
    <t>（mm）</t>
  </si>
  <si>
    <t>A-1</t>
  </si>
  <si>
    <t>－</t>
  </si>
  <si>
    <t>新田川</t>
  </si>
  <si>
    <t>B-1</t>
  </si>
  <si>
    <t>B-3</t>
  </si>
  <si>
    <t>真野川</t>
  </si>
  <si>
    <t>－</t>
  </si>
  <si>
    <t>太田川</t>
  </si>
  <si>
    <t>宇多川</t>
  </si>
  <si>
    <t>秋元湖</t>
  </si>
  <si>
    <t>猪苗代湖</t>
  </si>
  <si>
    <t>pH</t>
  </si>
  <si>
    <t>BOD</t>
  </si>
  <si>
    <t>COD</t>
  </si>
  <si>
    <t>DO</t>
  </si>
  <si>
    <t>TOC</t>
  </si>
  <si>
    <t>SS</t>
  </si>
  <si>
    <t>&lt;0.5</t>
  </si>
  <si>
    <t>電気伝導率</t>
  </si>
  <si>
    <t>塩分</t>
  </si>
  <si>
    <t>濁度</t>
  </si>
  <si>
    <t>（mg/L）</t>
  </si>
  <si>
    <t>（mS/m）</t>
  </si>
  <si>
    <t>（度）</t>
  </si>
  <si>
    <t>A-1(表層)</t>
  </si>
  <si>
    <t>D-2</t>
  </si>
  <si>
    <t>阿武隈川水系</t>
  </si>
  <si>
    <t>○ 水質測定結果</t>
  </si>
  <si>
    <t>○ 底質測定結果</t>
  </si>
  <si>
    <t>A-2</t>
  </si>
  <si>
    <t>B-1</t>
  </si>
  <si>
    <t>B-2</t>
  </si>
  <si>
    <t>B-3</t>
  </si>
  <si>
    <t>C-1</t>
  </si>
  <si>
    <t>C-2</t>
  </si>
  <si>
    <t>D-1</t>
  </si>
  <si>
    <t>D-2</t>
  </si>
  <si>
    <t>D-3</t>
  </si>
  <si>
    <t>D-4 a</t>
  </si>
  <si>
    <t>D-5</t>
  </si>
  <si>
    <t>G-1</t>
  </si>
  <si>
    <t>G-2</t>
  </si>
  <si>
    <t>G-3</t>
  </si>
  <si>
    <t>G-4</t>
  </si>
  <si>
    <t>G-5</t>
  </si>
  <si>
    <t>E-1</t>
  </si>
  <si>
    <t>E-2 a</t>
  </si>
  <si>
    <t>E-3</t>
  </si>
  <si>
    <t>E-4</t>
  </si>
  <si>
    <t>E-5</t>
  </si>
  <si>
    <t>F-1</t>
  </si>
  <si>
    <t>F-2</t>
  </si>
  <si>
    <t>F-3</t>
  </si>
  <si>
    <t>F-4</t>
  </si>
  <si>
    <t>F-5</t>
  </si>
  <si>
    <t>H-1</t>
  </si>
  <si>
    <t>H-2</t>
  </si>
  <si>
    <t>H-3</t>
  </si>
  <si>
    <t>H-5</t>
  </si>
  <si>
    <t>I-1</t>
  </si>
  <si>
    <t>I-2</t>
  </si>
  <si>
    <t>J-1</t>
  </si>
  <si>
    <t>L-1</t>
  </si>
  <si>
    <t>L-2</t>
  </si>
  <si>
    <t>L-3</t>
  </si>
  <si>
    <t>H-4</t>
  </si>
  <si>
    <t>I-3</t>
  </si>
  <si>
    <t>I-4</t>
  </si>
  <si>
    <t>C-2</t>
  </si>
  <si>
    <t>C-3</t>
  </si>
  <si>
    <t>C-4</t>
  </si>
  <si>
    <t>C-5</t>
  </si>
  <si>
    <t>C-6</t>
  </si>
  <si>
    <t>D-4 b</t>
  </si>
  <si>
    <t>E-2 b</t>
  </si>
  <si>
    <t>F-6</t>
  </si>
  <si>
    <t>H-1(表層)</t>
  </si>
  <si>
    <t>H-1(下層)</t>
  </si>
  <si>
    <t>H-3(表層)</t>
  </si>
  <si>
    <t>H-5(表層)</t>
  </si>
  <si>
    <t>H-5(下層)</t>
  </si>
  <si>
    <t>I-1(表層)</t>
  </si>
  <si>
    <t>I-1(下層)</t>
  </si>
  <si>
    <t>J-1(表層)</t>
  </si>
  <si>
    <t>J-1(下層)</t>
  </si>
  <si>
    <t>I-3(表層)</t>
  </si>
  <si>
    <t>I-3(下層)</t>
  </si>
  <si>
    <t>G-1(表層)</t>
  </si>
  <si>
    <t>G-1(下層)</t>
  </si>
  <si>
    <t>G-3(下層)</t>
  </si>
  <si>
    <t>G-3(表層)</t>
  </si>
  <si>
    <t>G-5(表層)</t>
  </si>
  <si>
    <t>G-5(下層)</t>
  </si>
  <si>
    <t>H-3(下層)</t>
  </si>
  <si>
    <t>A-1(下層)</t>
  </si>
  <si>
    <t>140.394567°</t>
  </si>
  <si>
    <t xml:space="preserve"> 37.661550°</t>
  </si>
  <si>
    <t>140.122550°</t>
  </si>
  <si>
    <t xml:space="preserve"> 37.665333°</t>
  </si>
  <si>
    <t>140.132933°</t>
  </si>
  <si>
    <t xml:space="preserve"> 37.655067°</t>
  </si>
  <si>
    <t>140.118050°</t>
  </si>
  <si>
    <t>C-5</t>
  </si>
  <si>
    <t>C-6</t>
  </si>
  <si>
    <t>はやま湖
（真野ダム）</t>
  </si>
  <si>
    <t>いわき市沖
（久之浜）</t>
  </si>
  <si>
    <t>相馬市沖
（松川浦）</t>
  </si>
  <si>
    <t>阿武隈川河口沖
（亘理町沖）</t>
  </si>
  <si>
    <t>相馬市沖
（松川浦）</t>
  </si>
  <si>
    <t>K-2(表層）</t>
  </si>
  <si>
    <t>K-2(下層）</t>
  </si>
  <si>
    <t>M-2(表層)</t>
  </si>
  <si>
    <t>M-2(下層)</t>
  </si>
  <si>
    <t>K-1</t>
  </si>
  <si>
    <t>K-2</t>
  </si>
  <si>
    <t>K-3</t>
  </si>
  <si>
    <t>M-1</t>
  </si>
  <si>
    <t>M-2</t>
  </si>
  <si>
    <t>M-3</t>
  </si>
  <si>
    <t>&lt;1</t>
  </si>
  <si>
    <t>37.620967°</t>
  </si>
  <si>
    <t>140.522150°</t>
  </si>
  <si>
    <t>140.522150°</t>
  </si>
  <si>
    <t>37.567300°</t>
  </si>
  <si>
    <t>140.394567°</t>
  </si>
  <si>
    <t>37.812083°</t>
  </si>
  <si>
    <t>140.505917°</t>
  </si>
  <si>
    <t xml:space="preserve"> 37.795517°</t>
  </si>
  <si>
    <t>140.745700°</t>
  </si>
  <si>
    <t xml:space="preserve"> 37.770933°</t>
  </si>
  <si>
    <t>140.727683°</t>
  </si>
  <si>
    <t xml:space="preserve"> 37.779133°</t>
  </si>
  <si>
    <t>140.804033°</t>
  </si>
  <si>
    <t xml:space="preserve"> 37.769233°</t>
  </si>
  <si>
    <t>140.844167°</t>
  </si>
  <si>
    <t>140.859900°</t>
  </si>
  <si>
    <t xml:space="preserve"> 37.776450°</t>
  </si>
  <si>
    <t>140.887467°</t>
  </si>
  <si>
    <t>140.471417°</t>
  </si>
  <si>
    <t>37.784233°</t>
  </si>
  <si>
    <t>140.492133°</t>
  </si>
  <si>
    <t xml:space="preserve"> 37.764550°</t>
  </si>
  <si>
    <t xml:space="preserve"> 37.709467°</t>
  </si>
  <si>
    <t>140.956500°</t>
  </si>
  <si>
    <t xml:space="preserve"> 37.704950°</t>
  </si>
  <si>
    <t>140.962117°</t>
  </si>
  <si>
    <t xml:space="preserve"> 37.730933°</t>
  </si>
  <si>
    <t>140.907800°</t>
  </si>
  <si>
    <t xml:space="preserve"> 37.731100°</t>
  </si>
  <si>
    <t>140.909000°</t>
  </si>
  <si>
    <t xml:space="preserve"> 37.721567°</t>
  </si>
  <si>
    <t>140.889400°</t>
  </si>
  <si>
    <t xml:space="preserve"> 37.733217°</t>
  </si>
  <si>
    <t>140.925250°</t>
  </si>
  <si>
    <t>37.661533°</t>
  </si>
  <si>
    <t>140.911500°</t>
  </si>
  <si>
    <t>37.664583°</t>
  </si>
  <si>
    <t>140.945450°</t>
  </si>
  <si>
    <t>37.664067°</t>
  </si>
  <si>
    <t>140.945783°</t>
  </si>
  <si>
    <t>37.644483°</t>
  </si>
  <si>
    <t>141.001017°</t>
  </si>
  <si>
    <t>37.646233°</t>
  </si>
  <si>
    <t>140.965800°</t>
  </si>
  <si>
    <t>37.665033°</t>
  </si>
  <si>
    <t>140.917483°</t>
  </si>
  <si>
    <t xml:space="preserve"> 37.597483°</t>
  </si>
  <si>
    <t>140.925117°</t>
  </si>
  <si>
    <t xml:space="preserve"> 37.601483°</t>
  </si>
  <si>
    <t>140.943650°</t>
  </si>
  <si>
    <t xml:space="preserve"> 37.604483°</t>
  </si>
  <si>
    <t>140.964250°</t>
  </si>
  <si>
    <t xml:space="preserve"> 37.606983°</t>
  </si>
  <si>
    <t>140.972000°</t>
  </si>
  <si>
    <t xml:space="preserve"> 37.602250°</t>
  </si>
  <si>
    <t>140.987317°</t>
  </si>
  <si>
    <t xml:space="preserve"> 37.595117°</t>
  </si>
  <si>
    <t>141.012617°</t>
  </si>
  <si>
    <t xml:space="preserve"> 37.732050°</t>
  </si>
  <si>
    <t>140.812717°</t>
  </si>
  <si>
    <t xml:space="preserve"> 37.730167°</t>
  </si>
  <si>
    <t>140.830667°</t>
  </si>
  <si>
    <t xml:space="preserve"> 37.734117°</t>
  </si>
  <si>
    <t>140.808833°</t>
  </si>
  <si>
    <t xml:space="preserve"> 37.657533°</t>
  </si>
  <si>
    <t>140.126433°</t>
  </si>
  <si>
    <t xml:space="preserve"> 37.665333°</t>
  </si>
  <si>
    <t>140.132933°</t>
  </si>
  <si>
    <t xml:space="preserve"> 37.652333°</t>
  </si>
  <si>
    <t>140.156833°</t>
  </si>
  <si>
    <t xml:space="preserve"> 37.504683°</t>
  </si>
  <si>
    <t>140.114333°</t>
  </si>
  <si>
    <t>140.026250°</t>
  </si>
  <si>
    <t xml:space="preserve"> 37.507700°</t>
  </si>
  <si>
    <t>140.100833°</t>
  </si>
  <si>
    <t xml:space="preserve"> 37.420333°</t>
  </si>
  <si>
    <t xml:space="preserve"> 38.045633°</t>
  </si>
  <si>
    <t>140.939850°</t>
  </si>
  <si>
    <t xml:space="preserve"> 37.815583°</t>
  </si>
  <si>
    <t>140.976450°</t>
  </si>
  <si>
    <t xml:space="preserve"> 37.821683°</t>
  </si>
  <si>
    <t>140.976567°</t>
  </si>
  <si>
    <t xml:space="preserve"> 37.199283°</t>
  </si>
  <si>
    <t>141.085317°</t>
  </si>
  <si>
    <t xml:space="preserve"> 37.620967°</t>
  </si>
  <si>
    <t xml:space="preserve"> 37.567300°</t>
  </si>
  <si>
    <t xml:space="preserve"> 37.784233°</t>
  </si>
  <si>
    <t>140.492133°</t>
  </si>
  <si>
    <t xml:space="preserve"> 37.812083°</t>
  </si>
  <si>
    <t xml:space="preserve"> 37.816700°</t>
  </si>
  <si>
    <t>140.859900°</t>
  </si>
  <si>
    <t xml:space="preserve"> 37.776450°</t>
  </si>
  <si>
    <t>140.887467°</t>
  </si>
  <si>
    <t xml:space="preserve"> 37.795517°</t>
  </si>
  <si>
    <t>140.745700°</t>
  </si>
  <si>
    <t xml:space="preserve"> 37.770933°</t>
  </si>
  <si>
    <t>140.727683°</t>
  </si>
  <si>
    <t xml:space="preserve"> 37.769233°</t>
  </si>
  <si>
    <t>140.844167°</t>
  </si>
  <si>
    <t xml:space="preserve"> 37.733217°</t>
  </si>
  <si>
    <t>140.925250°</t>
  </si>
  <si>
    <t xml:space="preserve"> 37.709467°</t>
  </si>
  <si>
    <t xml:space="preserve"> 37.704950°</t>
  </si>
  <si>
    <t>140.962117°</t>
  </si>
  <si>
    <t xml:space="preserve"> 37.730933°</t>
  </si>
  <si>
    <t>140.907800°</t>
  </si>
  <si>
    <t xml:space="preserve"> 37.721567°</t>
  </si>
  <si>
    <t>140.889400°</t>
  </si>
  <si>
    <t>140.911500°</t>
  </si>
  <si>
    <t xml:space="preserve"> 37.664583°</t>
  </si>
  <si>
    <t>140.945450°</t>
  </si>
  <si>
    <t xml:space="preserve"> 37.644483°</t>
  </si>
  <si>
    <t>141.001017°</t>
  </si>
  <si>
    <t xml:space="preserve"> 37.646233°</t>
  </si>
  <si>
    <t>140.965800°</t>
  </si>
  <si>
    <t xml:space="preserve"> 37.665033°</t>
  </si>
  <si>
    <t>140.917483°</t>
  </si>
  <si>
    <t xml:space="preserve"> 37.661533°</t>
  </si>
  <si>
    <t xml:space="preserve"> 37.597483°</t>
  </si>
  <si>
    <t>140.925117°</t>
  </si>
  <si>
    <t xml:space="preserve"> 37.601483°</t>
  </si>
  <si>
    <t>140.943650°</t>
  </si>
  <si>
    <t xml:space="preserve"> 37.604483°</t>
  </si>
  <si>
    <t>140.964250°</t>
  </si>
  <si>
    <t xml:space="preserve"> 37.606983°</t>
  </si>
  <si>
    <t>140.972000°</t>
  </si>
  <si>
    <t xml:space="preserve"> 37.602250°</t>
  </si>
  <si>
    <t>140.987317°</t>
  </si>
  <si>
    <t xml:space="preserve"> 37.726733°</t>
  </si>
  <si>
    <t>140.822333°</t>
  </si>
  <si>
    <t xml:space="preserve"> 37.738200°</t>
  </si>
  <si>
    <t>140.803450°</t>
  </si>
  <si>
    <t xml:space="preserve"> 37.657533°</t>
  </si>
  <si>
    <t xml:space="preserve"> 37.652333°</t>
  </si>
  <si>
    <t xml:space="preserve"> 37.504683°</t>
  </si>
  <si>
    <t xml:space="preserve"> 37.499467°</t>
  </si>
  <si>
    <t>140.140883°</t>
  </si>
  <si>
    <t xml:space="preserve"> 37.507700°</t>
  </si>
  <si>
    <t xml:space="preserve"> 37.515967°</t>
  </si>
  <si>
    <t>140.109167°</t>
  </si>
  <si>
    <t xml:space="preserve"> 38.045733°</t>
  </si>
  <si>
    <t>140.928500°</t>
  </si>
  <si>
    <t xml:space="preserve"> 38.045633°</t>
  </si>
  <si>
    <t>140.939850°</t>
  </si>
  <si>
    <t xml:space="preserve"> 38.045917°</t>
  </si>
  <si>
    <t>140.951983°</t>
  </si>
  <si>
    <t xml:space="preserve"> 37.820983°</t>
  </si>
  <si>
    <t>140.960800°</t>
  </si>
  <si>
    <t xml:space="preserve"> 37.815583°</t>
  </si>
  <si>
    <t>140.976450°</t>
  </si>
  <si>
    <t xml:space="preserve"> 37.821683°</t>
  </si>
  <si>
    <t>140.976567°</t>
  </si>
  <si>
    <t xml:space="preserve"> 37.173717°</t>
  </si>
  <si>
    <t>141.078817°</t>
  </si>
  <si>
    <t xml:space="preserve"> 37.199283°</t>
  </si>
  <si>
    <t>141.085317°</t>
  </si>
  <si>
    <t xml:space="preserve"> 37.232167°</t>
  </si>
  <si>
    <t>141.093267°</t>
  </si>
  <si>
    <t>37.816700°</t>
  </si>
  <si>
    <t>採取日</t>
  </si>
  <si>
    <t>個体数</t>
  </si>
  <si>
    <t>採取重量
(kg-wet)</t>
  </si>
  <si>
    <t>成長段階</t>
  </si>
  <si>
    <t>放射性セシウム(Bq/kg-wet)</t>
  </si>
  <si>
    <t>胃内容物</t>
  </si>
  <si>
    <t>計</t>
  </si>
  <si>
    <t>藻類・植物</t>
  </si>
  <si>
    <t>付着藻類等</t>
  </si>
  <si>
    <t>Stenopsyche marmorata</t>
  </si>
  <si>
    <t>幼虫</t>
  </si>
  <si>
    <t>Asiagomphus melaenops</t>
  </si>
  <si>
    <t>Nihonogomphus viridis</t>
  </si>
  <si>
    <t>Onychogomphus viridicostus</t>
  </si>
  <si>
    <t>Sieboldius albardae</t>
  </si>
  <si>
    <t>Anotogaster sieboldii</t>
  </si>
  <si>
    <t>Macromia amphigena amphigena</t>
  </si>
  <si>
    <t>Orthetrum albistylum speciosum</t>
  </si>
  <si>
    <t>ｱｶﾈ属</t>
  </si>
  <si>
    <t>ｶﾜﾘﾇﾏｴﾋﾞ属</t>
  </si>
  <si>
    <t>成体</t>
  </si>
  <si>
    <t>Misgurnus anguillicaudatus</t>
  </si>
  <si>
    <t>ﾄﾞｼﾞｮｳ</t>
  </si>
  <si>
    <t>1歳以上</t>
  </si>
  <si>
    <t xml:space="preserve">Tribolodon hakonensis </t>
  </si>
  <si>
    <t>ｳｸﾞｲ</t>
  </si>
  <si>
    <t>2歳魚</t>
  </si>
  <si>
    <t>両生類</t>
  </si>
  <si>
    <t>ｶｴﾙ類(ｵﾀﾏｼﾞｬｸｼ)</t>
  </si>
  <si>
    <t>幼生</t>
  </si>
  <si>
    <t>Rana porosa porosa</t>
  </si>
  <si>
    <t>ﾄｳｷｮｳﾀﾞﾙﾏｶﾞｴﾙ</t>
  </si>
  <si>
    <t>ｱｶﾊﾗｲﾓﾘ</t>
  </si>
  <si>
    <t>CPOM(水底落葉等)</t>
  </si>
  <si>
    <t>ｱｵﾐﾄﾞﾛ属</t>
  </si>
  <si>
    <t>ﾋｹﾞﾅｶﾞｶﾜﾄﾋﾞｹﾗ</t>
  </si>
  <si>
    <t>若齢幼虫</t>
  </si>
  <si>
    <t>最終齢幼虫</t>
  </si>
  <si>
    <t>Protohermes grandis</t>
  </si>
  <si>
    <t>ﾍﾋﾞﾄﾝﾎﾞ</t>
  </si>
  <si>
    <t>ﾀｲﾘｸｸﾛｽｼﾞﾍﾋﾞﾄﾝﾎﾞ</t>
  </si>
  <si>
    <t>Anisogomphus maacki</t>
  </si>
  <si>
    <t>Procambarus clarkii</t>
  </si>
  <si>
    <t>ｱﾒﾘｶｻﾞﾘｶﾞﾆ</t>
  </si>
  <si>
    <t>1、2歳魚</t>
  </si>
  <si>
    <t>Oncorhynchus masou</t>
  </si>
  <si>
    <t>ｻｸﾗﾏｽ</t>
  </si>
  <si>
    <t>昆虫類</t>
  </si>
  <si>
    <t xml:space="preserve">Oncorhynchus masou </t>
  </si>
  <si>
    <t>ﾔﾏﾒ(小型個体)</t>
  </si>
  <si>
    <t>当歳魚</t>
  </si>
  <si>
    <t>ﾔﾏﾒ(中型個体)</t>
  </si>
  <si>
    <t>1歳魚</t>
  </si>
  <si>
    <t>Plecoglossus altivelis</t>
  </si>
  <si>
    <t>ｱﾕ(天然遡上)</t>
  </si>
  <si>
    <t>ﾂﾁｶﾞｴﾙ</t>
  </si>
  <si>
    <t>ｱﾒﾘｶﾅﾏｽﾞ(大型個体)</t>
  </si>
  <si>
    <t>3歳魚</t>
  </si>
  <si>
    <t>小型魚類(ｵｲｶﾜ)</t>
  </si>
  <si>
    <t>Silurus asotus</t>
  </si>
  <si>
    <t>ﾅﾏｽﾞ</t>
  </si>
  <si>
    <t>甲殻類(ｱﾒﾘｶｻﾞﾘｶﾞﾆ)</t>
  </si>
  <si>
    <t>成魚</t>
  </si>
  <si>
    <t>内容物有り(詳細は不明)</t>
  </si>
  <si>
    <t>Ictalurus punctatus</t>
  </si>
  <si>
    <t>ｱﾒﾘｶﾅﾏｽﾞ(中型個体)</t>
  </si>
  <si>
    <t>水生昆虫類(幼虫)</t>
  </si>
  <si>
    <t>新田川</t>
  </si>
  <si>
    <t>Stenopsyche sauteri</t>
  </si>
  <si>
    <t>ﾀﾞﾋﾞﾄﾞｻﾅｴ属</t>
  </si>
  <si>
    <t>Gomphus postocularis</t>
  </si>
  <si>
    <t>Sinogomphus flavolimbatus</t>
  </si>
  <si>
    <t>Atyidae</t>
  </si>
  <si>
    <t>ﾇﾏｴﾋﾞ科</t>
  </si>
  <si>
    <t>Eriocheir japonica</t>
  </si>
  <si>
    <t>ﾓｸｽﾞｶﾞﾆ</t>
  </si>
  <si>
    <t>ｼﾏﾖｼﾉﾎﾞﾘ</t>
  </si>
  <si>
    <t>1歳以上</t>
  </si>
  <si>
    <t>ｵｲｶﾜ</t>
  </si>
  <si>
    <t>ｶﾏﾂｶ</t>
  </si>
  <si>
    <t>真野川</t>
  </si>
  <si>
    <t>ｱｵﾐﾄﾞﾛ属</t>
  </si>
  <si>
    <t>ﾐｽﾞｺﾞｹ属</t>
  </si>
  <si>
    <t>Boyeria maclachlani</t>
  </si>
  <si>
    <t>Planaeschna milnei</t>
  </si>
  <si>
    <t>Davidius nanus</t>
  </si>
  <si>
    <t>ﾔﾏﾒ</t>
  </si>
  <si>
    <t>Cyprinus carpio</t>
  </si>
  <si>
    <t>5歳魚</t>
  </si>
  <si>
    <t>ｱﾕ(放流前)</t>
  </si>
  <si>
    <t>ｱﾕ(天然遡上)</t>
  </si>
  <si>
    <t>太田川</t>
  </si>
  <si>
    <t>水生昆虫</t>
  </si>
  <si>
    <t>幼虫</t>
  </si>
  <si>
    <t>ﾀﾞﾋﾞﾄﾞｻﾅｴ属</t>
  </si>
  <si>
    <t>Stylogomphus suzukii</t>
  </si>
  <si>
    <t>魚類</t>
  </si>
  <si>
    <t>成魚</t>
  </si>
  <si>
    <t>当歳以上</t>
  </si>
  <si>
    <t>1歳以上</t>
  </si>
  <si>
    <t>ｷﾞﾝﾌﾞﾅ</t>
  </si>
  <si>
    <t>4歳魚</t>
  </si>
  <si>
    <t>当歳魚</t>
  </si>
  <si>
    <t>宇多川</t>
  </si>
  <si>
    <t>付着藻類等</t>
  </si>
  <si>
    <t>成体</t>
  </si>
  <si>
    <t>1歳以上</t>
  </si>
  <si>
    <t>秋元湖</t>
  </si>
  <si>
    <t>浮遊藻類等</t>
  </si>
  <si>
    <t>Elodea nuttallii</t>
  </si>
  <si>
    <t>昆虫類</t>
  </si>
  <si>
    <t>成虫</t>
  </si>
  <si>
    <t>植物片、昆虫類</t>
  </si>
  <si>
    <t>ﾌﾅ属</t>
  </si>
  <si>
    <t>5歳以上</t>
  </si>
  <si>
    <t>3歳以上</t>
  </si>
  <si>
    <t>6歳魚</t>
  </si>
  <si>
    <t>ﾔﾏﾒ(中津川採取個体)</t>
  </si>
  <si>
    <t>1歳魚</t>
  </si>
  <si>
    <t>ﾔﾏﾒ(秋元湖採取個体)</t>
  </si>
  <si>
    <t>小型魚類(ﾜｶｻｷﾞ)</t>
  </si>
  <si>
    <t>※比較的新しい落葉</t>
  </si>
  <si>
    <t>猪苗代湖</t>
  </si>
  <si>
    <t>2歳魚</t>
  </si>
  <si>
    <t>小型魚類(ﾜｶｻｷﾞ)</t>
  </si>
  <si>
    <t>3歳魚</t>
  </si>
  <si>
    <t>成魚</t>
  </si>
  <si>
    <t>ｳｸﾞｲ(大型個体)</t>
  </si>
  <si>
    <t>5歳魚</t>
  </si>
  <si>
    <t>ｶｴﾙ類(ｵﾀﾏｼﾞｬｸｼ)</t>
  </si>
  <si>
    <t>幼生</t>
  </si>
  <si>
    <t>ｳｸﾞｲ(小型個体)</t>
  </si>
  <si>
    <t>ﾆｺﾞｲ(小型個体)</t>
  </si>
  <si>
    <t>ﾆｺﾞｲ(大型個体)</t>
  </si>
  <si>
    <t>内容物無し</t>
  </si>
  <si>
    <t>甲殻類片</t>
  </si>
  <si>
    <t>内容物有り(詳細は不明)</t>
  </si>
  <si>
    <t>8歳魚</t>
  </si>
  <si>
    <t>小型魚類</t>
  </si>
  <si>
    <t>いわき市沖</t>
  </si>
  <si>
    <t>小型頭足類片</t>
  </si>
  <si>
    <t>小型魚類(ｶﾚｲ類)</t>
  </si>
  <si>
    <t>ｴﾋﾞ類</t>
  </si>
  <si>
    <t>ｴﾋﾞ類、ｶﾆ類、小型魚類</t>
  </si>
  <si>
    <t>ｶﾆ類</t>
  </si>
  <si>
    <t>ｱﾜﾋﾞ(貝殻)</t>
  </si>
  <si>
    <t>ｱﾜﾋﾞ(軟体部)</t>
  </si>
  <si>
    <t>相馬市沖</t>
  </si>
  <si>
    <t>H.25.7.31</t>
  </si>
  <si>
    <t>藻類・海藻</t>
  </si>
  <si>
    <t>浮遊藻類等</t>
  </si>
  <si>
    <t>ｱﾅｱｵｻ</t>
  </si>
  <si>
    <t>ｱﾏﾓ</t>
  </si>
  <si>
    <t>多毛綱</t>
  </si>
  <si>
    <t>ｱﾐ科</t>
  </si>
  <si>
    <t>多数</t>
  </si>
  <si>
    <t>ﾃｯﾎﾟｳｴﾋﾞ属</t>
  </si>
  <si>
    <t>ｲｿｶﾞﾆ属</t>
  </si>
  <si>
    <t>ﾏｶﾞｷ(貝殻)</t>
  </si>
  <si>
    <t>ﾏｶﾞｷ(軟体部)</t>
  </si>
  <si>
    <t>ｱｻﾘ(貝殻)</t>
  </si>
  <si>
    <t>ｱｻﾘ(軟体部)</t>
  </si>
  <si>
    <t>成魚/未成魚</t>
  </si>
  <si>
    <t>ｶﾚｲ科</t>
  </si>
  <si>
    <t>ﾋﾗﾂﾒｶﾞﾆ</t>
  </si>
  <si>
    <t>Lateolabrax japonicus</t>
  </si>
  <si>
    <t>ｽｽﾞｷ</t>
  </si>
  <si>
    <t xml:space="preserve">Hexagrammos otakii </t>
  </si>
  <si>
    <t>ｱｲﾅﾒ</t>
  </si>
  <si>
    <t>Paralichthys olivaceus</t>
  </si>
  <si>
    <t>ﾋﾗﾒ</t>
  </si>
  <si>
    <t xml:space="preserve">Kareius bicoloratus </t>
  </si>
  <si>
    <t>ｲｼｶﾞﾚｲ</t>
  </si>
  <si>
    <t>ﾎｳﾎﾞｳ</t>
  </si>
  <si>
    <t>ｴﾋﾞ類、小型魚類</t>
  </si>
  <si>
    <t>門</t>
  </si>
  <si>
    <t>綱</t>
  </si>
  <si>
    <t>目</t>
  </si>
  <si>
    <t>科</t>
  </si>
  <si>
    <t>種名</t>
  </si>
  <si>
    <t>和名</t>
  </si>
  <si>
    <t>特記事項</t>
  </si>
  <si>
    <t>Sr-90
(Bq/kg-wet)</t>
  </si>
  <si>
    <t>節足動物</t>
  </si>
  <si>
    <t>昆虫</t>
  </si>
  <si>
    <t>両生</t>
  </si>
  <si>
    <t>脊椎動物</t>
  </si>
  <si>
    <t>硬骨魚</t>
  </si>
  <si>
    <t>無尾</t>
  </si>
  <si>
    <t>有尾</t>
  </si>
  <si>
    <t>軟甲</t>
  </si>
  <si>
    <t>十脚</t>
  </si>
  <si>
    <t>A-2
(原瀬川)</t>
  </si>
  <si>
    <t>B-3
(摺上川)</t>
  </si>
  <si>
    <t>腹足</t>
  </si>
  <si>
    <t>吸腔</t>
  </si>
  <si>
    <t>硬骨魚</t>
  </si>
  <si>
    <t>軟体動物</t>
  </si>
  <si>
    <t>ｽﾄﾚﾌﾟﾄ植物</t>
  </si>
  <si>
    <t>接合藻</t>
  </si>
  <si>
    <t>ﾏｺﾞｹ植物</t>
  </si>
  <si>
    <t>単子葉植物</t>
  </si>
  <si>
    <t>被子植物</t>
  </si>
  <si>
    <t>節足動物</t>
  </si>
  <si>
    <t>双子葉植物</t>
  </si>
  <si>
    <t>軟体動物</t>
  </si>
  <si>
    <t>原始紐舌</t>
  </si>
  <si>
    <t>原始腹足</t>
  </si>
  <si>
    <t>腹足</t>
  </si>
  <si>
    <t>二枚貝</t>
  </si>
  <si>
    <t>棘皮動物</t>
  </si>
  <si>
    <t>褐藻</t>
  </si>
  <si>
    <t>被子植物</t>
  </si>
  <si>
    <t>ｱｵｻ藻</t>
  </si>
  <si>
    <t>環形動物</t>
  </si>
  <si>
    <t>多毛</t>
  </si>
  <si>
    <t>軟骨魚</t>
  </si>
  <si>
    <t>D-1
D-2</t>
  </si>
  <si>
    <t>C-6</t>
  </si>
  <si>
    <t>H-1
H-2
H-3</t>
  </si>
  <si>
    <t>I-1
I-2
(北岸)</t>
  </si>
  <si>
    <t>J-1
(南岸)</t>
  </si>
  <si>
    <t>G-1
G-2
G-3</t>
  </si>
  <si>
    <t>G-4</t>
  </si>
  <si>
    <t>M-1
M-2
M-3
(久之浜)</t>
  </si>
  <si>
    <t>M-4
(久之浜)</t>
  </si>
  <si>
    <t>L-1
L-2
L-3
(松川浦)</t>
  </si>
  <si>
    <t>(Bq/L)</t>
  </si>
  <si>
    <t>(Bq/kg-dry)</t>
  </si>
  <si>
    <t>N.D.(&lt;0.19)</t>
  </si>
  <si>
    <t>N.D.(&lt;0.16)</t>
  </si>
  <si>
    <t>N.D.(&lt;0.15)</t>
  </si>
  <si>
    <t>N.D.(&lt;0.20)</t>
  </si>
  <si>
    <t>粗粒状有機物</t>
  </si>
  <si>
    <t>粗粒状有機物</t>
  </si>
  <si>
    <t>D-4a
D-4b</t>
  </si>
  <si>
    <t>E-1
E-2a
E-2b</t>
  </si>
  <si>
    <t>はやま湖(真野川水系)</t>
  </si>
  <si>
    <t>阿武隈川河口沖(亘理町沖)</t>
  </si>
  <si>
    <t xml:space="preserve">
阿武隈川河口
周辺海域</t>
  </si>
  <si>
    <t>注）N.D.は,検出下限値未満であることを示す。</t>
  </si>
  <si>
    <t>※比較的古い落葉</t>
  </si>
  <si>
    <t>（mg/g-dry）</t>
  </si>
  <si>
    <t>褐藻植物</t>
  </si>
  <si>
    <t>緑藻植物</t>
  </si>
  <si>
    <t>平成25年度7月調査</t>
  </si>
  <si>
    <t>－</t>
  </si>
  <si>
    <t>ｱｵｻ</t>
  </si>
  <si>
    <t>Ulva pertusa</t>
  </si>
  <si>
    <t>ｲﾊﾞﾗﾓ</t>
  </si>
  <si>
    <t>ｱﾏﾓ</t>
  </si>
  <si>
    <t>Zostera marina</t>
  </si>
  <si>
    <t>Polychaeta</t>
  </si>
  <si>
    <t>ｱﾐ</t>
  </si>
  <si>
    <t>Mysidae</t>
  </si>
  <si>
    <t>ﾃｯﾎﾟｳｴﾋﾞ</t>
  </si>
  <si>
    <r>
      <t xml:space="preserve">Alpheus </t>
    </r>
    <r>
      <rPr>
        <sz val="10"/>
        <rFont val="ＭＳ 明朝"/>
        <family val="1"/>
      </rPr>
      <t>sp.</t>
    </r>
  </si>
  <si>
    <t>ﾓｸｽﾞｶﾞﾆ</t>
  </si>
  <si>
    <t>ﾜﾀﾘｶﾞﾆ</t>
  </si>
  <si>
    <t>Charybdis japonica</t>
  </si>
  <si>
    <t>ｲｼｶﾞﾆ</t>
  </si>
  <si>
    <r>
      <t xml:space="preserve">Hemigrapsus </t>
    </r>
    <r>
      <rPr>
        <sz val="10"/>
        <rFont val="ＭＳ 明朝"/>
        <family val="1"/>
      </rPr>
      <t>sp.</t>
    </r>
  </si>
  <si>
    <t>ｳｸﾞｲｽｶﾞｲ</t>
  </si>
  <si>
    <t>ｲﾀﾎﾞｶﾞｷ</t>
  </si>
  <si>
    <t>Crassostrea gigas</t>
  </si>
  <si>
    <t>ﾏﾙｽﾀﾞﾚｶﾞｲ</t>
  </si>
  <si>
    <t>Ruditapes philippinarum</t>
  </si>
  <si>
    <t>ｶﾚｲ</t>
  </si>
  <si>
    <t>Pleuronectidae</t>
  </si>
  <si>
    <t>ｽｽﾞｷ</t>
  </si>
  <si>
    <t>ﾊｾﾞ</t>
  </si>
  <si>
    <t>Favonigobius gymnauchen</t>
  </si>
  <si>
    <t>ﾋﾒﾊｾﾞ</t>
  </si>
  <si>
    <t>ﾆｼﾝ</t>
  </si>
  <si>
    <t>Konosirus punctatus</t>
  </si>
  <si>
    <t>ｺﾉｼﾛ</t>
  </si>
  <si>
    <t>ｳﾆ</t>
  </si>
  <si>
    <t>ﾎﾝｳﾆﾓﾄﾞｷ</t>
  </si>
  <si>
    <t>Glyptocidaris crenularis</t>
  </si>
  <si>
    <t>ﾂｶﾞﾙｳﾆ</t>
  </si>
  <si>
    <t>ﾀｲ</t>
  </si>
  <si>
    <t xml:space="preserve">Evynnis japonica </t>
  </si>
  <si>
    <t>ﾁﾀﾞｲ</t>
  </si>
  <si>
    <t>ﾏﾄｳﾀﾞｲ</t>
  </si>
  <si>
    <t xml:space="preserve">Zeus faber </t>
  </si>
  <si>
    <t>ﾏﾄｳﾀﾞｲ</t>
  </si>
  <si>
    <t>ｶｻｺﾞ</t>
  </si>
  <si>
    <t>ｱｲﾅﾒ</t>
  </si>
  <si>
    <t>ﾋﾗﾒ</t>
  </si>
  <si>
    <t>Pleuronectes yokohamae</t>
  </si>
  <si>
    <t>ﾏｺｶﾞﾚｲ</t>
  </si>
  <si>
    <t>ﾎｳﾎﾞｳ</t>
  </si>
  <si>
    <t>Lepidotrigla microptera</t>
  </si>
  <si>
    <t>ｶﾅｶﾞｼﾗ</t>
  </si>
  <si>
    <t>ｶﾞﾝｷﾞｴｲ</t>
  </si>
  <si>
    <t xml:space="preserve">Okamejei kenojei </t>
  </si>
  <si>
    <t>ｺﾓﾝｶｽﾍﾞ</t>
  </si>
  <si>
    <t>ﾒｼﾞﾛｻﾞﾒ</t>
  </si>
  <si>
    <t>ﾄﾞﾁｻﾞﾒ</t>
  </si>
  <si>
    <t xml:space="preserve">Mustelus manazo </t>
  </si>
  <si>
    <t>ﾎｼｻﾞﾒ</t>
  </si>
  <si>
    <t>ｺﾝﾌﾞ</t>
  </si>
  <si>
    <t>Eisenia bicyclis</t>
  </si>
  <si>
    <t>ｱﾗﾒ</t>
  </si>
  <si>
    <t>N.D.</t>
  </si>
  <si>
    <t>N.D.(&lt;0.63)</t>
  </si>
  <si>
    <t>N.D.(&lt;0.57)</t>
  </si>
  <si>
    <t>ﾎﾝｳﾆ</t>
  </si>
  <si>
    <t>ｵｵﾊﾞﾌﾝｳﾆ</t>
  </si>
  <si>
    <t xml:space="preserve">Strongylocentrotus nudus  </t>
  </si>
  <si>
    <t>ｷﾀﾑﾗｻｷｳﾆ</t>
  </si>
  <si>
    <t>ﾐﾐｶﾞｲ</t>
  </si>
  <si>
    <t>Haliotis discus</t>
  </si>
  <si>
    <t xml:space="preserve">Ovalipes punctatus </t>
  </si>
  <si>
    <t>N.D.(&lt;0.43)</t>
  </si>
  <si>
    <t>N.D.(&lt;0.019)</t>
  </si>
  <si>
    <t xml:space="preserve">Chelidonichthys spinosus </t>
  </si>
  <si>
    <t>Pseudopleuronectes herzensteini</t>
  </si>
  <si>
    <t>ﾏｶﾞﾚｲ</t>
  </si>
  <si>
    <t>N.D.(&lt;0.014)</t>
  </si>
  <si>
    <t>N.D.(&lt;0.012)</t>
  </si>
  <si>
    <t>N.D.(&lt;0.015)</t>
  </si>
  <si>
    <t>ｺｲ</t>
  </si>
  <si>
    <t xml:space="preserve">Tribolodon hakonensis </t>
  </si>
  <si>
    <t>ｳｸﾞｲ</t>
  </si>
  <si>
    <r>
      <t xml:space="preserve">Carassius </t>
    </r>
    <r>
      <rPr>
        <sz val="10"/>
        <rFont val="ＭＳ 明朝"/>
        <family val="1"/>
      </rPr>
      <t>sp.</t>
    </r>
  </si>
  <si>
    <t>ｻｹ</t>
  </si>
  <si>
    <t>Oncorhynchus masou</t>
  </si>
  <si>
    <t>ｻｸﾗﾏｽ</t>
  </si>
  <si>
    <t>Salvelinus leucomaenis</t>
  </si>
  <si>
    <t>ｲﾜﾅ</t>
  </si>
  <si>
    <t>ｻﾝﾌｨｯｼｭ</t>
  </si>
  <si>
    <t xml:space="preserve">Micropterus dolomieu </t>
  </si>
  <si>
    <t>ｺｸﾁﾊﾞｽ</t>
  </si>
  <si>
    <t>ﾅﾏｽﾞ</t>
  </si>
  <si>
    <t>Silurus asotus</t>
  </si>
  <si>
    <t>ﾅﾏｽﾞ</t>
  </si>
  <si>
    <t>N.D.(&lt;0.99)</t>
  </si>
  <si>
    <t>ｽｲﾚﾝ</t>
  </si>
  <si>
    <t>Nuphar japonicum</t>
  </si>
  <si>
    <t>ｺｳﾎﾈ</t>
  </si>
  <si>
    <t>ﾄﾁｶｶﾞﾐ</t>
  </si>
  <si>
    <t>Elodea nuttallii</t>
  </si>
  <si>
    <t>ｺｶﾅﾀﾞﾓ</t>
  </si>
  <si>
    <t>N.D.(&lt;3.5)</t>
  </si>
  <si>
    <t>N.D.(&lt;3.0)</t>
  </si>
  <si>
    <t>ﾃﾅｶﾞｴﾋﾞ</t>
  </si>
  <si>
    <t>Palaemon paucidens</t>
  </si>
  <si>
    <t>ｽｼﾞｴﾋﾞ</t>
  </si>
  <si>
    <t>ﾀﾆｼ</t>
  </si>
  <si>
    <t xml:space="preserve">Bellamya japonica </t>
  </si>
  <si>
    <t>ｵｵﾀﾆｼ</t>
  </si>
  <si>
    <t>ﾄﾞｼﾞｮｳ</t>
  </si>
  <si>
    <t>Misgurnus anguillicaudatus</t>
  </si>
  <si>
    <t>ﾄﾞｼﾞｮｳ</t>
  </si>
  <si>
    <t>N.D.(&lt;0.96)</t>
  </si>
  <si>
    <t>N.D.(&lt;0.95)</t>
  </si>
  <si>
    <t>ｱｶｶﾞｴﾙ</t>
  </si>
  <si>
    <t>Rana rugosa</t>
  </si>
  <si>
    <t>ﾂﾁｶﾞｴﾙ</t>
  </si>
  <si>
    <t>Pseudogobio esocinus</t>
  </si>
  <si>
    <t>ｶﾏﾂｶ</t>
  </si>
  <si>
    <t xml:space="preserve">Hemibarbus barbus </t>
  </si>
  <si>
    <t>ｷｭｳﾘｳｵ</t>
  </si>
  <si>
    <t xml:space="preserve">Hypomesus nipponensis </t>
  </si>
  <si>
    <t>ﾜｶｻｷﾞ</t>
  </si>
  <si>
    <t>N.D.(&lt;0.96)</t>
  </si>
  <si>
    <t>ｺｳﾁｭｳ</t>
  </si>
  <si>
    <t>ﾎﾀﾙ</t>
  </si>
  <si>
    <t>Luciola cruciata</t>
  </si>
  <si>
    <t>ｹﾞﾝｼﾞﾎﾞﾀﾙ</t>
  </si>
  <si>
    <t>N.D.(&lt;22)</t>
  </si>
  <si>
    <t>N.D.(&lt;21)</t>
  </si>
  <si>
    <t>ｻﾞﾘｶﾞﾆ</t>
  </si>
  <si>
    <t>Pacifastacus leniusculus trowbridgii</t>
  </si>
  <si>
    <t>ｳﾁﾀﾞｻﾞﾘｶﾞﾆ</t>
  </si>
  <si>
    <t>ｶﾜﾆﾅ</t>
  </si>
  <si>
    <t>Semisulcospira libertina</t>
  </si>
  <si>
    <t>Phoxinus lagowskii steindachneri</t>
  </si>
  <si>
    <t>ｱﾌﾞﾗﾊﾔ</t>
  </si>
  <si>
    <t>Zacco platypus</t>
  </si>
  <si>
    <t>ｵｲｶﾜ</t>
  </si>
  <si>
    <r>
      <t>Carassius</t>
    </r>
    <r>
      <rPr>
        <sz val="10"/>
        <rFont val="ＭＳ 明朝"/>
        <family val="1"/>
      </rPr>
      <t xml:space="preserve"> sp.</t>
    </r>
  </si>
  <si>
    <t>内容物有り(詳細は不明)</t>
  </si>
  <si>
    <t>ﾆｺﾞｲ</t>
  </si>
  <si>
    <t>Cyprinus carpio</t>
  </si>
  <si>
    <t xml:space="preserve">Oncorhynchus masou </t>
  </si>
  <si>
    <t>ｱｵｶﾞｴﾙ</t>
  </si>
  <si>
    <t>Rhacophorus arboreus</t>
  </si>
  <si>
    <t>ﾓﾘｱｵｶﾞｴﾙ</t>
  </si>
  <si>
    <t>Rhacophorus schlegelii</t>
  </si>
  <si>
    <t>ｼｭﾚｰｹﾞﾙｱｵｶﾞｴﾙ</t>
  </si>
  <si>
    <t>Rana ornativentris</t>
  </si>
  <si>
    <t>ﾔﾏｱｶｶﾞｴﾙ</t>
  </si>
  <si>
    <t>ﾋｷｶﾞｴﾙ</t>
  </si>
  <si>
    <t>Bufo japonicus formosus</t>
  </si>
  <si>
    <t>ｱｽﾞﾏﾋｷｶﾞｴﾙ</t>
  </si>
  <si>
    <t>ｲﾓﾘ</t>
  </si>
  <si>
    <t>Cynops pyrrhogaster</t>
  </si>
  <si>
    <t xml:space="preserve">Carassius auratus </t>
  </si>
  <si>
    <t>ｷﾞﾝﾌﾞﾅ</t>
  </si>
  <si>
    <t>ﾔﾏﾒ</t>
  </si>
  <si>
    <t>ﾎｼﾐﾄﾞﾛ</t>
  </si>
  <si>
    <r>
      <t xml:space="preserve">Spirogyra </t>
    </r>
    <r>
      <rPr>
        <sz val="10"/>
        <rFont val="ＭＳ 明朝"/>
        <family val="1"/>
      </rPr>
      <t>sp.</t>
    </r>
  </si>
  <si>
    <t>ﾋﾙﾑｼﾛ</t>
  </si>
  <si>
    <t xml:space="preserve">Potamogeton pusillus </t>
  </si>
  <si>
    <t>ｲﾄﾓ</t>
  </si>
  <si>
    <t>ﾄﾋﾞｹﾗ</t>
  </si>
  <si>
    <t>ﾋｹﾞﾅｶﾞｶﾜﾄﾋﾞｹﾗ</t>
  </si>
  <si>
    <t>ﾁｬﾊﾞﾈﾋｹﾞﾅｶﾞｶﾜﾄﾋﾞｹﾗ</t>
  </si>
  <si>
    <t>ﾍﾋﾞﾄﾝﾎﾞ</t>
  </si>
  <si>
    <t>Parachauliodes continentalis</t>
  </si>
  <si>
    <t>Rhinogobius flumineus</t>
  </si>
  <si>
    <t>ｶﾜﾖｼﾉﾎﾞﾘ</t>
  </si>
  <si>
    <t>ﾐｽﾞｺﾞｹ</t>
  </si>
  <si>
    <r>
      <t xml:space="preserve">Sphagnum </t>
    </r>
    <r>
      <rPr>
        <sz val="10"/>
        <rFont val="ＭＳ 明朝"/>
        <family val="1"/>
      </rPr>
      <t>sp.</t>
    </r>
  </si>
  <si>
    <t>ﾄﾝﾎﾞ</t>
  </si>
  <si>
    <t>ｴｿﾞﾄﾝﾎﾞ</t>
  </si>
  <si>
    <t>ｺﾔﾏﾄﾝﾎﾞ</t>
  </si>
  <si>
    <t>ｵﾆﾔﾝﾏ</t>
  </si>
  <si>
    <t>ｵﾆﾔﾝﾏ</t>
  </si>
  <si>
    <t>ｻﾅｴﾄﾝﾎﾞ</t>
  </si>
  <si>
    <t>ﾐﾔﾏｻﾅｴ</t>
  </si>
  <si>
    <t>ﾔﾏｻﾅｴ</t>
  </si>
  <si>
    <t>ﾀﾞﾋﾞﾄﾞｻﾅｴ</t>
  </si>
  <si>
    <r>
      <t xml:space="preserve">Davidius </t>
    </r>
    <r>
      <rPr>
        <sz val="10"/>
        <rFont val="ＭＳ 明朝"/>
        <family val="1"/>
      </rPr>
      <t>sp.</t>
    </r>
  </si>
  <si>
    <t>ｱｵｻﾅｴ</t>
  </si>
  <si>
    <t>ｵﾅｶﾞｻﾅｴ</t>
  </si>
  <si>
    <t>ｺｵﾆﾔﾝﾏ</t>
  </si>
  <si>
    <t>ｵｼﾞﾛｻﾅｴ</t>
  </si>
  <si>
    <t>ﾔﾝﾏ</t>
  </si>
  <si>
    <t>ｺｼﾎﾞｿﾔﾝﾏ</t>
  </si>
  <si>
    <r>
      <t xml:space="preserve">Sympetrum </t>
    </r>
    <r>
      <rPr>
        <sz val="10"/>
        <rFont val="ＭＳ 明朝"/>
        <family val="1"/>
      </rPr>
      <t>sp.</t>
    </r>
  </si>
  <si>
    <t>ﾇﾏｴﾋﾞ</t>
  </si>
  <si>
    <t>ｱﾒﾘｶｻﾞﾘｶﾞﾆ</t>
  </si>
  <si>
    <t>Cobitis biwae</t>
  </si>
  <si>
    <t>ｼﾏﾄﾞｼﾞｮｳ</t>
  </si>
  <si>
    <t>Rhinogobius fluviatilis</t>
  </si>
  <si>
    <t>ｵｵﾖｼﾉﾎﾞﾘ</t>
  </si>
  <si>
    <t>ｺﾔﾏﾄﾝﾎﾞ</t>
  </si>
  <si>
    <t>ﾔﾏｻﾅｴ</t>
  </si>
  <si>
    <t>ﾎﾝｻﾅｴ</t>
  </si>
  <si>
    <t>ｵﾅｶﾞｻﾅｴ</t>
  </si>
  <si>
    <t>ｺｵﾆﾔﾝﾏ</t>
  </si>
  <si>
    <t>ﾋﾒｻﾅｴ</t>
  </si>
  <si>
    <t xml:space="preserve">Hemibarbus barbus </t>
  </si>
  <si>
    <t>ﾆｺﾞｲ</t>
  </si>
  <si>
    <t xml:space="preserve">Zacco platypus </t>
  </si>
  <si>
    <r>
      <t>Rhinogobius</t>
    </r>
    <r>
      <rPr>
        <sz val="10"/>
        <rFont val="ＭＳ 明朝"/>
        <family val="1"/>
      </rPr>
      <t xml:space="preserve"> sp.</t>
    </r>
  </si>
  <si>
    <t>Zacco platypus</t>
  </si>
  <si>
    <t>ｵｲｶﾜ</t>
  </si>
  <si>
    <t>ｳｸﾞｲ</t>
  </si>
  <si>
    <t>Rana catesbeiana</t>
  </si>
  <si>
    <t>ｳｼｶﾞｴﾙ(ｵﾀﾏｼﾞｬｸｼ)</t>
  </si>
  <si>
    <t>ﾀﾞﾋﾞﾄﾞｻﾅｴ</t>
  </si>
  <si>
    <t>ｱｵｻﾅｴ</t>
  </si>
  <si>
    <t>ｺｼﾎﾞｿﾔﾝﾏ</t>
  </si>
  <si>
    <t>ﾐﾙﾝﾔﾝﾏ</t>
  </si>
  <si>
    <r>
      <t xml:space="preserve">Rhinogobius </t>
    </r>
    <r>
      <rPr>
        <sz val="10"/>
        <rFont val="ＭＳ 明朝"/>
        <family val="1"/>
      </rPr>
      <t>sp.</t>
    </r>
  </si>
  <si>
    <r>
      <t>Davidius</t>
    </r>
    <r>
      <rPr>
        <sz val="10"/>
        <rFont val="ＭＳ 明朝"/>
        <family val="1"/>
      </rPr>
      <t xml:space="preserve"> sp.</t>
    </r>
  </si>
  <si>
    <t>Eriocheir japonica</t>
  </si>
  <si>
    <t>Nipponocypris temminckii</t>
  </si>
  <si>
    <t>ｶﾜﾑﾂ</t>
  </si>
  <si>
    <t>Rana japonica</t>
  </si>
  <si>
    <t>ﾆﾎﾝｱｶｶﾞｴﾙ</t>
  </si>
  <si>
    <t>ｱﾏｶﾞｴﾙ</t>
  </si>
  <si>
    <t>Hyla japonica</t>
  </si>
  <si>
    <t>ﾆﾎﾝｱﾏｶﾞｴﾙ</t>
  </si>
  <si>
    <t>ｱﾒﾘｶﾅﾏｽﾞ</t>
  </si>
  <si>
    <t>Ictalurus punctatus</t>
  </si>
  <si>
    <r>
      <t>Spirogyra</t>
    </r>
    <r>
      <rPr>
        <sz val="10"/>
        <rFont val="ＭＳ 明朝"/>
        <family val="1"/>
      </rPr>
      <t xml:space="preserve"> sp.</t>
    </r>
  </si>
  <si>
    <t>N.D.</t>
  </si>
  <si>
    <t>N.D.(&lt;1.5)</t>
  </si>
  <si>
    <t>N.D.(&lt;1.2)</t>
  </si>
  <si>
    <t>ﾐﾔﾏｻﾅｴ</t>
  </si>
  <si>
    <t>ﾀﾞﾋﾞﾄﾞｻﾅｴ属</t>
  </si>
  <si>
    <t>ｼｵｶﾗﾄﾝﾎﾞ</t>
  </si>
  <si>
    <r>
      <t xml:space="preserve">Neocaridina </t>
    </r>
    <r>
      <rPr>
        <sz val="10"/>
        <rFont val="ＭＳ 明朝"/>
        <family val="1"/>
      </rPr>
      <t>sp.</t>
    </r>
  </si>
  <si>
    <t>ｱﾌﾞﾗﾊﾔ</t>
  </si>
  <si>
    <t>N.D.(&lt;0.022)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</si>
</sst>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#,##0.00_ "/>
    <numFmt numFmtId="179" formatCode="#,##0.0_ "/>
    <numFmt numFmtId="180" formatCode="#,##0.000_ "/>
    <numFmt numFmtId="181" formatCode="0.00_ "/>
    <numFmt numFmtId="182" formatCode="0.0_ "/>
    <numFmt numFmtId="183" formatCode="0_ "/>
    <numFmt numFmtId="184" formatCode="0.000_ "/>
    <numFmt numFmtId="185" formatCode="0.00_);[Red]\(0.00\)"/>
    <numFmt numFmtId="186" formatCode="0.0_);[Red]\(0.0\)"/>
    <numFmt numFmtId="187" formatCode="#,##0_);[Red]\(#,##0\)"/>
    <numFmt numFmtId="188" formatCode="#,##0.00_);[Red]\(#,##0.00\)"/>
    <numFmt numFmtId="189" formatCode="0.000_);[Red]\(0.000\)"/>
    <numFmt numFmtId="190" formatCode="0.0000_);[Red]\(0.0000\)"/>
    <numFmt numFmtId="191" formatCode="0_);[Red]\(0\)"/>
    <numFmt numFmtId="192" formatCode="#,##0.0000_ "/>
    <numFmt numFmtId="193" formatCode="#,##0.0_);[Red]\(#,##0.0\)"/>
    <numFmt numFmtId="194" formatCode="#,##0.000_);[Red]\(#,##0.0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_ "/>
    <numFmt numFmtId="200" formatCode="m/d"/>
    <numFmt numFmtId="201" formatCode="m/d;@"/>
    <numFmt numFmtId="202" formatCode="0;_耄"/>
    <numFmt numFmtId="203" formatCode="0;_怄"/>
    <numFmt numFmtId="204" formatCode="0.0;_怄"/>
    <numFmt numFmtId="205" formatCode="0.00;_怄"/>
    <numFmt numFmtId="206" formatCode="0.0;_䐀"/>
    <numFmt numFmtId="207" formatCode="0.0;_ࠀ"/>
    <numFmt numFmtId="208" formatCode="0.0"/>
    <numFmt numFmtId="209" formatCode="0.000"/>
    <numFmt numFmtId="210" formatCode="hh:mm\ AM/PM"/>
    <numFmt numFmtId="211" formatCode="0.0%"/>
    <numFmt numFmtId="212" formatCode="m&quot;月&quot;d&quot;日&quot;;@"/>
    <numFmt numFmtId="213" formatCode="0.000000"/>
    <numFmt numFmtId="214" formatCode="\&lt;0.0"/>
    <numFmt numFmtId="215" formatCode="\&lt;0"/>
    <numFmt numFmtId="216" formatCode="yyyy&quot;年&quot;m&quot;月&quot;d&quot;日&quot;;@"/>
    <numFmt numFmtId="217" formatCode="[$-F800]dddd\,\ mmmm\ dd\,\ yyyy"/>
    <numFmt numFmtId="218" formatCode="mmm\-yyyy"/>
    <numFmt numFmtId="219" formatCode="0.00000_ "/>
    <numFmt numFmtId="220" formatCode="[&lt;=999]0.000;[&lt;=9999]000\-00;000\-0000"/>
    <numFmt numFmtId="221" formatCode="[&lt;=999]0.0;[&lt;=9999]000\-00;000\-0000"/>
    <numFmt numFmtId="222" formatCode="[&lt;=999]00.0;[&lt;=9999]000\-00;000\-0000"/>
    <numFmt numFmtId="223" formatCode="0.0000"/>
    <numFmt numFmtId="224" formatCode="m/d\ h:mm"/>
    <numFmt numFmtId="225" formatCode="#,##0.0000_);[Red]\(#,##0.0000\)"/>
    <numFmt numFmtId="226" formatCode="#,##0.00000_ "/>
    <numFmt numFmtId="227" formatCode="0.00000_);[Red]\(0.00000\)"/>
    <numFmt numFmtId="228" formatCode="0.000000_ 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9.9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vertAlign val="subscript"/>
      <sz val="10"/>
      <name val="ＭＳ 明朝"/>
      <family val="1"/>
    </font>
    <font>
      <vertAlign val="superscript"/>
      <sz val="10"/>
      <name val="ＭＳ 明朝"/>
      <family val="1"/>
    </font>
    <font>
      <sz val="11"/>
      <name val="ＭＳ 明朝"/>
      <family val="1"/>
    </font>
    <font>
      <u val="single"/>
      <sz val="10"/>
      <name val="ＭＳ 明朝"/>
      <family val="1"/>
    </font>
    <font>
      <i/>
      <sz val="10"/>
      <name val="ＭＳ 明朝"/>
      <family val="1"/>
    </font>
    <font>
      <sz val="16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0"/>
      <color indexed="10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42">
    <xf numFmtId="0" fontId="0" fillId="0" borderId="0" xfId="0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62" applyFont="1" applyBorder="1">
      <alignment/>
      <protection/>
    </xf>
    <xf numFmtId="185" fontId="22" fillId="0" borderId="0" xfId="0" applyNumberFormat="1" applyFont="1" applyFill="1" applyAlignment="1">
      <alignment vertical="center"/>
    </xf>
    <xf numFmtId="0" fontId="22" fillId="0" borderId="0" xfId="63" applyFont="1">
      <alignment/>
      <protection/>
    </xf>
    <xf numFmtId="0" fontId="22" fillId="0" borderId="11" xfId="63" applyFont="1" applyFill="1" applyBorder="1" applyAlignment="1">
      <alignment horizontal="center" vertical="center"/>
      <protection/>
    </xf>
    <xf numFmtId="0" fontId="22" fillId="0" borderId="11" xfId="61" applyFont="1" applyFill="1" applyBorder="1" applyAlignment="1">
      <alignment horizontal="center" vertical="center" shrinkToFit="1"/>
      <protection/>
    </xf>
    <xf numFmtId="0" fontId="22" fillId="0" borderId="12" xfId="61" applyFont="1" applyFill="1" applyBorder="1" applyAlignment="1">
      <alignment horizontal="center" vertical="center"/>
      <protection/>
    </xf>
    <xf numFmtId="0" fontId="22" fillId="0" borderId="13" xfId="61" applyFont="1" applyFill="1" applyBorder="1" applyAlignment="1">
      <alignment horizontal="center" vertical="center"/>
      <protection/>
    </xf>
    <xf numFmtId="0" fontId="22" fillId="0" borderId="14" xfId="61" applyFont="1" applyFill="1" applyBorder="1" applyAlignment="1">
      <alignment horizontal="center" vertical="center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 shrinkToFit="1"/>
      <protection/>
    </xf>
    <xf numFmtId="0" fontId="22" fillId="0" borderId="18" xfId="61" applyFont="1" applyFill="1" applyBorder="1" applyAlignment="1">
      <alignment horizontal="center" vertical="center" shrinkToFit="1"/>
      <protection/>
    </xf>
    <xf numFmtId="0" fontId="22" fillId="0" borderId="19" xfId="61" applyFont="1" applyFill="1" applyBorder="1" applyAlignment="1">
      <alignment horizontal="center" vertical="center" shrinkToFit="1"/>
      <protection/>
    </xf>
    <xf numFmtId="0" fontId="22" fillId="0" borderId="11" xfId="61" applyFont="1" applyFill="1" applyBorder="1" applyAlignment="1">
      <alignment horizontal="center" vertical="center"/>
      <protection/>
    </xf>
    <xf numFmtId="0" fontId="22" fillId="0" borderId="0" xfId="61" applyFont="1" applyFill="1" applyBorder="1" applyAlignment="1">
      <alignment horizontal="center" vertical="center"/>
      <protection/>
    </xf>
    <xf numFmtId="185" fontId="22" fillId="0" borderId="11" xfId="62" applyNumberFormat="1" applyFont="1" applyFill="1" applyBorder="1" applyAlignment="1">
      <alignment horizontal="center" vertical="center"/>
      <protection/>
    </xf>
    <xf numFmtId="0" fontId="22" fillId="0" borderId="20" xfId="63" applyFont="1" applyFill="1" applyBorder="1" applyAlignment="1">
      <alignment horizontal="center" vertical="center"/>
      <protection/>
    </xf>
    <xf numFmtId="185" fontId="22" fillId="0" borderId="21" xfId="62" applyNumberFormat="1" applyFont="1" applyFill="1" applyBorder="1" applyAlignment="1">
      <alignment horizontal="center" vertical="center"/>
      <protection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86" fontId="22" fillId="0" borderId="22" xfId="0" applyNumberFormat="1" applyFont="1" applyBorder="1" applyAlignment="1">
      <alignment vertical="center"/>
    </xf>
    <xf numFmtId="193" fontId="22" fillId="0" borderId="23" xfId="0" applyNumberFormat="1" applyFont="1" applyFill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186" fontId="22" fillId="0" borderId="24" xfId="0" applyNumberFormat="1" applyFont="1" applyBorder="1" applyAlignment="1">
      <alignment vertical="center"/>
    </xf>
    <xf numFmtId="193" fontId="22" fillId="0" borderId="24" xfId="0" applyNumberFormat="1" applyFont="1" applyFill="1" applyBorder="1" applyAlignment="1">
      <alignment vertical="center"/>
    </xf>
    <xf numFmtId="193" fontId="22" fillId="0" borderId="24" xfId="0" applyNumberFormat="1" applyFont="1" applyBorder="1" applyAlignment="1">
      <alignment vertical="center"/>
    </xf>
    <xf numFmtId="185" fontId="22" fillId="0" borderId="24" xfId="62" applyNumberFormat="1" applyFont="1" applyFill="1" applyBorder="1" applyAlignment="1">
      <alignment horizontal="center"/>
      <protection/>
    </xf>
    <xf numFmtId="185" fontId="22" fillId="0" borderId="25" xfId="62" applyNumberFormat="1" applyFont="1" applyFill="1" applyBorder="1" applyAlignment="1">
      <alignment horizontal="center"/>
      <protection/>
    </xf>
    <xf numFmtId="0" fontId="22" fillId="0" borderId="23" xfId="0" applyFont="1" applyFill="1" applyBorder="1" applyAlignment="1">
      <alignment horizontal="center" vertical="center"/>
    </xf>
    <xf numFmtId="186" fontId="22" fillId="0" borderId="23" xfId="0" applyNumberFormat="1" applyFont="1" applyBorder="1" applyAlignment="1">
      <alignment vertical="center"/>
    </xf>
    <xf numFmtId="193" fontId="22" fillId="0" borderId="26" xfId="0" applyNumberFormat="1" applyFont="1" applyFill="1" applyBorder="1" applyAlignment="1">
      <alignment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186" fontId="22" fillId="0" borderId="27" xfId="0" applyNumberFormat="1" applyFont="1" applyBorder="1" applyAlignment="1">
      <alignment vertical="center"/>
    </xf>
    <xf numFmtId="193" fontId="22" fillId="0" borderId="27" xfId="0" applyNumberFormat="1" applyFont="1" applyFill="1" applyBorder="1" applyAlignment="1">
      <alignment vertical="center"/>
    </xf>
    <xf numFmtId="185" fontId="22" fillId="0" borderId="27" xfId="62" applyNumberFormat="1" applyFont="1" applyFill="1" applyBorder="1" applyAlignment="1">
      <alignment horizontal="center"/>
      <protection/>
    </xf>
    <xf numFmtId="0" fontId="22" fillId="0" borderId="22" xfId="0" applyFont="1" applyFill="1" applyBorder="1" applyAlignment="1">
      <alignment horizontal="center" vertical="center"/>
    </xf>
    <xf numFmtId="193" fontId="22" fillId="0" borderId="22" xfId="0" applyNumberFormat="1" applyFont="1" applyFill="1" applyBorder="1" applyAlignment="1">
      <alignment vertical="center"/>
    </xf>
    <xf numFmtId="186" fontId="22" fillId="0" borderId="23" xfId="62" applyNumberFormat="1" applyFont="1" applyFill="1" applyBorder="1" applyAlignment="1">
      <alignment horizontal="right"/>
      <protection/>
    </xf>
    <xf numFmtId="185" fontId="22" fillId="0" borderId="23" xfId="62" applyNumberFormat="1" applyFont="1" applyFill="1" applyBorder="1" applyAlignment="1">
      <alignment horizontal="center"/>
      <protection/>
    </xf>
    <xf numFmtId="186" fontId="22" fillId="0" borderId="24" xfId="62" applyNumberFormat="1" applyFont="1" applyFill="1" applyBorder="1" applyAlignment="1">
      <alignment/>
      <protection/>
    </xf>
    <xf numFmtId="0" fontId="22" fillId="0" borderId="11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77" fontId="22" fillId="0" borderId="24" xfId="62" applyNumberFormat="1" applyFont="1" applyFill="1" applyBorder="1" applyAlignment="1">
      <alignment horizontal="center"/>
      <protection/>
    </xf>
    <xf numFmtId="177" fontId="22" fillId="0" borderId="23" xfId="62" applyNumberFormat="1" applyFont="1" applyFill="1" applyBorder="1" applyAlignment="1">
      <alignment horizontal="center"/>
      <protection/>
    </xf>
    <xf numFmtId="177" fontId="22" fillId="0" borderId="27" xfId="62" applyNumberFormat="1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0" xfId="62" applyFont="1">
      <alignment/>
      <protection/>
    </xf>
    <xf numFmtId="0" fontId="22" fillId="0" borderId="0" xfId="63" applyFont="1" applyFill="1">
      <alignment/>
      <protection/>
    </xf>
    <xf numFmtId="177" fontId="22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85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22" fillId="0" borderId="15" xfId="62" applyFont="1" applyFill="1" applyBorder="1" applyAlignment="1">
      <alignment horizontal="center" vertical="center"/>
      <protection/>
    </xf>
    <xf numFmtId="0" fontId="22" fillId="0" borderId="15" xfId="62" applyFont="1" applyFill="1" applyBorder="1" applyAlignment="1">
      <alignment horizontal="center" vertical="center" shrinkToFit="1"/>
      <protection/>
    </xf>
    <xf numFmtId="190" fontId="22" fillId="0" borderId="15" xfId="62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 vertical="center"/>
    </xf>
    <xf numFmtId="0" fontId="22" fillId="0" borderId="21" xfId="62" applyFont="1" applyFill="1" applyBorder="1" applyAlignment="1">
      <alignment horizontal="center" vertical="center"/>
      <protection/>
    </xf>
    <xf numFmtId="190" fontId="22" fillId="0" borderId="21" xfId="62" applyNumberFormat="1" applyFont="1" applyFill="1" applyBorder="1" applyAlignment="1">
      <alignment horizontal="center" vertical="center"/>
      <protection/>
    </xf>
    <xf numFmtId="193" fontId="22" fillId="0" borderId="23" xfId="62" applyNumberFormat="1" applyFont="1" applyFill="1" applyBorder="1" applyAlignment="1">
      <alignment horizontal="right"/>
      <protection/>
    </xf>
    <xf numFmtId="181" fontId="22" fillId="0" borderId="23" xfId="62" applyNumberFormat="1" applyFont="1" applyFill="1" applyBorder="1" applyAlignment="1">
      <alignment horizontal="right"/>
      <protection/>
    </xf>
    <xf numFmtId="183" fontId="22" fillId="0" borderId="23" xfId="62" applyNumberFormat="1" applyFont="1" applyFill="1" applyBorder="1" applyAlignment="1">
      <alignment horizontal="right"/>
      <protection/>
    </xf>
    <xf numFmtId="193" fontId="22" fillId="0" borderId="22" xfId="62" applyNumberFormat="1" applyFont="1" applyFill="1" applyBorder="1" applyAlignment="1">
      <alignment horizontal="right"/>
      <protection/>
    </xf>
    <xf numFmtId="181" fontId="22" fillId="0" borderId="22" xfId="62" applyNumberFormat="1" applyFont="1" applyFill="1" applyBorder="1" applyAlignment="1">
      <alignment horizontal="right"/>
      <protection/>
    </xf>
    <xf numFmtId="186" fontId="22" fillId="0" borderId="22" xfId="62" applyNumberFormat="1" applyFont="1" applyFill="1" applyBorder="1" applyAlignment="1">
      <alignment horizontal="right"/>
      <protection/>
    </xf>
    <xf numFmtId="183" fontId="22" fillId="0" borderId="22" xfId="62" applyNumberFormat="1" applyFont="1" applyFill="1" applyBorder="1" applyAlignment="1">
      <alignment horizontal="right"/>
      <protection/>
    </xf>
    <xf numFmtId="189" fontId="22" fillId="0" borderId="24" xfId="62" applyNumberFormat="1" applyFont="1" applyFill="1" applyBorder="1" applyAlignment="1">
      <alignment/>
      <protection/>
    </xf>
    <xf numFmtId="190" fontId="22" fillId="0" borderId="24" xfId="62" applyNumberFormat="1" applyFont="1" applyFill="1" applyBorder="1" applyAlignment="1">
      <alignment horizontal="center"/>
      <protection/>
    </xf>
    <xf numFmtId="193" fontId="22" fillId="0" borderId="24" xfId="62" applyNumberFormat="1" applyFont="1" applyFill="1" applyBorder="1" applyAlignment="1">
      <alignment horizontal="right"/>
      <protection/>
    </xf>
    <xf numFmtId="181" fontId="22" fillId="0" borderId="24" xfId="62" applyNumberFormat="1" applyFont="1" applyFill="1" applyBorder="1" applyAlignment="1">
      <alignment horizontal="right"/>
      <protection/>
    </xf>
    <xf numFmtId="186" fontId="22" fillId="0" borderId="24" xfId="62" applyNumberFormat="1" applyFont="1" applyFill="1" applyBorder="1" applyAlignment="1">
      <alignment horizontal="right"/>
      <protection/>
    </xf>
    <xf numFmtId="183" fontId="22" fillId="0" borderId="24" xfId="62" applyNumberFormat="1" applyFont="1" applyFill="1" applyBorder="1" applyAlignment="1">
      <alignment horizontal="right"/>
      <protection/>
    </xf>
    <xf numFmtId="193" fontId="22" fillId="0" borderId="27" xfId="62" applyNumberFormat="1" applyFont="1" applyFill="1" applyBorder="1" applyAlignment="1">
      <alignment horizontal="right"/>
      <protection/>
    </xf>
    <xf numFmtId="181" fontId="22" fillId="0" borderId="27" xfId="62" applyNumberFormat="1" applyFont="1" applyFill="1" applyBorder="1" applyAlignment="1">
      <alignment horizontal="right"/>
      <protection/>
    </xf>
    <xf numFmtId="186" fontId="22" fillId="0" borderId="27" xfId="62" applyNumberFormat="1" applyFont="1" applyFill="1" applyBorder="1" applyAlignment="1">
      <alignment horizontal="right"/>
      <protection/>
    </xf>
    <xf numFmtId="183" fontId="22" fillId="0" borderId="27" xfId="62" applyNumberFormat="1" applyFont="1" applyFill="1" applyBorder="1" applyAlignment="1">
      <alignment horizontal="right"/>
      <protection/>
    </xf>
    <xf numFmtId="189" fontId="22" fillId="0" borderId="27" xfId="62" applyNumberFormat="1" applyFont="1" applyFill="1" applyBorder="1" applyAlignment="1">
      <alignment/>
      <protection/>
    </xf>
    <xf numFmtId="190" fontId="22" fillId="0" borderId="27" xfId="62" applyNumberFormat="1" applyFont="1" applyFill="1" applyBorder="1" applyAlignment="1">
      <alignment horizontal="center"/>
      <protection/>
    </xf>
    <xf numFmtId="193" fontId="22" fillId="0" borderId="23" xfId="62" applyNumberFormat="1" applyFont="1" applyFill="1" applyBorder="1" applyAlignment="1">
      <alignment/>
      <protection/>
    </xf>
    <xf numFmtId="186" fontId="22" fillId="0" borderId="23" xfId="62" applyNumberFormat="1" applyFont="1" applyFill="1" applyBorder="1" applyAlignment="1">
      <alignment/>
      <protection/>
    </xf>
    <xf numFmtId="193" fontId="22" fillId="0" borderId="24" xfId="62" applyNumberFormat="1" applyFont="1" applyFill="1" applyBorder="1" applyAlignment="1">
      <alignment/>
      <protection/>
    </xf>
    <xf numFmtId="181" fontId="22" fillId="0" borderId="24" xfId="62" applyNumberFormat="1" applyFont="1" applyFill="1" applyBorder="1" applyAlignment="1">
      <alignment/>
      <protection/>
    </xf>
    <xf numFmtId="193" fontId="22" fillId="0" borderId="27" xfId="62" applyNumberFormat="1" applyFont="1" applyFill="1" applyBorder="1" applyAlignment="1">
      <alignment/>
      <protection/>
    </xf>
    <xf numFmtId="181" fontId="22" fillId="0" borderId="27" xfId="62" applyNumberFormat="1" applyFont="1" applyFill="1" applyBorder="1" applyAlignment="1">
      <alignment/>
      <protection/>
    </xf>
    <xf numFmtId="186" fontId="22" fillId="0" borderId="27" xfId="62" applyNumberFormat="1" applyFont="1" applyFill="1" applyBorder="1" applyAlignment="1">
      <alignment/>
      <protection/>
    </xf>
    <xf numFmtId="189" fontId="22" fillId="0" borderId="23" xfId="62" applyNumberFormat="1" applyFont="1" applyFill="1" applyBorder="1" applyAlignment="1">
      <alignment/>
      <protection/>
    </xf>
    <xf numFmtId="193" fontId="22" fillId="0" borderId="15" xfId="62" applyNumberFormat="1" applyFont="1" applyFill="1" applyBorder="1" applyAlignment="1">
      <alignment horizontal="right"/>
      <protection/>
    </xf>
    <xf numFmtId="190" fontId="22" fillId="0" borderId="23" xfId="62" applyNumberFormat="1" applyFont="1" applyFill="1" applyBorder="1" applyAlignment="1">
      <alignment horizontal="center"/>
      <protection/>
    </xf>
    <xf numFmtId="190" fontId="22" fillId="0" borderId="22" xfId="62" applyNumberFormat="1" applyFont="1" applyFill="1" applyBorder="1" applyAlignment="1">
      <alignment horizontal="center"/>
      <protection/>
    </xf>
    <xf numFmtId="183" fontId="22" fillId="0" borderId="24" xfId="62" applyNumberFormat="1" applyFont="1" applyFill="1" applyBorder="1" applyAlignment="1">
      <alignment/>
      <protection/>
    </xf>
    <xf numFmtId="193" fontId="22" fillId="0" borderId="25" xfId="62" applyNumberFormat="1" applyFont="1" applyFill="1" applyBorder="1" applyAlignment="1">
      <alignment horizontal="right"/>
      <protection/>
    </xf>
    <xf numFmtId="181" fontId="22" fillId="0" borderId="25" xfId="62" applyNumberFormat="1" applyFont="1" applyFill="1" applyBorder="1" applyAlignment="1">
      <alignment horizontal="right"/>
      <protection/>
    </xf>
    <xf numFmtId="186" fontId="22" fillId="0" borderId="25" xfId="62" applyNumberFormat="1" applyFont="1" applyFill="1" applyBorder="1" applyAlignment="1">
      <alignment horizontal="right"/>
      <protection/>
    </xf>
    <xf numFmtId="183" fontId="22" fillId="0" borderId="25" xfId="62" applyNumberFormat="1" applyFont="1" applyFill="1" applyBorder="1" applyAlignment="1">
      <alignment horizontal="right"/>
      <protection/>
    </xf>
    <xf numFmtId="190" fontId="22" fillId="0" borderId="25" xfId="62" applyNumberFormat="1" applyFont="1" applyFill="1" applyBorder="1" applyAlignment="1">
      <alignment horizontal="center"/>
      <protection/>
    </xf>
    <xf numFmtId="0" fontId="22" fillId="0" borderId="21" xfId="0" applyFont="1" applyFill="1" applyBorder="1" applyAlignment="1">
      <alignment horizontal="center" vertical="center"/>
    </xf>
    <xf numFmtId="181" fontId="22" fillId="0" borderId="23" xfId="62" applyNumberFormat="1" applyFont="1" applyFill="1" applyBorder="1" applyAlignment="1">
      <alignment/>
      <protection/>
    </xf>
    <xf numFmtId="183" fontId="22" fillId="0" borderId="23" xfId="62" applyNumberFormat="1" applyFont="1" applyFill="1" applyBorder="1" applyAlignment="1">
      <alignment/>
      <protection/>
    </xf>
    <xf numFmtId="183" fontId="22" fillId="0" borderId="27" xfId="62" applyNumberFormat="1" applyFont="1" applyFill="1" applyBorder="1" applyAlignment="1">
      <alignment/>
      <protection/>
    </xf>
    <xf numFmtId="0" fontId="22" fillId="0" borderId="0" xfId="62" applyFont="1" applyFill="1" applyAlignment="1">
      <alignment/>
      <protection/>
    </xf>
    <xf numFmtId="190" fontId="22" fillId="0" borderId="0" xfId="62" applyNumberFormat="1" applyFont="1">
      <alignment/>
      <protection/>
    </xf>
    <xf numFmtId="0" fontId="22" fillId="0" borderId="0" xfId="62" applyFont="1" applyAlignment="1">
      <alignment/>
      <protection/>
    </xf>
    <xf numFmtId="191" fontId="22" fillId="0" borderId="24" xfId="0" applyNumberFormat="1" applyFont="1" applyBorder="1" applyAlignment="1">
      <alignment vertical="center"/>
    </xf>
    <xf numFmtId="185" fontId="22" fillId="0" borderId="24" xfId="0" applyNumberFormat="1" applyFont="1" applyBorder="1" applyAlignment="1">
      <alignment vertical="center"/>
    </xf>
    <xf numFmtId="187" fontId="22" fillId="0" borderId="29" xfId="0" applyNumberFormat="1" applyFont="1" applyBorder="1" applyAlignment="1">
      <alignment vertical="center"/>
    </xf>
    <xf numFmtId="187" fontId="22" fillId="0" borderId="24" xfId="0" applyNumberFormat="1" applyFont="1" applyFill="1" applyBorder="1" applyAlignment="1">
      <alignment vertical="center"/>
    </xf>
    <xf numFmtId="187" fontId="22" fillId="0" borderId="27" xfId="0" applyNumberFormat="1" applyFont="1" applyFill="1" applyBorder="1" applyAlignment="1">
      <alignment vertical="center"/>
    </xf>
    <xf numFmtId="189" fontId="22" fillId="0" borderId="24" xfId="0" applyNumberFormat="1" applyFont="1" applyBorder="1" applyAlignment="1">
      <alignment vertical="center"/>
    </xf>
    <xf numFmtId="193" fontId="22" fillId="0" borderId="19" xfId="0" applyNumberFormat="1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91" fontId="22" fillId="0" borderId="23" xfId="0" applyNumberFormat="1" applyFont="1" applyBorder="1" applyAlignment="1">
      <alignment vertical="center"/>
    </xf>
    <xf numFmtId="186" fontId="22" fillId="0" borderId="29" xfId="0" applyNumberFormat="1" applyFont="1" applyBorder="1" applyAlignment="1">
      <alignment vertical="center"/>
    </xf>
    <xf numFmtId="186" fontId="22" fillId="0" borderId="19" xfId="0" applyNumberFormat="1" applyFont="1" applyBorder="1" applyAlignment="1">
      <alignment vertical="center"/>
    </xf>
    <xf numFmtId="191" fontId="22" fillId="0" borderId="27" xfId="0" applyNumberFormat="1" applyFont="1" applyBorder="1" applyAlignment="1">
      <alignment vertical="center"/>
    </xf>
    <xf numFmtId="191" fontId="22" fillId="0" borderId="22" xfId="0" applyNumberFormat="1" applyFont="1" applyBorder="1" applyAlignment="1">
      <alignment vertical="center"/>
    </xf>
    <xf numFmtId="193" fontId="22" fillId="0" borderId="30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191" fontId="22" fillId="0" borderId="0" xfId="0" applyNumberFormat="1" applyFont="1" applyAlignment="1">
      <alignment vertical="center"/>
    </xf>
    <xf numFmtId="178" fontId="22" fillId="0" borderId="0" xfId="0" applyNumberFormat="1" applyFont="1" applyAlignment="1">
      <alignment vertical="center"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185" fontId="22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6" fillId="0" borderId="0" xfId="62" applyFont="1">
      <alignment/>
      <protection/>
    </xf>
    <xf numFmtId="0" fontId="22" fillId="0" borderId="31" xfId="62" applyFont="1" applyFill="1" applyBorder="1" applyAlignment="1">
      <alignment horizontal="center" vertical="center"/>
      <protection/>
    </xf>
    <xf numFmtId="0" fontId="22" fillId="0" borderId="1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190" fontId="22" fillId="0" borderId="32" xfId="62" applyNumberFormat="1" applyFont="1" applyFill="1" applyBorder="1" applyAlignment="1">
      <alignment horizontal="center" vertical="center"/>
      <protection/>
    </xf>
    <xf numFmtId="189" fontId="22" fillId="0" borderId="33" xfId="62" applyNumberFormat="1" applyFont="1" applyFill="1" applyBorder="1" applyAlignment="1">
      <alignment/>
      <protection/>
    </xf>
    <xf numFmtId="189" fontId="22" fillId="0" borderId="29" xfId="62" applyNumberFormat="1" applyFont="1" applyFill="1" applyBorder="1" applyAlignment="1">
      <alignment/>
      <protection/>
    </xf>
    <xf numFmtId="189" fontId="22" fillId="0" borderId="34" xfId="62" applyNumberFormat="1" applyFont="1" applyFill="1" applyBorder="1" applyAlignment="1">
      <alignment/>
      <protection/>
    </xf>
    <xf numFmtId="187" fontId="22" fillId="0" borderId="31" xfId="62" applyNumberFormat="1" applyFont="1" applyFill="1" applyBorder="1" applyAlignment="1">
      <alignment horizontal="center" vertical="center"/>
      <protection/>
    </xf>
    <xf numFmtId="187" fontId="22" fillId="0" borderId="35" xfId="62" applyNumberFormat="1" applyFont="1" applyFill="1" applyBorder="1" applyAlignment="1">
      <alignment horizontal="center" vertical="center"/>
      <protection/>
    </xf>
    <xf numFmtId="187" fontId="0" fillId="0" borderId="35" xfId="0" applyNumberFormat="1" applyBorder="1" applyAlignment="1">
      <alignment horizontal="center" vertical="center"/>
    </xf>
    <xf numFmtId="185" fontId="22" fillId="0" borderId="32" xfId="62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86" fontId="22" fillId="0" borderId="22" xfId="62" applyNumberFormat="1" applyFont="1" applyFill="1" applyBorder="1" applyAlignment="1">
      <alignment/>
      <protection/>
    </xf>
    <xf numFmtId="187" fontId="22" fillId="0" borderId="27" xfId="49" applyNumberFormat="1" applyFont="1" applyFill="1" applyBorder="1" applyAlignment="1">
      <alignment/>
    </xf>
    <xf numFmtId="0" fontId="22" fillId="0" borderId="0" xfId="0" applyFont="1" applyBorder="1" applyAlignment="1">
      <alignment horizontal="left" vertical="center"/>
    </xf>
    <xf numFmtId="0" fontId="22" fillId="0" borderId="10" xfId="62" applyFont="1" applyFill="1" applyBorder="1">
      <alignment/>
      <protection/>
    </xf>
    <xf numFmtId="186" fontId="22" fillId="0" borderId="10" xfId="0" applyNumberFormat="1" applyFont="1" applyFill="1" applyBorder="1" applyAlignment="1">
      <alignment vertical="center"/>
    </xf>
    <xf numFmtId="186" fontId="22" fillId="0" borderId="10" xfId="0" applyNumberFormat="1" applyFont="1" applyFill="1" applyBorder="1" applyAlignment="1">
      <alignment vertical="center"/>
    </xf>
    <xf numFmtId="0" fontId="22" fillId="0" borderId="10" xfId="63" applyFont="1" applyFill="1" applyBorder="1">
      <alignment/>
      <protection/>
    </xf>
    <xf numFmtId="0" fontId="0" fillId="0" borderId="10" xfId="0" applyFill="1" applyBorder="1" applyAlignment="1">
      <alignment vertical="center"/>
    </xf>
    <xf numFmtId="186" fontId="22" fillId="0" borderId="11" xfId="63" applyNumberFormat="1" applyFont="1" applyFill="1" applyBorder="1" applyAlignment="1">
      <alignment vertical="center"/>
      <protection/>
    </xf>
    <xf numFmtId="186" fontId="22" fillId="0" borderId="28" xfId="63" applyNumberFormat="1" applyFont="1" applyFill="1" applyBorder="1" applyAlignment="1">
      <alignment horizontal="center" vertical="center"/>
      <protection/>
    </xf>
    <xf numFmtId="186" fontId="22" fillId="0" borderId="11" xfId="63" applyNumberFormat="1" applyFont="1" applyFill="1" applyBorder="1" applyAlignment="1">
      <alignment horizontal="center" vertical="center"/>
      <protection/>
    </xf>
    <xf numFmtId="186" fontId="22" fillId="0" borderId="28" xfId="63" applyNumberFormat="1" applyFont="1" applyFill="1" applyBorder="1" applyAlignment="1">
      <alignment horizontal="center" vertical="center" shrinkToFit="1"/>
      <protection/>
    </xf>
    <xf numFmtId="187" fontId="0" fillId="0" borderId="35" xfId="0" applyNumberFormat="1" applyFill="1" applyBorder="1" applyAlignment="1">
      <alignment horizontal="center" vertical="center"/>
    </xf>
    <xf numFmtId="186" fontId="22" fillId="0" borderId="21" xfId="63" applyNumberFormat="1" applyFont="1" applyFill="1" applyBorder="1" applyAlignment="1">
      <alignment vertical="center"/>
      <protection/>
    </xf>
    <xf numFmtId="186" fontId="22" fillId="0" borderId="20" xfId="63" applyNumberFormat="1" applyFont="1" applyFill="1" applyBorder="1" applyAlignment="1">
      <alignment horizontal="center" vertical="center"/>
      <protection/>
    </xf>
    <xf numFmtId="0" fontId="22" fillId="0" borderId="21" xfId="61" applyFont="1" applyFill="1" applyBorder="1" applyAlignment="1">
      <alignment horizontal="center" vertical="center"/>
      <protection/>
    </xf>
    <xf numFmtId="0" fontId="22" fillId="0" borderId="36" xfId="63" applyFont="1" applyFill="1" applyBorder="1" applyAlignment="1">
      <alignment horizontal="center" vertical="center"/>
      <protection/>
    </xf>
    <xf numFmtId="0" fontId="22" fillId="0" borderId="37" xfId="63" applyFont="1" applyFill="1" applyBorder="1" applyAlignment="1">
      <alignment horizontal="center" vertical="center"/>
      <protection/>
    </xf>
    <xf numFmtId="0" fontId="22" fillId="0" borderId="38" xfId="63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horizontal="center" vertical="center"/>
      <protection/>
    </xf>
    <xf numFmtId="187" fontId="22" fillId="0" borderId="23" xfId="0" applyNumberFormat="1" applyFont="1" applyFill="1" applyBorder="1" applyAlignment="1">
      <alignment horizontal="right" vertical="center"/>
    </xf>
    <xf numFmtId="0" fontId="22" fillId="0" borderId="0" xfId="62" applyFont="1" applyFill="1">
      <alignment/>
      <protection/>
    </xf>
    <xf numFmtId="186" fontId="22" fillId="0" borderId="0" xfId="0" applyNumberFormat="1" applyFont="1" applyFill="1" applyBorder="1" applyAlignment="1">
      <alignment vertical="center"/>
    </xf>
    <xf numFmtId="186" fontId="2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93" fontId="22" fillId="0" borderId="0" xfId="63" applyNumberFormat="1" applyFont="1" applyFill="1">
      <alignment/>
      <protection/>
    </xf>
    <xf numFmtId="186" fontId="22" fillId="0" borderId="0" xfId="63" applyNumberFormat="1" applyFont="1" applyFill="1" applyAlignment="1">
      <alignment/>
      <protection/>
    </xf>
    <xf numFmtId="186" fontId="22" fillId="0" borderId="0" xfId="63" applyNumberFormat="1" applyFont="1" applyFill="1">
      <alignment/>
      <protection/>
    </xf>
    <xf numFmtId="186" fontId="22" fillId="0" borderId="0" xfId="0" applyNumberFormat="1" applyFont="1" applyFill="1" applyBorder="1" applyAlignment="1">
      <alignment vertical="center"/>
    </xf>
    <xf numFmtId="186" fontId="22" fillId="0" borderId="0" xfId="0" applyNumberFormat="1" applyFont="1" applyFill="1" applyAlignment="1">
      <alignment vertical="center"/>
    </xf>
    <xf numFmtId="0" fontId="22" fillId="0" borderId="0" xfId="63" applyFont="1" applyAlignment="1">
      <alignment horizontal="left"/>
      <protection/>
    </xf>
    <xf numFmtId="193" fontId="22" fillId="0" borderId="22" xfId="62" applyNumberFormat="1" applyFont="1" applyFill="1" applyBorder="1" applyAlignment="1">
      <alignment/>
      <protection/>
    </xf>
    <xf numFmtId="187" fontId="22" fillId="0" borderId="22" xfId="49" applyNumberFormat="1" applyFont="1" applyFill="1" applyBorder="1" applyAlignment="1">
      <alignment/>
    </xf>
    <xf numFmtId="181" fontId="22" fillId="0" borderId="22" xfId="62" applyNumberFormat="1" applyFont="1" applyFill="1" applyBorder="1" applyAlignment="1">
      <alignment/>
      <protection/>
    </xf>
    <xf numFmtId="183" fontId="22" fillId="0" borderId="22" xfId="62" applyNumberFormat="1" applyFont="1" applyFill="1" applyBorder="1" applyAlignment="1">
      <alignment/>
      <protection/>
    </xf>
    <xf numFmtId="190" fontId="22" fillId="0" borderId="22" xfId="62" applyNumberFormat="1" applyFont="1" applyFill="1" applyBorder="1" applyAlignment="1">
      <alignment horizontal="right"/>
      <protection/>
    </xf>
    <xf numFmtId="187" fontId="22" fillId="0" borderId="23" xfId="49" applyNumberFormat="1" applyFont="1" applyFill="1" applyBorder="1" applyAlignment="1">
      <alignment/>
    </xf>
    <xf numFmtId="190" fontId="22" fillId="0" borderId="33" xfId="62" applyNumberFormat="1" applyFont="1" applyFill="1" applyBorder="1" applyAlignment="1">
      <alignment/>
      <protection/>
    </xf>
    <xf numFmtId="56" fontId="22" fillId="0" borderId="23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193" fontId="22" fillId="0" borderId="27" xfId="0" applyNumberFormat="1" applyFont="1" applyBorder="1" applyAlignment="1">
      <alignment vertical="center"/>
    </xf>
    <xf numFmtId="193" fontId="22" fillId="0" borderId="39" xfId="0" applyNumberFormat="1" applyFont="1" applyBorder="1" applyAlignment="1">
      <alignment vertical="center"/>
    </xf>
    <xf numFmtId="193" fontId="22" fillId="0" borderId="22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2" fillId="0" borderId="0" xfId="62" applyFont="1" applyAlignment="1">
      <alignment horizontal="center"/>
      <protection/>
    </xf>
    <xf numFmtId="177" fontId="22" fillId="0" borderId="22" xfId="62" applyNumberFormat="1" applyFont="1" applyFill="1" applyBorder="1" applyAlignment="1">
      <alignment horizontal="center"/>
      <protection/>
    </xf>
    <xf numFmtId="0" fontId="18" fillId="0" borderId="0" xfId="62" applyFont="1" applyAlignment="1">
      <alignment horizontal="left"/>
      <protection/>
    </xf>
    <xf numFmtId="185" fontId="22" fillId="0" borderId="33" xfId="62" applyNumberFormat="1" applyFont="1" applyFill="1" applyBorder="1" applyAlignment="1">
      <alignment vertical="center"/>
      <protection/>
    </xf>
    <xf numFmtId="185" fontId="22" fillId="0" borderId="29" xfId="62" applyNumberFormat="1" applyFont="1" applyFill="1" applyBorder="1" applyAlignment="1">
      <alignment vertical="center"/>
      <protection/>
    </xf>
    <xf numFmtId="189" fontId="22" fillId="0" borderId="29" xfId="62" applyNumberFormat="1" applyFont="1" applyFill="1" applyBorder="1" applyAlignment="1">
      <alignment vertical="center"/>
      <protection/>
    </xf>
    <xf numFmtId="185" fontId="22" fillId="0" borderId="34" xfId="62" applyNumberFormat="1" applyFont="1" applyFill="1" applyBorder="1" applyAlignment="1">
      <alignment vertical="center"/>
      <protection/>
    </xf>
    <xf numFmtId="189" fontId="22" fillId="0" borderId="33" xfId="62" applyNumberFormat="1" applyFont="1" applyFill="1" applyBorder="1" applyAlignment="1">
      <alignment vertical="center"/>
      <protection/>
    </xf>
    <xf numFmtId="189" fontId="22" fillId="0" borderId="34" xfId="62" applyNumberFormat="1" applyFont="1" applyFill="1" applyBorder="1" applyAlignment="1">
      <alignment vertical="center"/>
      <protection/>
    </xf>
    <xf numFmtId="189" fontId="22" fillId="0" borderId="40" xfId="62" applyNumberFormat="1" applyFont="1" applyFill="1" applyBorder="1" applyAlignment="1">
      <alignment vertical="center"/>
      <protection/>
    </xf>
    <xf numFmtId="190" fontId="22" fillId="0" borderId="33" xfId="62" applyNumberFormat="1" applyFont="1" applyFill="1" applyBorder="1" applyAlignment="1">
      <alignment vertical="center"/>
      <protection/>
    </xf>
    <xf numFmtId="190" fontId="22" fillId="0" borderId="41" xfId="62" applyNumberFormat="1" applyFont="1" applyFill="1" applyBorder="1" applyAlignment="1">
      <alignment vertical="center"/>
      <protection/>
    </xf>
    <xf numFmtId="189" fontId="22" fillId="0" borderId="41" xfId="62" applyNumberFormat="1" applyFont="1" applyFill="1" applyBorder="1" applyAlignment="1">
      <alignment vertical="center"/>
      <protection/>
    </xf>
    <xf numFmtId="190" fontId="22" fillId="0" borderId="29" xfId="62" applyNumberFormat="1" applyFont="1" applyFill="1" applyBorder="1" applyAlignment="1">
      <alignment vertical="center"/>
      <protection/>
    </xf>
    <xf numFmtId="190" fontId="22" fillId="0" borderId="34" xfId="62" applyNumberFormat="1" applyFont="1" applyFill="1" applyBorder="1" applyAlignment="1">
      <alignment vertical="center"/>
      <protection/>
    </xf>
    <xf numFmtId="199" fontId="22" fillId="0" borderId="23" xfId="62" applyNumberFormat="1" applyFont="1" applyFill="1" applyBorder="1" applyAlignment="1">
      <alignment vertical="center"/>
      <protection/>
    </xf>
    <xf numFmtId="219" fontId="22" fillId="0" borderId="24" xfId="62" applyNumberFormat="1" applyFont="1" applyFill="1" applyBorder="1" applyAlignment="1">
      <alignment vertical="center"/>
      <protection/>
    </xf>
    <xf numFmtId="199" fontId="22" fillId="0" borderId="23" xfId="62" applyNumberFormat="1" applyFont="1" applyFill="1" applyBorder="1" applyAlignment="1">
      <alignment horizontal="right" vertical="center"/>
      <protection/>
    </xf>
    <xf numFmtId="190" fontId="22" fillId="0" borderId="15" xfId="62" applyNumberFormat="1" applyFont="1" applyFill="1" applyBorder="1" applyAlignment="1">
      <alignment horizontal="center"/>
      <protection/>
    </xf>
    <xf numFmtId="199" fontId="22" fillId="0" borderId="24" xfId="62" applyNumberFormat="1" applyFont="1" applyFill="1" applyBorder="1" applyAlignment="1">
      <alignment vertical="center"/>
      <protection/>
    </xf>
    <xf numFmtId="199" fontId="22" fillId="0" borderId="24" xfId="62" applyNumberFormat="1" applyFont="1" applyFill="1" applyBorder="1" applyAlignment="1">
      <alignment horizontal="right" vertical="center"/>
      <protection/>
    </xf>
    <xf numFmtId="190" fontId="22" fillId="0" borderId="11" xfId="62" applyNumberFormat="1" applyFont="1" applyFill="1" applyBorder="1" applyAlignment="1">
      <alignment horizontal="center"/>
      <protection/>
    </xf>
    <xf numFmtId="199" fontId="22" fillId="0" borderId="27" xfId="62" applyNumberFormat="1" applyFont="1" applyFill="1" applyBorder="1" applyAlignment="1">
      <alignment horizontal="right" vertical="center"/>
      <protection/>
    </xf>
    <xf numFmtId="199" fontId="22" fillId="0" borderId="27" xfId="62" applyNumberFormat="1" applyFont="1" applyFill="1" applyBorder="1" applyAlignment="1">
      <alignment vertical="center"/>
      <protection/>
    </xf>
    <xf numFmtId="193" fontId="22" fillId="0" borderId="23" xfId="0" applyNumberFormat="1" applyFont="1" applyBorder="1" applyAlignment="1">
      <alignment vertical="center"/>
    </xf>
    <xf numFmtId="194" fontId="22" fillId="0" borderId="23" xfId="0" applyNumberFormat="1" applyFont="1" applyBorder="1" applyAlignment="1">
      <alignment vertical="center"/>
    </xf>
    <xf numFmtId="191" fontId="22" fillId="0" borderId="33" xfId="0" applyNumberFormat="1" applyFont="1" applyBorder="1" applyAlignment="1">
      <alignment vertical="center"/>
    </xf>
    <xf numFmtId="186" fontId="22" fillId="0" borderId="26" xfId="0" applyNumberFormat="1" applyFont="1" applyBorder="1" applyAlignment="1">
      <alignment vertical="center"/>
    </xf>
    <xf numFmtId="186" fontId="22" fillId="0" borderId="42" xfId="0" applyNumberFormat="1" applyFont="1" applyBorder="1" applyAlignment="1">
      <alignment vertical="center"/>
    </xf>
    <xf numFmtId="185" fontId="22" fillId="0" borderId="23" xfId="0" applyNumberFormat="1" applyFont="1" applyBorder="1" applyAlignment="1">
      <alignment vertical="center"/>
    </xf>
    <xf numFmtId="183" fontId="22" fillId="0" borderId="23" xfId="0" applyNumberFormat="1" applyFont="1" applyBorder="1" applyAlignment="1">
      <alignment vertical="center"/>
    </xf>
    <xf numFmtId="194" fontId="22" fillId="0" borderId="29" xfId="0" applyNumberFormat="1" applyFont="1" applyBorder="1" applyAlignment="1">
      <alignment vertical="center"/>
    </xf>
    <xf numFmtId="186" fontId="22" fillId="0" borderId="18" xfId="0" applyNumberFormat="1" applyFont="1" applyBorder="1" applyAlignment="1">
      <alignment vertical="center"/>
    </xf>
    <xf numFmtId="186" fontId="22" fillId="0" borderId="43" xfId="0" applyNumberFormat="1" applyFont="1" applyBorder="1" applyAlignment="1">
      <alignment vertical="center"/>
    </xf>
    <xf numFmtId="183" fontId="22" fillId="0" borderId="24" xfId="0" applyNumberFormat="1" applyFont="1" applyBorder="1" applyAlignment="1">
      <alignment vertical="center"/>
    </xf>
    <xf numFmtId="194" fontId="22" fillId="0" borderId="24" xfId="0" applyNumberFormat="1" applyFont="1" applyBorder="1" applyAlignment="1">
      <alignment vertical="center"/>
    </xf>
    <xf numFmtId="181" fontId="22" fillId="0" borderId="24" xfId="0" applyNumberFormat="1" applyFont="1" applyBorder="1" applyAlignment="1">
      <alignment vertical="center"/>
    </xf>
    <xf numFmtId="191" fontId="22" fillId="0" borderId="24" xfId="0" applyNumberFormat="1" applyFont="1" applyBorder="1" applyAlignment="1">
      <alignment horizontal="right" vertical="center"/>
    </xf>
    <xf numFmtId="186" fontId="22" fillId="0" borderId="33" xfId="0" applyNumberFormat="1" applyFont="1" applyBorder="1" applyAlignment="1">
      <alignment vertical="center"/>
    </xf>
    <xf numFmtId="186" fontId="22" fillId="0" borderId="26" xfId="0" applyNumberFormat="1" applyFont="1" applyFill="1" applyBorder="1" applyAlignment="1">
      <alignment vertical="center"/>
    </xf>
    <xf numFmtId="182" fontId="22" fillId="0" borderId="44" xfId="0" applyNumberFormat="1" applyFont="1" applyFill="1" applyBorder="1" applyAlignment="1">
      <alignment vertical="center"/>
    </xf>
    <xf numFmtId="186" fontId="22" fillId="0" borderId="18" xfId="0" applyNumberFormat="1" applyFont="1" applyFill="1" applyBorder="1" applyAlignment="1">
      <alignment vertical="center"/>
    </xf>
    <xf numFmtId="186" fontId="22" fillId="0" borderId="19" xfId="0" applyNumberFormat="1" applyFont="1" applyFill="1" applyBorder="1" applyAlignment="1">
      <alignment vertical="center"/>
    </xf>
    <xf numFmtId="182" fontId="22" fillId="0" borderId="19" xfId="0" applyNumberFormat="1" applyFont="1" applyFill="1" applyBorder="1" applyAlignment="1">
      <alignment vertical="center"/>
    </xf>
    <xf numFmtId="182" fontId="22" fillId="0" borderId="24" xfId="0" applyNumberFormat="1" applyFont="1" applyBorder="1" applyAlignment="1">
      <alignment vertical="center"/>
    </xf>
    <xf numFmtId="191" fontId="22" fillId="0" borderId="27" xfId="0" applyNumberFormat="1" applyFont="1" applyBorder="1" applyAlignment="1">
      <alignment horizontal="right" vertical="center"/>
    </xf>
    <xf numFmtId="194" fontId="22" fillId="0" borderId="27" xfId="0" applyNumberFormat="1" applyFont="1" applyBorder="1" applyAlignment="1">
      <alignment vertical="center"/>
    </xf>
    <xf numFmtId="186" fontId="22" fillId="0" borderId="34" xfId="0" applyNumberFormat="1" applyFont="1" applyBorder="1" applyAlignment="1">
      <alignment vertical="center"/>
    </xf>
    <xf numFmtId="186" fontId="22" fillId="0" borderId="45" xfId="0" applyNumberFormat="1" applyFont="1" applyBorder="1" applyAlignment="1">
      <alignment vertical="center"/>
    </xf>
    <xf numFmtId="186" fontId="22" fillId="0" borderId="45" xfId="0" applyNumberFormat="1" applyFont="1" applyFill="1" applyBorder="1" applyAlignment="1">
      <alignment vertical="center"/>
    </xf>
    <xf numFmtId="182" fontId="22" fillId="0" borderId="39" xfId="0" applyNumberFormat="1" applyFont="1" applyFill="1" applyBorder="1" applyAlignment="1">
      <alignment vertical="center"/>
    </xf>
    <xf numFmtId="185" fontId="22" fillId="0" borderId="27" xfId="0" applyNumberFormat="1" applyFont="1" applyBorder="1" applyAlignment="1">
      <alignment vertical="center"/>
    </xf>
    <xf numFmtId="182" fontId="22" fillId="0" borderId="27" xfId="0" applyNumberFormat="1" applyFont="1" applyBorder="1" applyAlignment="1">
      <alignment vertical="center"/>
    </xf>
    <xf numFmtId="194" fontId="22" fillId="0" borderId="22" xfId="0" applyNumberFormat="1" applyFont="1" applyBorder="1" applyAlignment="1">
      <alignment vertical="center"/>
    </xf>
    <xf numFmtId="186" fontId="22" fillId="0" borderId="41" xfId="0" applyNumberFormat="1" applyFont="1" applyBorder="1" applyAlignment="1">
      <alignment vertical="center"/>
    </xf>
    <xf numFmtId="186" fontId="22" fillId="0" borderId="46" xfId="0" applyNumberFormat="1" applyFont="1" applyBorder="1" applyAlignment="1">
      <alignment vertical="center"/>
    </xf>
    <xf numFmtId="186" fontId="22" fillId="0" borderId="30" xfId="0" applyNumberFormat="1" applyFont="1" applyBorder="1" applyAlignment="1">
      <alignment vertical="center"/>
    </xf>
    <xf numFmtId="183" fontId="22" fillId="0" borderId="22" xfId="0" applyNumberFormat="1" applyFont="1" applyBorder="1" applyAlignment="1">
      <alignment vertical="center"/>
    </xf>
    <xf numFmtId="186" fontId="22" fillId="0" borderId="39" xfId="0" applyNumberFormat="1" applyFont="1" applyBorder="1" applyAlignment="1">
      <alignment vertical="center"/>
    </xf>
    <xf numFmtId="183" fontId="22" fillId="0" borderId="27" xfId="0" applyNumberFormat="1" applyFont="1" applyBorder="1" applyAlignment="1">
      <alignment vertical="center"/>
    </xf>
    <xf numFmtId="186" fontId="22" fillId="0" borderId="44" xfId="0" applyNumberFormat="1" applyFont="1" applyFill="1" applyBorder="1" applyAlignment="1">
      <alignment vertical="center"/>
    </xf>
    <xf numFmtId="191" fontId="22" fillId="0" borderId="23" xfId="0" applyNumberFormat="1" applyFont="1" applyBorder="1" applyAlignment="1">
      <alignment horizontal="right" vertical="center"/>
    </xf>
    <xf numFmtId="186" fontId="22" fillId="0" borderId="44" xfId="0" applyNumberFormat="1" applyFont="1" applyBorder="1" applyAlignment="1">
      <alignment vertical="center"/>
    </xf>
    <xf numFmtId="191" fontId="22" fillId="0" borderId="29" xfId="0" applyNumberFormat="1" applyFont="1" applyBorder="1" applyAlignment="1">
      <alignment vertical="center"/>
    </xf>
    <xf numFmtId="190" fontId="22" fillId="0" borderId="24" xfId="0" applyNumberFormat="1" applyFont="1" applyBorder="1" applyAlignment="1">
      <alignment vertical="center"/>
    </xf>
    <xf numFmtId="191" fontId="22" fillId="0" borderId="34" xfId="0" applyNumberFormat="1" applyFont="1" applyBorder="1" applyAlignment="1">
      <alignment vertical="center"/>
    </xf>
    <xf numFmtId="186" fontId="22" fillId="0" borderId="39" xfId="0" applyNumberFormat="1" applyFont="1" applyFill="1" applyBorder="1" applyAlignment="1">
      <alignment vertical="center"/>
    </xf>
    <xf numFmtId="189" fontId="22" fillId="0" borderId="27" xfId="0" applyNumberFormat="1" applyFont="1" applyBorder="1" applyAlignment="1">
      <alignment vertical="center"/>
    </xf>
    <xf numFmtId="191" fontId="22" fillId="0" borderId="26" xfId="0" applyNumberFormat="1" applyFont="1" applyBorder="1" applyAlignment="1">
      <alignment vertical="center"/>
    </xf>
    <xf numFmtId="190" fontId="22" fillId="0" borderId="23" xfId="0" applyNumberFormat="1" applyFont="1" applyBorder="1" applyAlignment="1">
      <alignment vertical="center"/>
    </xf>
    <xf numFmtId="181" fontId="22" fillId="0" borderId="27" xfId="0" applyNumberFormat="1" applyFont="1" applyBorder="1" applyAlignment="1">
      <alignment vertical="center"/>
    </xf>
    <xf numFmtId="182" fontId="22" fillId="0" borderId="23" xfId="0" applyNumberFormat="1" applyFont="1" applyBorder="1" applyAlignment="1">
      <alignment vertical="center"/>
    </xf>
    <xf numFmtId="193" fontId="22" fillId="0" borderId="25" xfId="0" applyNumberFormat="1" applyFont="1" applyBorder="1" applyAlignment="1">
      <alignment vertical="center"/>
    </xf>
    <xf numFmtId="191" fontId="22" fillId="0" borderId="25" xfId="0" applyNumberFormat="1" applyFont="1" applyBorder="1" applyAlignment="1">
      <alignment vertical="center"/>
    </xf>
    <xf numFmtId="193" fontId="22" fillId="0" borderId="25" xfId="0" applyNumberFormat="1" applyFont="1" applyFill="1" applyBorder="1" applyAlignment="1">
      <alignment vertical="center"/>
    </xf>
    <xf numFmtId="194" fontId="22" fillId="0" borderId="25" xfId="0" applyNumberFormat="1" applyFont="1" applyBorder="1" applyAlignment="1">
      <alignment vertical="center"/>
    </xf>
    <xf numFmtId="186" fontId="22" fillId="0" borderId="40" xfId="0" applyNumberFormat="1" applyFont="1" applyBorder="1" applyAlignment="1">
      <alignment vertical="center"/>
    </xf>
    <xf numFmtId="186" fontId="22" fillId="0" borderId="47" xfId="0" applyNumberFormat="1" applyFont="1" applyBorder="1" applyAlignment="1">
      <alignment vertical="center"/>
    </xf>
    <xf numFmtId="186" fontId="22" fillId="0" borderId="47" xfId="0" applyNumberFormat="1" applyFont="1" applyFill="1" applyBorder="1" applyAlignment="1">
      <alignment vertical="center"/>
    </xf>
    <xf numFmtId="186" fontId="22" fillId="0" borderId="48" xfId="0" applyNumberFormat="1" applyFont="1" applyFill="1" applyBorder="1" applyAlignment="1">
      <alignment vertical="center"/>
    </xf>
    <xf numFmtId="186" fontId="22" fillId="0" borderId="25" xfId="0" applyNumberFormat="1" applyFont="1" applyBorder="1" applyAlignment="1">
      <alignment vertical="center"/>
    </xf>
    <xf numFmtId="183" fontId="22" fillId="0" borderId="25" xfId="0" applyNumberFormat="1" applyFont="1" applyBorder="1" applyAlignment="1">
      <alignment vertical="center"/>
    </xf>
    <xf numFmtId="187" fontId="22" fillId="0" borderId="22" xfId="0" applyNumberFormat="1" applyFont="1" applyBorder="1" applyAlignment="1">
      <alignment horizontal="right" vertical="center"/>
    </xf>
    <xf numFmtId="187" fontId="22" fillId="0" borderId="41" xfId="0" applyNumberFormat="1" applyFont="1" applyBorder="1" applyAlignment="1">
      <alignment vertical="center"/>
    </xf>
    <xf numFmtId="193" fontId="22" fillId="0" borderId="46" xfId="0" applyNumberFormat="1" applyFont="1" applyBorder="1" applyAlignment="1">
      <alignment vertical="center"/>
    </xf>
    <xf numFmtId="185" fontId="22" fillId="0" borderId="22" xfId="0" applyNumberFormat="1" applyFont="1" applyBorder="1" applyAlignment="1">
      <alignment vertical="center"/>
    </xf>
    <xf numFmtId="187" fontId="22" fillId="0" borderId="24" xfId="0" applyNumberFormat="1" applyFont="1" applyBorder="1" applyAlignment="1">
      <alignment horizontal="right" vertical="center"/>
    </xf>
    <xf numFmtId="193" fontId="22" fillId="0" borderId="18" xfId="0" applyNumberFormat="1" applyFont="1" applyBorder="1" applyAlignment="1">
      <alignment vertical="center"/>
    </xf>
    <xf numFmtId="187" fontId="22" fillId="0" borderId="27" xfId="0" applyNumberFormat="1" applyFont="1" applyBorder="1" applyAlignment="1">
      <alignment vertical="center"/>
    </xf>
    <xf numFmtId="187" fontId="22" fillId="0" borderId="34" xfId="0" applyNumberFormat="1" applyFont="1" applyBorder="1" applyAlignment="1">
      <alignment vertical="center"/>
    </xf>
    <xf numFmtId="187" fontId="22" fillId="0" borderId="45" xfId="0" applyNumberFormat="1" applyFont="1" applyBorder="1" applyAlignment="1">
      <alignment vertical="center"/>
    </xf>
    <xf numFmtId="193" fontId="22" fillId="0" borderId="45" xfId="0" applyNumberFormat="1" applyFont="1" applyBorder="1" applyAlignment="1">
      <alignment vertical="center"/>
    </xf>
    <xf numFmtId="190" fontId="22" fillId="0" borderId="27" xfId="0" applyNumberFormat="1" applyFont="1" applyBorder="1" applyAlignment="1">
      <alignment vertical="center"/>
    </xf>
    <xf numFmtId="187" fontId="22" fillId="0" borderId="23" xfId="0" applyNumberFormat="1" applyFont="1" applyBorder="1" applyAlignment="1">
      <alignment vertical="center"/>
    </xf>
    <xf numFmtId="193" fontId="22" fillId="0" borderId="33" xfId="0" applyNumberFormat="1" applyFont="1" applyBorder="1" applyAlignment="1">
      <alignment vertical="center"/>
    </xf>
    <xf numFmtId="193" fontId="22" fillId="0" borderId="26" xfId="0" applyNumberFormat="1" applyFont="1" applyBorder="1" applyAlignment="1">
      <alignment vertical="center"/>
    </xf>
    <xf numFmtId="193" fontId="22" fillId="0" borderId="44" xfId="0" applyNumberFormat="1" applyFont="1" applyFill="1" applyBorder="1" applyAlignment="1">
      <alignment vertical="center"/>
    </xf>
    <xf numFmtId="191" fontId="22" fillId="0" borderId="24" xfId="0" applyNumberFormat="1" applyFont="1" applyFill="1" applyBorder="1" applyAlignment="1" quotePrefix="1">
      <alignment vertical="center"/>
    </xf>
    <xf numFmtId="187" fontId="22" fillId="0" borderId="27" xfId="0" applyNumberFormat="1" applyFont="1" applyBorder="1" applyAlignment="1">
      <alignment horizontal="right" vertical="center"/>
    </xf>
    <xf numFmtId="191" fontId="22" fillId="0" borderId="18" xfId="0" applyNumberFormat="1" applyFont="1" applyBorder="1" applyAlignment="1">
      <alignment vertical="center"/>
    </xf>
    <xf numFmtId="193" fontId="22" fillId="0" borderId="33" xfId="62" applyNumberFormat="1" applyFont="1" applyFill="1" applyBorder="1" applyAlignment="1">
      <alignment vertical="center"/>
      <protection/>
    </xf>
    <xf numFmtId="187" fontId="22" fillId="0" borderId="33" xfId="62" applyNumberFormat="1" applyFont="1" applyFill="1" applyBorder="1" applyAlignment="1">
      <alignment vertical="center"/>
      <protection/>
    </xf>
    <xf numFmtId="187" fontId="22" fillId="0" borderId="29" xfId="62" applyNumberFormat="1" applyFont="1" applyFill="1" applyBorder="1" applyAlignment="1">
      <alignment vertical="center"/>
      <protection/>
    </xf>
    <xf numFmtId="187" fontId="22" fillId="0" borderId="40" xfId="62" applyNumberFormat="1" applyFont="1" applyFill="1" applyBorder="1" applyAlignment="1">
      <alignment vertical="center"/>
      <protection/>
    </xf>
    <xf numFmtId="187" fontId="22" fillId="0" borderId="34" xfId="62" applyNumberFormat="1" applyFont="1" applyFill="1" applyBorder="1" applyAlignment="1">
      <alignment vertical="center"/>
      <protection/>
    </xf>
    <xf numFmtId="187" fontId="22" fillId="0" borderId="27" xfId="62" applyNumberFormat="1" applyFont="1" applyFill="1" applyBorder="1" applyAlignment="1">
      <alignment vertical="center"/>
      <protection/>
    </xf>
    <xf numFmtId="193" fontId="22" fillId="0" borderId="34" xfId="62" applyNumberFormat="1" applyFont="1" applyFill="1" applyBorder="1" applyAlignment="1">
      <alignment vertical="center"/>
      <protection/>
    </xf>
    <xf numFmtId="185" fontId="22" fillId="0" borderId="23" xfId="62" applyNumberFormat="1" applyFont="1" applyFill="1" applyBorder="1" applyAlignment="1">
      <alignment horizontal="center" vertical="center"/>
      <protection/>
    </xf>
    <xf numFmtId="0" fontId="22" fillId="0" borderId="33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185" fontId="22" fillId="0" borderId="22" xfId="62" applyNumberFormat="1" applyFont="1" applyFill="1" applyBorder="1" applyAlignment="1">
      <alignment horizontal="center"/>
      <protection/>
    </xf>
    <xf numFmtId="178" fontId="22" fillId="0" borderId="24" xfId="62" applyNumberFormat="1" applyFont="1" applyFill="1" applyBorder="1" applyAlignment="1">
      <alignment vertical="center"/>
      <protection/>
    </xf>
    <xf numFmtId="178" fontId="22" fillId="0" borderId="15" xfId="62" applyNumberFormat="1" applyFont="1" applyFill="1" applyBorder="1" applyAlignment="1">
      <alignment horizontal="right" vertical="center"/>
      <protection/>
    </xf>
    <xf numFmtId="178" fontId="22" fillId="0" borderId="15" xfId="62" applyNumberFormat="1" applyFont="1" applyFill="1" applyBorder="1" applyAlignment="1">
      <alignment vertical="center"/>
      <protection/>
    </xf>
    <xf numFmtId="185" fontId="22" fillId="0" borderId="15" xfId="62" applyNumberFormat="1" applyFont="1" applyFill="1" applyBorder="1" applyAlignment="1">
      <alignment horizontal="center"/>
      <protection/>
    </xf>
    <xf numFmtId="178" fontId="22" fillId="0" borderId="24" xfId="62" applyNumberFormat="1" applyFont="1" applyFill="1" applyBorder="1" applyAlignment="1">
      <alignment horizontal="right" vertical="center"/>
      <protection/>
    </xf>
    <xf numFmtId="179" fontId="22" fillId="0" borderId="15" xfId="62" applyNumberFormat="1" applyFont="1" applyFill="1" applyBorder="1" applyAlignment="1">
      <alignment vertical="center"/>
      <protection/>
    </xf>
    <xf numFmtId="179" fontId="22" fillId="0" borderId="24" xfId="62" applyNumberFormat="1" applyFont="1" applyFill="1" applyBorder="1" applyAlignment="1">
      <alignment vertical="center"/>
      <protection/>
    </xf>
    <xf numFmtId="176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shrinkToFit="1"/>
    </xf>
    <xf numFmtId="0" fontId="30" fillId="0" borderId="34" xfId="0" applyFont="1" applyFill="1" applyBorder="1" applyAlignment="1">
      <alignment horizontal="center" vertical="center"/>
    </xf>
    <xf numFmtId="190" fontId="22" fillId="0" borderId="34" xfId="62" applyNumberFormat="1" applyFont="1" applyFill="1" applyBorder="1" applyAlignment="1">
      <alignment/>
      <protection/>
    </xf>
    <xf numFmtId="191" fontId="22" fillId="0" borderId="27" xfId="62" applyNumberFormat="1" applyFont="1" applyFill="1" applyBorder="1" applyAlignment="1">
      <alignment horizontal="right"/>
      <protection/>
    </xf>
    <xf numFmtId="0" fontId="22" fillId="4" borderId="33" xfId="0" applyFont="1" applyFill="1" applyBorder="1" applyAlignment="1">
      <alignment horizontal="center" vertical="center" shrinkToFit="1"/>
    </xf>
    <xf numFmtId="0" fontId="22" fillId="4" borderId="23" xfId="0" applyFont="1" applyFill="1" applyBorder="1" applyAlignment="1">
      <alignment vertical="center" shrinkToFit="1"/>
    </xf>
    <xf numFmtId="183" fontId="22" fillId="4" borderId="23" xfId="0" applyNumberFormat="1" applyFont="1" applyFill="1" applyBorder="1" applyAlignment="1">
      <alignment horizontal="center" vertical="center"/>
    </xf>
    <xf numFmtId="184" fontId="22" fillId="4" borderId="23" xfId="0" applyNumberFormat="1" applyFont="1" applyFill="1" applyBorder="1" applyAlignment="1">
      <alignment vertical="center"/>
    </xf>
    <xf numFmtId="0" fontId="22" fillId="4" borderId="23" xfId="0" applyFont="1" applyFill="1" applyBorder="1" applyAlignment="1">
      <alignment horizontal="center" vertical="center" shrinkToFit="1"/>
    </xf>
    <xf numFmtId="187" fontId="22" fillId="4" borderId="23" xfId="62" applyNumberFormat="1" applyFont="1" applyFill="1" applyBorder="1" applyAlignment="1">
      <alignment vertical="center"/>
      <protection/>
    </xf>
    <xf numFmtId="0" fontId="22" fillId="4" borderId="23" xfId="0" applyFont="1" applyFill="1" applyBorder="1" applyAlignment="1">
      <alignment horizontal="center" vertical="center"/>
    </xf>
    <xf numFmtId="0" fontId="28" fillId="24" borderId="29" xfId="0" applyFont="1" applyFill="1" applyBorder="1" applyAlignment="1">
      <alignment vertical="center" shrinkToFit="1"/>
    </xf>
    <xf numFmtId="0" fontId="22" fillId="24" borderId="24" xfId="0" applyFont="1" applyFill="1" applyBorder="1" applyAlignment="1">
      <alignment vertical="center" shrinkToFit="1"/>
    </xf>
    <xf numFmtId="183" fontId="22" fillId="24" borderId="24" xfId="0" applyNumberFormat="1" applyFont="1" applyFill="1" applyBorder="1" applyAlignment="1">
      <alignment vertical="center"/>
    </xf>
    <xf numFmtId="184" fontId="22" fillId="24" borderId="24" xfId="0" applyNumberFormat="1" applyFont="1" applyFill="1" applyBorder="1" applyAlignment="1">
      <alignment vertical="center"/>
    </xf>
    <xf numFmtId="0" fontId="22" fillId="24" borderId="24" xfId="0" applyFont="1" applyFill="1" applyBorder="1" applyAlignment="1">
      <alignment horizontal="center" vertical="center" shrinkToFit="1"/>
    </xf>
    <xf numFmtId="187" fontId="22" fillId="24" borderId="24" xfId="62" applyNumberFormat="1" applyFont="1" applyFill="1" applyBorder="1" applyAlignment="1">
      <alignment vertical="center"/>
      <protection/>
    </xf>
    <xf numFmtId="0" fontId="22" fillId="24" borderId="24" xfId="0" applyFont="1" applyFill="1" applyBorder="1" applyAlignment="1">
      <alignment horizontal="center" vertical="center"/>
    </xf>
    <xf numFmtId="0" fontId="27" fillId="24" borderId="24" xfId="0" applyFont="1" applyFill="1" applyBorder="1" applyAlignment="1">
      <alignment vertical="center" shrinkToFit="1"/>
    </xf>
    <xf numFmtId="0" fontId="28" fillId="0" borderId="29" xfId="0" applyFont="1" applyFill="1" applyBorder="1" applyAlignment="1">
      <alignment vertical="center" shrinkToFit="1"/>
    </xf>
    <xf numFmtId="185" fontId="22" fillId="0" borderId="24" xfId="0" applyNumberFormat="1" applyFont="1" applyFill="1" applyBorder="1" applyAlignment="1">
      <alignment vertical="center" shrinkToFit="1"/>
    </xf>
    <xf numFmtId="183" fontId="22" fillId="0" borderId="24" xfId="0" applyNumberFormat="1" applyFont="1" applyFill="1" applyBorder="1" applyAlignment="1">
      <alignment vertical="center"/>
    </xf>
    <xf numFmtId="181" fontId="22" fillId="0" borderId="24" xfId="0" applyNumberFormat="1" applyFont="1" applyFill="1" applyBorder="1" applyAlignment="1">
      <alignment vertical="center"/>
    </xf>
    <xf numFmtId="0" fontId="22" fillId="0" borderId="24" xfId="0" applyFont="1" applyFill="1" applyBorder="1" applyAlignment="1">
      <alignment horizontal="center" vertical="center" shrinkToFit="1"/>
    </xf>
    <xf numFmtId="187" fontId="22" fillId="0" borderId="24" xfId="62" applyNumberFormat="1" applyFont="1" applyFill="1" applyBorder="1" applyAlignment="1">
      <alignment vertical="center"/>
      <protection/>
    </xf>
    <xf numFmtId="184" fontId="22" fillId="0" borderId="24" xfId="0" applyNumberFormat="1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32" fillId="0" borderId="24" xfId="0" applyFont="1" applyFill="1" applyBorder="1" applyAlignment="1">
      <alignment horizontal="center" vertical="center" shrinkToFit="1"/>
    </xf>
    <xf numFmtId="0" fontId="22" fillId="21" borderId="29" xfId="0" applyFont="1" applyFill="1" applyBorder="1" applyAlignment="1">
      <alignment horizontal="center" vertical="center" shrinkToFit="1"/>
    </xf>
    <xf numFmtId="185" fontId="22" fillId="21" borderId="24" xfId="0" applyNumberFormat="1" applyFont="1" applyFill="1" applyBorder="1" applyAlignment="1">
      <alignment vertical="center" shrinkToFit="1"/>
    </xf>
    <xf numFmtId="183" fontId="22" fillId="21" borderId="24" xfId="0" applyNumberFormat="1" applyFont="1" applyFill="1" applyBorder="1" applyAlignment="1">
      <alignment vertical="center"/>
    </xf>
    <xf numFmtId="181" fontId="22" fillId="21" borderId="24" xfId="0" applyNumberFormat="1" applyFont="1" applyFill="1" applyBorder="1" applyAlignment="1">
      <alignment vertical="center"/>
    </xf>
    <xf numFmtId="0" fontId="22" fillId="21" borderId="24" xfId="0" applyFont="1" applyFill="1" applyBorder="1" applyAlignment="1">
      <alignment horizontal="center" vertical="center" shrinkToFit="1"/>
    </xf>
    <xf numFmtId="187" fontId="22" fillId="21" borderId="24" xfId="62" applyNumberFormat="1" applyFont="1" applyFill="1" applyBorder="1" applyAlignment="1">
      <alignment vertical="center"/>
      <protection/>
    </xf>
    <xf numFmtId="0" fontId="22" fillId="21" borderId="24" xfId="0" applyFont="1" applyFill="1" applyBorder="1" applyAlignment="1">
      <alignment horizontal="center" vertical="center"/>
    </xf>
    <xf numFmtId="0" fontId="28" fillId="21" borderId="29" xfId="0" applyFont="1" applyFill="1" applyBorder="1" applyAlignment="1">
      <alignment vertical="center" shrinkToFit="1"/>
    </xf>
    <xf numFmtId="184" fontId="22" fillId="21" borderId="24" xfId="0" applyNumberFormat="1" applyFont="1" applyFill="1" applyBorder="1" applyAlignment="1">
      <alignment vertical="center"/>
    </xf>
    <xf numFmtId="0" fontId="22" fillId="5" borderId="34" xfId="0" applyFont="1" applyFill="1" applyBorder="1" applyAlignment="1">
      <alignment horizontal="center" vertical="center" shrinkToFit="1"/>
    </xf>
    <xf numFmtId="185" fontId="22" fillId="5" borderId="27" xfId="0" applyNumberFormat="1" applyFont="1" applyFill="1" applyBorder="1" applyAlignment="1">
      <alignment vertical="center" shrinkToFit="1"/>
    </xf>
    <xf numFmtId="183" fontId="22" fillId="5" borderId="27" xfId="0" applyNumberFormat="1" applyFont="1" applyFill="1" applyBorder="1" applyAlignment="1">
      <alignment horizontal="center" vertical="center"/>
    </xf>
    <xf numFmtId="181" fontId="22" fillId="5" borderId="27" xfId="0" applyNumberFormat="1" applyFont="1" applyFill="1" applyBorder="1" applyAlignment="1">
      <alignment vertical="center"/>
    </xf>
    <xf numFmtId="0" fontId="22" fillId="5" borderId="27" xfId="0" applyFont="1" applyFill="1" applyBorder="1" applyAlignment="1">
      <alignment horizontal="center" vertical="center" shrinkToFit="1"/>
    </xf>
    <xf numFmtId="187" fontId="22" fillId="5" borderId="27" xfId="62" applyNumberFormat="1" applyFont="1" applyFill="1" applyBorder="1" applyAlignment="1">
      <alignment vertical="center"/>
      <protection/>
    </xf>
    <xf numFmtId="0" fontId="22" fillId="5" borderId="27" xfId="0" applyFont="1" applyFill="1" applyBorder="1" applyAlignment="1">
      <alignment horizontal="center" vertical="center"/>
    </xf>
    <xf numFmtId="185" fontId="22" fillId="4" borderId="23" xfId="0" applyNumberFormat="1" applyFont="1" applyFill="1" applyBorder="1" applyAlignment="1">
      <alignment vertical="center" shrinkToFit="1"/>
    </xf>
    <xf numFmtId="0" fontId="28" fillId="4" borderId="29" xfId="0" applyFont="1" applyFill="1" applyBorder="1" applyAlignment="1">
      <alignment vertical="center" shrinkToFit="1"/>
    </xf>
    <xf numFmtId="185" fontId="22" fillId="4" borderId="24" xfId="0" applyNumberFormat="1" applyFont="1" applyFill="1" applyBorder="1" applyAlignment="1">
      <alignment vertical="center" shrinkToFit="1"/>
    </xf>
    <xf numFmtId="183" fontId="22" fillId="4" borderId="24" xfId="0" applyNumberFormat="1" applyFont="1" applyFill="1" applyBorder="1" applyAlignment="1">
      <alignment horizontal="center" vertical="center"/>
    </xf>
    <xf numFmtId="184" fontId="22" fillId="4" borderId="24" xfId="0" applyNumberFormat="1" applyFont="1" applyFill="1" applyBorder="1" applyAlignment="1">
      <alignment vertical="center"/>
    </xf>
    <xf numFmtId="183" fontId="22" fillId="4" borderId="24" xfId="0" applyNumberFormat="1" applyFont="1" applyFill="1" applyBorder="1" applyAlignment="1">
      <alignment horizontal="center" vertical="center" shrinkToFit="1"/>
    </xf>
    <xf numFmtId="187" fontId="22" fillId="4" borderId="24" xfId="62" applyNumberFormat="1" applyFont="1" applyFill="1" applyBorder="1" applyAlignment="1">
      <alignment horizontal="center" vertical="center"/>
      <protection/>
    </xf>
    <xf numFmtId="0" fontId="22" fillId="4" borderId="24" xfId="0" applyFont="1" applyFill="1" applyBorder="1" applyAlignment="1">
      <alignment horizontal="center" vertical="center"/>
    </xf>
    <xf numFmtId="185" fontId="22" fillId="24" borderId="24" xfId="0" applyNumberFormat="1" applyFont="1" applyFill="1" applyBorder="1" applyAlignment="1">
      <alignment vertical="center" shrinkToFit="1"/>
    </xf>
    <xf numFmtId="199" fontId="22" fillId="24" borderId="24" xfId="0" applyNumberFormat="1" applyFont="1" applyFill="1" applyBorder="1" applyAlignment="1">
      <alignment vertical="center"/>
    </xf>
    <xf numFmtId="181" fontId="22" fillId="24" borderId="24" xfId="0" applyNumberFormat="1" applyFont="1" applyFill="1" applyBorder="1" applyAlignment="1">
      <alignment vertical="center"/>
    </xf>
    <xf numFmtId="185" fontId="27" fillId="24" borderId="24" xfId="0" applyNumberFormat="1" applyFont="1" applyFill="1" applyBorder="1" applyAlignment="1">
      <alignment vertical="center" shrinkToFit="1"/>
    </xf>
    <xf numFmtId="0" fontId="28" fillId="0" borderId="29" xfId="0" applyFont="1" applyBorder="1" applyAlignment="1">
      <alignment vertical="center" shrinkToFit="1"/>
    </xf>
    <xf numFmtId="185" fontId="22" fillId="0" borderId="24" xfId="0" applyNumberFormat="1" applyFont="1" applyBorder="1" applyAlignment="1">
      <alignment vertical="center" shrinkToFit="1"/>
    </xf>
    <xf numFmtId="183" fontId="22" fillId="0" borderId="24" xfId="0" applyNumberFormat="1" applyFont="1" applyBorder="1" applyAlignment="1">
      <alignment vertical="center"/>
    </xf>
    <xf numFmtId="181" fontId="22" fillId="0" borderId="24" xfId="0" applyNumberFormat="1" applyFont="1" applyBorder="1" applyAlignment="1">
      <alignment vertical="center"/>
    </xf>
    <xf numFmtId="0" fontId="22" fillId="0" borderId="24" xfId="0" applyFont="1" applyBorder="1" applyAlignment="1">
      <alignment horizontal="center" vertical="center" shrinkToFit="1"/>
    </xf>
    <xf numFmtId="184" fontId="22" fillId="0" borderId="24" xfId="0" applyNumberFormat="1" applyFont="1" applyBorder="1" applyAlignment="1">
      <alignment vertical="center"/>
    </xf>
    <xf numFmtId="0" fontId="32" fillId="0" borderId="24" xfId="0" applyFont="1" applyBorder="1" applyAlignment="1">
      <alignment horizontal="center" vertical="center" shrinkToFit="1"/>
    </xf>
    <xf numFmtId="181" fontId="22" fillId="25" borderId="24" xfId="0" applyNumberFormat="1" applyFont="1" applyFill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9" xfId="0" applyFont="1" applyBorder="1" applyAlignment="1">
      <alignment vertical="center" shrinkToFit="1"/>
    </xf>
    <xf numFmtId="0" fontId="28" fillId="0" borderId="23" xfId="0" applyFont="1" applyBorder="1" applyAlignment="1">
      <alignment vertical="center" shrinkToFit="1"/>
    </xf>
    <xf numFmtId="0" fontId="22" fillId="0" borderId="23" xfId="0" applyFont="1" applyBorder="1" applyAlignment="1">
      <alignment vertical="center" shrinkToFit="1"/>
    </xf>
    <xf numFmtId="183" fontId="22" fillId="0" borderId="23" xfId="0" applyNumberFormat="1" applyFont="1" applyBorder="1" applyAlignment="1">
      <alignment vertical="center"/>
    </xf>
    <xf numFmtId="182" fontId="22" fillId="0" borderId="23" xfId="0" applyNumberFormat="1" applyFont="1" applyBorder="1" applyAlignment="1">
      <alignment vertical="center"/>
    </xf>
    <xf numFmtId="0" fontId="32" fillId="0" borderId="23" xfId="0" applyFont="1" applyBorder="1" applyAlignment="1">
      <alignment horizontal="center" vertical="center" shrinkToFit="1"/>
    </xf>
    <xf numFmtId="187" fontId="22" fillId="0" borderId="23" xfId="62" applyNumberFormat="1" applyFont="1" applyFill="1" applyBorder="1" applyAlignment="1">
      <alignment vertical="center"/>
      <protection/>
    </xf>
    <xf numFmtId="0" fontId="22" fillId="0" borderId="23" xfId="0" applyFont="1" applyBorder="1" applyAlignment="1">
      <alignment vertical="center"/>
    </xf>
    <xf numFmtId="0" fontId="28" fillId="0" borderId="24" xfId="0" applyFont="1" applyBorder="1" applyAlignment="1">
      <alignment vertical="center" shrinkToFit="1"/>
    </xf>
    <xf numFmtId="0" fontId="22" fillId="0" borderId="24" xfId="0" applyFont="1" applyBorder="1" applyAlignment="1">
      <alignment vertical="center" shrinkToFit="1"/>
    </xf>
    <xf numFmtId="182" fontId="22" fillId="0" borderId="24" xfId="0" applyNumberFormat="1" applyFont="1" applyBorder="1" applyAlignment="1">
      <alignment vertical="center"/>
    </xf>
    <xf numFmtId="176" fontId="22" fillId="0" borderId="24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vertical="center"/>
    </xf>
    <xf numFmtId="0" fontId="28" fillId="0" borderId="27" xfId="0" applyFont="1" applyBorder="1" applyAlignment="1">
      <alignment vertical="center" shrinkToFit="1"/>
    </xf>
    <xf numFmtId="0" fontId="22" fillId="0" borderId="27" xfId="0" applyFont="1" applyBorder="1" applyAlignment="1">
      <alignment vertical="center" shrinkToFit="1"/>
    </xf>
    <xf numFmtId="183" fontId="22" fillId="0" borderId="27" xfId="0" applyNumberFormat="1" applyFont="1" applyBorder="1" applyAlignment="1">
      <alignment vertical="center"/>
    </xf>
    <xf numFmtId="181" fontId="22" fillId="0" borderId="27" xfId="0" applyNumberFormat="1" applyFont="1" applyBorder="1" applyAlignment="1">
      <alignment vertical="center"/>
    </xf>
    <xf numFmtId="0" fontId="32" fillId="0" borderId="27" xfId="0" applyFont="1" applyBorder="1" applyAlignment="1">
      <alignment horizontal="center" vertical="center" shrinkToFit="1"/>
    </xf>
    <xf numFmtId="0" fontId="22" fillId="0" borderId="27" xfId="0" applyFont="1" applyBorder="1" applyAlignment="1">
      <alignment vertical="center"/>
    </xf>
    <xf numFmtId="187" fontId="22" fillId="0" borderId="0" xfId="62" applyNumberFormat="1" applyFont="1" applyFill="1" applyBorder="1" applyAlignment="1">
      <alignment vertical="center"/>
      <protection/>
    </xf>
    <xf numFmtId="185" fontId="22" fillId="0" borderId="0" xfId="62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left" vertical="center"/>
    </xf>
    <xf numFmtId="0" fontId="22" fillId="0" borderId="0" xfId="0" applyFont="1" applyAlignment="1">
      <alignment vertical="center" shrinkToFit="1"/>
    </xf>
    <xf numFmtId="183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 shrinkToFit="1"/>
    </xf>
    <xf numFmtId="187" fontId="22" fillId="0" borderId="0" xfId="0" applyNumberFormat="1" applyFont="1" applyAlignment="1">
      <alignment vertical="center"/>
    </xf>
    <xf numFmtId="187" fontId="22" fillId="0" borderId="0" xfId="0" applyNumberFormat="1" applyFont="1" applyAlignment="1">
      <alignment vertical="center"/>
    </xf>
    <xf numFmtId="187" fontId="22" fillId="4" borderId="23" xfId="0" applyNumberFormat="1" applyFont="1" applyFill="1" applyBorder="1" applyAlignment="1">
      <alignment vertical="center"/>
    </xf>
    <xf numFmtId="181" fontId="22" fillId="4" borderId="24" xfId="0" applyNumberFormat="1" applyFont="1" applyFill="1" applyBorder="1" applyAlignment="1">
      <alignment vertical="center"/>
    </xf>
    <xf numFmtId="193" fontId="22" fillId="4" borderId="24" xfId="0" applyNumberFormat="1" applyFont="1" applyFill="1" applyBorder="1" applyAlignment="1">
      <alignment vertical="center"/>
    </xf>
    <xf numFmtId="0" fontId="28" fillId="24" borderId="24" xfId="0" applyFont="1" applyFill="1" applyBorder="1" applyAlignment="1">
      <alignment vertical="center" shrinkToFit="1"/>
    </xf>
    <xf numFmtId="194" fontId="22" fillId="0" borderId="24" xfId="0" applyNumberFormat="1" applyFont="1" applyBorder="1" applyAlignment="1">
      <alignment vertical="center"/>
    </xf>
    <xf numFmtId="187" fontId="22" fillId="0" borderId="24" xfId="0" applyNumberFormat="1" applyFont="1" applyBorder="1" applyAlignment="1">
      <alignment vertical="center"/>
    </xf>
    <xf numFmtId="0" fontId="22" fillId="5" borderId="27" xfId="0" applyFont="1" applyFill="1" applyBorder="1" applyAlignment="1">
      <alignment vertical="center" shrinkToFit="1"/>
    </xf>
    <xf numFmtId="187" fontId="22" fillId="5" borderId="27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horizontal="center" vertical="center" shrinkToFit="1"/>
    </xf>
    <xf numFmtId="183" fontId="22" fillId="0" borderId="0" xfId="0" applyNumberFormat="1" applyFont="1" applyFill="1" applyBorder="1" applyAlignment="1">
      <alignment horizontal="center" vertical="center"/>
    </xf>
    <xf numFmtId="181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176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 shrinkToFit="1"/>
    </xf>
    <xf numFmtId="183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center" vertical="center" shrinkToFit="1"/>
    </xf>
    <xf numFmtId="187" fontId="22" fillId="0" borderId="0" xfId="0" applyNumberFormat="1" applyFont="1" applyFill="1" applyAlignment="1">
      <alignment vertical="center"/>
    </xf>
    <xf numFmtId="187" fontId="22" fillId="0" borderId="0" xfId="0" applyNumberFormat="1" applyFont="1" applyFill="1" applyAlignment="1">
      <alignment vertical="center"/>
    </xf>
    <xf numFmtId="0" fontId="28" fillId="4" borderId="24" xfId="0" applyFont="1" applyFill="1" applyBorder="1" applyAlignment="1">
      <alignment vertical="center" shrinkToFit="1"/>
    </xf>
    <xf numFmtId="0" fontId="22" fillId="4" borderId="24" xfId="0" applyFont="1" applyFill="1" applyBorder="1" applyAlignment="1">
      <alignment vertical="center" shrinkToFit="1"/>
    </xf>
    <xf numFmtId="0" fontId="22" fillId="4" borderId="24" xfId="0" applyFont="1" applyFill="1" applyBorder="1" applyAlignment="1">
      <alignment horizontal="center" vertical="center" shrinkToFit="1"/>
    </xf>
    <xf numFmtId="187" fontId="22" fillId="4" borderId="24" xfId="0" applyNumberFormat="1" applyFont="1" applyFill="1" applyBorder="1" applyAlignment="1">
      <alignment vertical="center"/>
    </xf>
    <xf numFmtId="185" fontId="22" fillId="0" borderId="24" xfId="0" applyNumberFormat="1" applyFont="1" applyBorder="1" applyAlignment="1">
      <alignment vertical="center"/>
    </xf>
    <xf numFmtId="189" fontId="22" fillId="0" borderId="24" xfId="0" applyNumberFormat="1" applyFont="1" applyBorder="1" applyAlignment="1">
      <alignment vertical="center"/>
    </xf>
    <xf numFmtId="0" fontId="22" fillId="21" borderId="24" xfId="0" applyFont="1" applyFill="1" applyBorder="1" applyAlignment="1">
      <alignment vertical="center" shrinkToFit="1"/>
    </xf>
    <xf numFmtId="199" fontId="22" fillId="21" borderId="24" xfId="0" applyNumberFormat="1" applyFont="1" applyFill="1" applyBorder="1" applyAlignment="1">
      <alignment vertical="center"/>
    </xf>
    <xf numFmtId="187" fontId="22" fillId="21" borderId="24" xfId="0" applyNumberFormat="1" applyFont="1" applyFill="1" applyBorder="1" applyAlignment="1">
      <alignment vertical="center"/>
    </xf>
    <xf numFmtId="187" fontId="22" fillId="21" borderId="29" xfId="0" applyNumberFormat="1" applyFont="1" applyFill="1" applyBorder="1" applyAlignment="1">
      <alignment vertical="center"/>
    </xf>
    <xf numFmtId="186" fontId="22" fillId="5" borderId="27" xfId="0" applyNumberFormat="1" applyFont="1" applyFill="1" applyBorder="1" applyAlignment="1">
      <alignment vertical="center"/>
    </xf>
    <xf numFmtId="0" fontId="22" fillId="0" borderId="23" xfId="0" applyFont="1" applyBorder="1" applyAlignment="1">
      <alignment horizontal="center" vertical="center" shrinkToFit="1"/>
    </xf>
    <xf numFmtId="0" fontId="28" fillId="0" borderId="24" xfId="0" applyFont="1" applyBorder="1" applyAlignment="1">
      <alignment vertical="center"/>
    </xf>
    <xf numFmtId="185" fontId="22" fillId="21" borderId="27" xfId="0" applyNumberFormat="1" applyFont="1" applyFill="1" applyBorder="1" applyAlignment="1">
      <alignment vertical="center" shrinkToFit="1"/>
    </xf>
    <xf numFmtId="183" fontId="22" fillId="21" borderId="27" xfId="0" applyNumberFormat="1" applyFont="1" applyFill="1" applyBorder="1" applyAlignment="1">
      <alignment vertical="center"/>
    </xf>
    <xf numFmtId="189" fontId="22" fillId="21" borderId="27" xfId="0" applyNumberFormat="1" applyFont="1" applyFill="1" applyBorder="1" applyAlignment="1">
      <alignment vertical="center"/>
    </xf>
    <xf numFmtId="0" fontId="22" fillId="21" borderId="27" xfId="0" applyFont="1" applyFill="1" applyBorder="1" applyAlignment="1">
      <alignment horizontal="center" vertical="center" shrinkToFit="1"/>
    </xf>
    <xf numFmtId="187" fontId="22" fillId="21" borderId="27" xfId="0" applyNumberFormat="1" applyFont="1" applyFill="1" applyBorder="1" applyAlignment="1">
      <alignment vertical="center"/>
    </xf>
    <xf numFmtId="0" fontId="22" fillId="21" borderId="27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 shrinkToFit="1"/>
    </xf>
    <xf numFmtId="0" fontId="22" fillId="0" borderId="49" xfId="0" applyFont="1" applyBorder="1" applyAlignment="1">
      <alignment vertical="center"/>
    </xf>
    <xf numFmtId="0" fontId="28" fillId="0" borderId="24" xfId="0" applyFont="1" applyFill="1" applyBorder="1" applyAlignment="1">
      <alignment vertical="center"/>
    </xf>
    <xf numFmtId="0" fontId="28" fillId="21" borderId="24" xfId="0" applyFont="1" applyFill="1" applyBorder="1" applyAlignment="1">
      <alignment vertical="center"/>
    </xf>
    <xf numFmtId="0" fontId="28" fillId="21" borderId="24" xfId="0" applyFont="1" applyFill="1" applyBorder="1" applyAlignment="1">
      <alignment vertical="center" shrinkToFit="1"/>
    </xf>
    <xf numFmtId="193" fontId="22" fillId="4" borderId="23" xfId="0" applyNumberFormat="1" applyFont="1" applyFill="1" applyBorder="1" applyAlignment="1">
      <alignment vertical="center"/>
    </xf>
    <xf numFmtId="186" fontId="22" fillId="4" borderId="24" xfId="0" applyNumberFormat="1" applyFont="1" applyFill="1" applyBorder="1" applyAlignment="1">
      <alignment vertical="center"/>
    </xf>
    <xf numFmtId="0" fontId="28" fillId="0" borderId="24" xfId="0" applyFont="1" applyFill="1" applyBorder="1" applyAlignment="1">
      <alignment vertical="center" shrinkToFit="1"/>
    </xf>
    <xf numFmtId="0" fontId="22" fillId="0" borderId="24" xfId="0" applyFont="1" applyFill="1" applyBorder="1" applyAlignment="1">
      <alignment vertical="center" shrinkToFit="1"/>
    </xf>
    <xf numFmtId="187" fontId="22" fillId="0" borderId="24" xfId="0" applyNumberFormat="1" applyFont="1" applyFill="1" applyBorder="1" applyAlignment="1">
      <alignment horizontal="center" vertical="center"/>
    </xf>
    <xf numFmtId="0" fontId="22" fillId="0" borderId="43" xfId="0" applyFont="1" applyBorder="1" applyAlignment="1">
      <alignment vertical="center" shrinkToFit="1"/>
    </xf>
    <xf numFmtId="0" fontId="22" fillId="0" borderId="25" xfId="0" applyFont="1" applyBorder="1" applyAlignment="1">
      <alignment horizontal="center" vertical="center"/>
    </xf>
    <xf numFmtId="194" fontId="22" fillId="21" borderId="24" xfId="0" applyNumberFormat="1" applyFont="1" applyFill="1" applyBorder="1" applyAlignment="1">
      <alignment vertical="center"/>
    </xf>
    <xf numFmtId="186" fontId="22" fillId="21" borderId="29" xfId="0" applyNumberFormat="1" applyFont="1" applyFill="1" applyBorder="1" applyAlignment="1">
      <alignment horizontal="center" vertical="center"/>
    </xf>
    <xf numFmtId="0" fontId="22" fillId="21" borderId="22" xfId="0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 shrinkToFit="1"/>
    </xf>
    <xf numFmtId="0" fontId="22" fillId="5" borderId="22" xfId="0" applyFont="1" applyFill="1" applyBorder="1" applyAlignment="1">
      <alignment vertical="center" shrinkToFit="1"/>
    </xf>
    <xf numFmtId="183" fontId="22" fillId="5" borderId="22" xfId="0" applyNumberFormat="1" applyFont="1" applyFill="1" applyBorder="1" applyAlignment="1">
      <alignment horizontal="center" vertical="center"/>
    </xf>
    <xf numFmtId="181" fontId="22" fillId="5" borderId="22" xfId="0" applyNumberFormat="1" applyFont="1" applyFill="1" applyBorder="1" applyAlignment="1">
      <alignment vertical="center"/>
    </xf>
    <xf numFmtId="187" fontId="22" fillId="5" borderId="22" xfId="0" applyNumberFormat="1" applyFont="1" applyFill="1" applyBorder="1" applyAlignment="1">
      <alignment vertical="center"/>
    </xf>
    <xf numFmtId="0" fontId="22" fillId="5" borderId="24" xfId="0" applyFont="1" applyFill="1" applyBorder="1" applyAlignment="1">
      <alignment vertical="center"/>
    </xf>
    <xf numFmtId="179" fontId="22" fillId="5" borderId="27" xfId="0" applyNumberFormat="1" applyFont="1" applyFill="1" applyBorder="1" applyAlignment="1">
      <alignment vertical="center"/>
    </xf>
    <xf numFmtId="0" fontId="22" fillId="5" borderId="27" xfId="0" applyFont="1" applyFill="1" applyBorder="1" applyAlignment="1">
      <alignment vertical="center"/>
    </xf>
    <xf numFmtId="176" fontId="22" fillId="0" borderId="23" xfId="0" applyNumberFormat="1" applyFont="1" applyBorder="1" applyAlignment="1">
      <alignment horizontal="center" vertical="center"/>
    </xf>
    <xf numFmtId="0" fontId="22" fillId="5" borderId="33" xfId="0" applyFont="1" applyFill="1" applyBorder="1" applyAlignment="1">
      <alignment horizontal="center" vertical="center" shrinkToFit="1"/>
    </xf>
    <xf numFmtId="0" fontId="22" fillId="5" borderId="23" xfId="0" applyFont="1" applyFill="1" applyBorder="1" applyAlignment="1">
      <alignment vertical="center" shrinkToFit="1"/>
    </xf>
    <xf numFmtId="183" fontId="22" fillId="5" borderId="23" xfId="0" applyNumberFormat="1" applyFont="1" applyFill="1" applyBorder="1" applyAlignment="1">
      <alignment horizontal="center" vertical="center"/>
    </xf>
    <xf numFmtId="186" fontId="22" fillId="5" borderId="23" xfId="0" applyNumberFormat="1" applyFont="1" applyFill="1" applyBorder="1" applyAlignment="1">
      <alignment vertical="center"/>
    </xf>
    <xf numFmtId="0" fontId="22" fillId="5" borderId="23" xfId="0" applyFont="1" applyFill="1" applyBorder="1" applyAlignment="1">
      <alignment horizontal="center" vertical="center" shrinkToFit="1"/>
    </xf>
    <xf numFmtId="187" fontId="22" fillId="5" borderId="23" xfId="0" applyNumberFormat="1" applyFont="1" applyFill="1" applyBorder="1" applyAlignment="1">
      <alignment vertical="center"/>
    </xf>
    <xf numFmtId="0" fontId="22" fillId="5" borderId="23" xfId="0" applyFont="1" applyFill="1" applyBorder="1" applyAlignment="1">
      <alignment horizontal="center" vertical="center"/>
    </xf>
    <xf numFmtId="0" fontId="28" fillId="0" borderId="22" xfId="0" applyFont="1" applyBorder="1" applyAlignment="1">
      <alignment vertical="center" shrinkToFit="1"/>
    </xf>
    <xf numFmtId="0" fontId="22" fillId="0" borderId="22" xfId="0" applyFont="1" applyBorder="1" applyAlignment="1">
      <alignment vertical="center" shrinkToFit="1"/>
    </xf>
    <xf numFmtId="181" fontId="22" fillId="0" borderId="22" xfId="0" applyNumberFormat="1" applyFont="1" applyFill="1" applyBorder="1" applyAlignment="1">
      <alignment vertical="center"/>
    </xf>
    <xf numFmtId="0" fontId="32" fillId="0" borderId="22" xfId="0" applyFont="1" applyFill="1" applyBorder="1" applyAlignment="1">
      <alignment horizontal="center" vertical="center" shrinkToFit="1"/>
    </xf>
    <xf numFmtId="187" fontId="22" fillId="0" borderId="22" xfId="0" applyNumberFormat="1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182" fontId="22" fillId="0" borderId="24" xfId="0" applyNumberFormat="1" applyFont="1" applyFill="1" applyBorder="1" applyAlignment="1">
      <alignment vertical="center"/>
    </xf>
    <xf numFmtId="186" fontId="22" fillId="0" borderId="27" xfId="0" applyNumberFormat="1" applyFont="1" applyFill="1" applyBorder="1" applyAlignment="1">
      <alignment vertical="center"/>
    </xf>
    <xf numFmtId="0" fontId="22" fillId="0" borderId="27" xfId="0" applyFont="1" applyFill="1" applyBorder="1" applyAlignment="1">
      <alignment horizontal="center" vertical="center" shrinkToFit="1"/>
    </xf>
    <xf numFmtId="187" fontId="22" fillId="0" borderId="27" xfId="0" applyNumberFormat="1" applyFont="1" applyBorder="1" applyAlignment="1">
      <alignment vertical="center"/>
    </xf>
    <xf numFmtId="183" fontId="22" fillId="0" borderId="24" xfId="0" applyNumberFormat="1" applyFont="1" applyFill="1" applyBorder="1" applyAlignment="1">
      <alignment vertical="center"/>
    </xf>
    <xf numFmtId="183" fontId="22" fillId="21" borderId="24" xfId="0" applyNumberFormat="1" applyFont="1" applyFill="1" applyBorder="1" applyAlignment="1">
      <alignment vertical="center"/>
    </xf>
    <xf numFmtId="193" fontId="22" fillId="21" borderId="24" xfId="0" applyNumberFormat="1" applyFont="1" applyFill="1" applyBorder="1" applyAlignment="1">
      <alignment vertical="center"/>
    </xf>
    <xf numFmtId="0" fontId="22" fillId="4" borderId="22" xfId="0" applyFont="1" applyFill="1" applyBorder="1" applyAlignment="1">
      <alignment horizontal="center" vertical="center" shrinkToFit="1"/>
    </xf>
    <xf numFmtId="0" fontId="22" fillId="4" borderId="22" xfId="0" applyFont="1" applyFill="1" applyBorder="1" applyAlignment="1">
      <alignment vertical="center" shrinkToFit="1"/>
    </xf>
    <xf numFmtId="183" fontId="22" fillId="4" borderId="22" xfId="0" applyNumberFormat="1" applyFont="1" applyFill="1" applyBorder="1" applyAlignment="1">
      <alignment horizontal="center" vertical="center"/>
    </xf>
    <xf numFmtId="184" fontId="22" fillId="4" borderId="22" xfId="0" applyNumberFormat="1" applyFont="1" applyFill="1" applyBorder="1" applyAlignment="1">
      <alignment vertical="center"/>
    </xf>
    <xf numFmtId="193" fontId="22" fillId="4" borderId="22" xfId="0" applyNumberFormat="1" applyFont="1" applyFill="1" applyBorder="1" applyAlignment="1">
      <alignment vertical="center"/>
    </xf>
    <xf numFmtId="0" fontId="22" fillId="4" borderId="22" xfId="0" applyFont="1" applyFill="1" applyBorder="1" applyAlignment="1">
      <alignment horizontal="center" vertical="center"/>
    </xf>
    <xf numFmtId="187" fontId="22" fillId="4" borderId="24" xfId="0" applyNumberFormat="1" applyFont="1" applyFill="1" applyBorder="1" applyAlignment="1">
      <alignment horizontal="center" vertical="center"/>
    </xf>
    <xf numFmtId="193" fontId="22" fillId="0" borderId="24" xfId="0" applyNumberFormat="1" applyFont="1" applyBorder="1" applyAlignment="1">
      <alignment vertical="center"/>
    </xf>
    <xf numFmtId="184" fontId="22" fillId="0" borderId="27" xfId="0" applyNumberFormat="1" applyFont="1" applyFill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 shrinkToFit="1"/>
    </xf>
    <xf numFmtId="187" fontId="22" fillId="4" borderId="22" xfId="0" applyNumberFormat="1" applyFont="1" applyFill="1" applyBorder="1" applyAlignment="1">
      <alignment vertical="center"/>
    </xf>
    <xf numFmtId="0" fontId="22" fillId="5" borderId="32" xfId="0" applyFont="1" applyFill="1" applyBorder="1" applyAlignment="1">
      <alignment horizontal="center" vertical="center" shrinkToFit="1"/>
    </xf>
    <xf numFmtId="0" fontId="22" fillId="5" borderId="21" xfId="0" applyFont="1" applyFill="1" applyBorder="1" applyAlignment="1">
      <alignment vertical="center" shrinkToFit="1"/>
    </xf>
    <xf numFmtId="183" fontId="22" fillId="5" borderId="21" xfId="0" applyNumberFormat="1" applyFont="1" applyFill="1" applyBorder="1" applyAlignment="1">
      <alignment horizontal="center" vertical="center"/>
    </xf>
    <xf numFmtId="183" fontId="22" fillId="0" borderId="22" xfId="0" applyNumberFormat="1" applyFont="1" applyBorder="1" applyAlignment="1">
      <alignment vertical="center"/>
    </xf>
    <xf numFmtId="182" fontId="22" fillId="25" borderId="22" xfId="0" applyNumberFormat="1" applyFont="1" applyFill="1" applyBorder="1" applyAlignment="1">
      <alignment vertical="center"/>
    </xf>
    <xf numFmtId="0" fontId="32" fillId="0" borderId="22" xfId="0" applyFont="1" applyBorder="1" applyAlignment="1">
      <alignment horizontal="center" vertical="center" shrinkToFit="1"/>
    </xf>
    <xf numFmtId="184" fontId="22" fillId="25" borderId="24" xfId="0" applyNumberFormat="1" applyFont="1" applyFill="1" applyBorder="1" applyAlignment="1">
      <alignment vertical="center"/>
    </xf>
    <xf numFmtId="182" fontId="22" fillId="0" borderId="27" xfId="0" applyNumberFormat="1" applyFont="1" applyBorder="1" applyAlignment="1">
      <alignment vertical="center"/>
    </xf>
    <xf numFmtId="187" fontId="22" fillId="0" borderId="23" xfId="0" applyNumberFormat="1" applyFont="1" applyBorder="1" applyAlignment="1">
      <alignment vertical="center"/>
    </xf>
    <xf numFmtId="0" fontId="22" fillId="0" borderId="27" xfId="0" applyFont="1" applyBorder="1" applyAlignment="1">
      <alignment horizontal="center" vertical="center" shrinkToFit="1"/>
    </xf>
    <xf numFmtId="0" fontId="28" fillId="4" borderId="23" xfId="0" applyFont="1" applyFill="1" applyBorder="1" applyAlignment="1">
      <alignment vertical="center" shrinkToFit="1"/>
    </xf>
    <xf numFmtId="182" fontId="22" fillId="4" borderId="23" xfId="0" applyNumberFormat="1" applyFont="1" applyFill="1" applyBorder="1" applyAlignment="1">
      <alignment vertical="center"/>
    </xf>
    <xf numFmtId="193" fontId="22" fillId="0" borderId="27" xfId="0" applyNumberFormat="1" applyFont="1" applyBorder="1" applyAlignment="1">
      <alignment vertical="center"/>
    </xf>
    <xf numFmtId="185" fontId="22" fillId="4" borderId="24" xfId="0" applyNumberFormat="1" applyFont="1" applyFill="1" applyBorder="1" applyAlignment="1">
      <alignment vertical="center"/>
    </xf>
    <xf numFmtId="0" fontId="22" fillId="0" borderId="22" xfId="0" applyFont="1" applyBorder="1" applyAlignment="1">
      <alignment vertical="center"/>
    </xf>
    <xf numFmtId="183" fontId="22" fillId="0" borderId="24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 vertical="center"/>
    </xf>
    <xf numFmtId="182" fontId="22" fillId="0" borderId="22" xfId="0" applyNumberFormat="1" applyFont="1" applyFill="1" applyBorder="1" applyAlignment="1">
      <alignment vertical="center"/>
    </xf>
    <xf numFmtId="181" fontId="22" fillId="0" borderId="22" xfId="0" applyNumberFormat="1" applyFont="1" applyFill="1" applyBorder="1" applyAlignment="1">
      <alignment vertical="center"/>
    </xf>
    <xf numFmtId="0" fontId="28" fillId="0" borderId="23" xfId="0" applyFont="1" applyFill="1" applyBorder="1" applyAlignment="1">
      <alignment vertical="center" shrinkToFit="1"/>
    </xf>
    <xf numFmtId="0" fontId="22" fillId="0" borderId="23" xfId="0" applyFont="1" applyFill="1" applyBorder="1" applyAlignment="1">
      <alignment vertical="center" shrinkToFit="1"/>
    </xf>
    <xf numFmtId="183" fontId="22" fillId="0" borderId="23" xfId="0" applyNumberFormat="1" applyFont="1" applyFill="1" applyBorder="1" applyAlignment="1">
      <alignment vertical="center"/>
    </xf>
    <xf numFmtId="181" fontId="22" fillId="0" borderId="23" xfId="0" applyNumberFormat="1" applyFont="1" applyFill="1" applyBorder="1" applyAlignment="1">
      <alignment vertical="center"/>
    </xf>
    <xf numFmtId="0" fontId="22" fillId="0" borderId="23" xfId="0" applyFont="1" applyFill="1" applyBorder="1" applyAlignment="1">
      <alignment horizontal="center" vertical="center" shrinkToFit="1"/>
    </xf>
    <xf numFmtId="188" fontId="22" fillId="0" borderId="23" xfId="0" applyNumberFormat="1" applyFont="1" applyFill="1" applyBorder="1" applyAlignment="1">
      <alignment vertical="center"/>
    </xf>
    <xf numFmtId="0" fontId="22" fillId="0" borderId="50" xfId="0" applyFont="1" applyBorder="1" applyAlignment="1">
      <alignment horizontal="center" vertical="center" wrapText="1"/>
    </xf>
    <xf numFmtId="178" fontId="22" fillId="0" borderId="50" xfId="0" applyNumberFormat="1" applyFont="1" applyBorder="1" applyAlignment="1">
      <alignment horizontal="center" vertical="center"/>
    </xf>
    <xf numFmtId="187" fontId="22" fillId="0" borderId="2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24" borderId="49" xfId="0" applyFont="1" applyFill="1" applyBorder="1" applyAlignment="1">
      <alignment vertical="center" shrinkToFit="1"/>
    </xf>
    <xf numFmtId="0" fontId="22" fillId="24" borderId="51" xfId="0" applyFont="1" applyFill="1" applyBorder="1" applyAlignment="1">
      <alignment vertical="center" shrinkToFit="1"/>
    </xf>
    <xf numFmtId="0" fontId="22" fillId="24" borderId="28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2" fillId="4" borderId="41" xfId="0" applyFont="1" applyFill="1" applyBorder="1" applyAlignment="1">
      <alignment horizontal="center" vertical="center" shrinkToFit="1"/>
    </xf>
    <xf numFmtId="185" fontId="22" fillId="4" borderId="22" xfId="0" applyNumberFormat="1" applyFont="1" applyFill="1" applyBorder="1" applyAlignment="1">
      <alignment vertical="center" shrinkToFit="1"/>
    </xf>
    <xf numFmtId="183" fontId="22" fillId="4" borderId="22" xfId="0" applyNumberFormat="1" applyFont="1" applyFill="1" applyBorder="1" applyAlignment="1">
      <alignment horizontal="center" vertical="center" shrinkToFit="1"/>
    </xf>
    <xf numFmtId="187" fontId="22" fillId="4" borderId="22" xfId="62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horizontal="center" vertical="center" textRotation="255"/>
    </xf>
    <xf numFmtId="185" fontId="22" fillId="0" borderId="0" xfId="0" applyNumberFormat="1" applyFont="1" applyFill="1" applyBorder="1" applyAlignment="1">
      <alignment vertical="center" shrinkToFit="1"/>
    </xf>
    <xf numFmtId="0" fontId="22" fillId="4" borderId="52" xfId="0" applyFont="1" applyFill="1" applyBorder="1" applyAlignment="1">
      <alignment vertical="center" shrinkToFit="1"/>
    </xf>
    <xf numFmtId="0" fontId="28" fillId="24" borderId="41" xfId="0" applyFont="1" applyFill="1" applyBorder="1" applyAlignment="1">
      <alignment vertical="center" shrinkToFit="1"/>
    </xf>
    <xf numFmtId="0" fontId="22" fillId="24" borderId="22" xfId="0" applyFont="1" applyFill="1" applyBorder="1" applyAlignment="1">
      <alignment vertical="center" shrinkToFit="1"/>
    </xf>
    <xf numFmtId="0" fontId="22" fillId="24" borderId="53" xfId="0" applyFont="1" applyFill="1" applyBorder="1" applyAlignment="1">
      <alignment vertical="center" shrinkToFit="1"/>
    </xf>
    <xf numFmtId="0" fontId="22" fillId="24" borderId="54" xfId="0" applyFont="1" applyFill="1" applyBorder="1" applyAlignment="1">
      <alignment vertical="center" shrinkToFit="1"/>
    </xf>
    <xf numFmtId="0" fontId="22" fillId="24" borderId="46" xfId="0" applyFont="1" applyFill="1" applyBorder="1" applyAlignment="1">
      <alignment vertical="center" shrinkToFit="1"/>
    </xf>
    <xf numFmtId="0" fontId="22" fillId="24" borderId="55" xfId="0" applyFont="1" applyFill="1" applyBorder="1" applyAlignment="1">
      <alignment vertical="center" shrinkToFit="1"/>
    </xf>
    <xf numFmtId="0" fontId="22" fillId="24" borderId="17" xfId="0" applyFont="1" applyFill="1" applyBorder="1" applyAlignment="1">
      <alignment vertical="center" shrinkToFit="1"/>
    </xf>
    <xf numFmtId="0" fontId="22" fillId="24" borderId="56" xfId="0" applyFont="1" applyFill="1" applyBorder="1" applyAlignment="1">
      <alignment vertical="center" shrinkToFit="1"/>
    </xf>
    <xf numFmtId="0" fontId="22" fillId="24" borderId="18" xfId="0" applyFont="1" applyFill="1" applyBorder="1" applyAlignment="1">
      <alignment vertical="center" shrinkToFit="1"/>
    </xf>
    <xf numFmtId="0" fontId="22" fillId="0" borderId="17" xfId="0" applyFont="1" applyFill="1" applyBorder="1" applyAlignment="1">
      <alignment vertical="center" shrinkToFit="1"/>
    </xf>
    <xf numFmtId="0" fontId="22" fillId="21" borderId="17" xfId="0" applyFont="1" applyFill="1" applyBorder="1" applyAlignment="1">
      <alignment vertical="center" shrinkToFit="1"/>
    </xf>
    <xf numFmtId="0" fontId="28" fillId="0" borderId="15" xfId="0" applyFont="1" applyBorder="1" applyAlignment="1">
      <alignment vertical="center" shrinkToFit="1"/>
    </xf>
    <xf numFmtId="176" fontId="22" fillId="0" borderId="29" xfId="0" applyNumberFormat="1" applyFont="1" applyBorder="1" applyAlignment="1">
      <alignment horizontal="center" vertical="center"/>
    </xf>
    <xf numFmtId="176" fontId="22" fillId="0" borderId="32" xfId="0" applyNumberFormat="1" applyFont="1" applyBorder="1" applyAlignment="1">
      <alignment horizontal="center" vertical="center"/>
    </xf>
    <xf numFmtId="0" fontId="22" fillId="24" borderId="57" xfId="0" applyFont="1" applyFill="1" applyBorder="1" applyAlignment="1">
      <alignment vertical="center" shrinkToFit="1"/>
    </xf>
    <xf numFmtId="0" fontId="22" fillId="24" borderId="58" xfId="0" applyFont="1" applyFill="1" applyBorder="1" applyAlignment="1">
      <alignment vertical="center" shrinkToFit="1"/>
    </xf>
    <xf numFmtId="0" fontId="22" fillId="24" borderId="19" xfId="0" applyFont="1" applyFill="1" applyBorder="1" applyAlignment="1">
      <alignment vertical="center" shrinkToFit="1"/>
    </xf>
    <xf numFmtId="0" fontId="28" fillId="21" borderId="34" xfId="0" applyFont="1" applyFill="1" applyBorder="1" applyAlignment="1">
      <alignment horizontal="left" vertical="center" shrinkToFit="1"/>
    </xf>
    <xf numFmtId="0" fontId="22" fillId="0" borderId="56" xfId="0" applyFont="1" applyBorder="1" applyAlignment="1">
      <alignment vertical="center" shrinkToFit="1"/>
    </xf>
    <xf numFmtId="0" fontId="22" fillId="5" borderId="21" xfId="0" applyFont="1" applyFill="1" applyBorder="1" applyAlignment="1">
      <alignment horizontal="center" vertical="center" shrinkToFit="1"/>
    </xf>
    <xf numFmtId="0" fontId="22" fillId="5" borderId="24" xfId="0" applyFont="1" applyFill="1" applyBorder="1" applyAlignment="1">
      <alignment horizontal="center" vertical="center" shrinkToFit="1"/>
    </xf>
    <xf numFmtId="0" fontId="22" fillId="0" borderId="53" xfId="0" applyFont="1" applyFill="1" applyBorder="1" applyAlignment="1">
      <alignment vertical="center" shrinkToFit="1"/>
    </xf>
    <xf numFmtId="0" fontId="22" fillId="0" borderId="59" xfId="0" applyFont="1" applyFill="1" applyBorder="1" applyAlignment="1">
      <alignment vertical="center" shrinkToFit="1"/>
    </xf>
    <xf numFmtId="183" fontId="22" fillId="21" borderId="43" xfId="0" applyNumberFormat="1" applyFont="1" applyFill="1" applyBorder="1" applyAlignment="1">
      <alignment vertical="center"/>
    </xf>
    <xf numFmtId="0" fontId="32" fillId="0" borderId="27" xfId="0" applyFont="1" applyFill="1" applyBorder="1" applyAlignment="1">
      <alignment horizontal="center" vertical="center" shrinkToFit="1"/>
    </xf>
    <xf numFmtId="184" fontId="22" fillId="0" borderId="22" xfId="0" applyNumberFormat="1" applyFont="1" applyFill="1" applyBorder="1" applyAlignment="1">
      <alignment vertical="center"/>
    </xf>
    <xf numFmtId="182" fontId="22" fillId="0" borderId="22" xfId="0" applyNumberFormat="1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184" fontId="22" fillId="0" borderId="22" xfId="0" applyNumberFormat="1" applyFont="1" applyBorder="1" applyAlignment="1">
      <alignment vertical="center"/>
    </xf>
    <xf numFmtId="0" fontId="22" fillId="0" borderId="22" xfId="0" applyFont="1" applyBorder="1" applyAlignment="1">
      <alignment horizontal="center" vertical="center" shrinkToFit="1"/>
    </xf>
    <xf numFmtId="193" fontId="22" fillId="0" borderId="22" xfId="0" applyNumberFormat="1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22" fillId="0" borderId="60" xfId="0" applyFont="1" applyBorder="1" applyAlignment="1">
      <alignment vertical="center"/>
    </xf>
    <xf numFmtId="0" fontId="22" fillId="0" borderId="61" xfId="0" applyFont="1" applyBorder="1" applyAlignment="1">
      <alignment vertical="center"/>
    </xf>
    <xf numFmtId="185" fontId="22" fillId="4" borderId="23" xfId="62" applyNumberFormat="1" applyFont="1" applyFill="1" applyBorder="1" applyAlignment="1">
      <alignment horizontal="center" vertical="center"/>
      <protection/>
    </xf>
    <xf numFmtId="185" fontId="22" fillId="24" borderId="24" xfId="62" applyNumberFormat="1" applyFont="1" applyFill="1" applyBorder="1" applyAlignment="1">
      <alignment horizontal="center" vertical="center"/>
      <protection/>
    </xf>
    <xf numFmtId="185" fontId="22" fillId="0" borderId="24" xfId="62" applyNumberFormat="1" applyFont="1" applyFill="1" applyBorder="1" applyAlignment="1">
      <alignment horizontal="center" vertical="center"/>
      <protection/>
    </xf>
    <xf numFmtId="185" fontId="22" fillId="21" borderId="24" xfId="62" applyNumberFormat="1" applyFont="1" applyFill="1" applyBorder="1" applyAlignment="1">
      <alignment horizontal="center" vertical="center"/>
      <protection/>
    </xf>
    <xf numFmtId="185" fontId="22" fillId="5" borderId="27" xfId="62" applyNumberFormat="1" applyFont="1" applyFill="1" applyBorder="1" applyAlignment="1">
      <alignment horizontal="center" vertical="center"/>
      <protection/>
    </xf>
    <xf numFmtId="185" fontId="22" fillId="0" borderId="23" xfId="62" applyNumberFormat="1" applyFont="1" applyFill="1" applyBorder="1" applyAlignment="1">
      <alignment vertical="center"/>
      <protection/>
    </xf>
    <xf numFmtId="185" fontId="22" fillId="0" borderId="27" xfId="62" applyNumberFormat="1" applyFont="1" applyFill="1" applyBorder="1" applyAlignment="1">
      <alignment horizontal="center" vertical="center"/>
      <protection/>
    </xf>
    <xf numFmtId="185" fontId="22" fillId="4" borderId="22" xfId="62" applyNumberFormat="1" applyFont="1" applyFill="1" applyBorder="1" applyAlignment="1">
      <alignment horizontal="center" vertical="center"/>
      <protection/>
    </xf>
    <xf numFmtId="185" fontId="22" fillId="4" borderId="24" xfId="62" applyNumberFormat="1" applyFont="1" applyFill="1" applyBorder="1" applyAlignment="1">
      <alignment horizontal="center" vertical="center"/>
      <protection/>
    </xf>
    <xf numFmtId="0" fontId="22" fillId="24" borderId="0" xfId="0" applyFont="1" applyFill="1" applyBorder="1" applyAlignment="1">
      <alignment vertical="center" shrinkToFit="1"/>
    </xf>
    <xf numFmtId="182" fontId="22" fillId="0" borderId="24" xfId="0" applyNumberFormat="1" applyFont="1" applyFill="1" applyBorder="1" applyAlignment="1">
      <alignment vertical="center"/>
    </xf>
    <xf numFmtId="0" fontId="22" fillId="5" borderId="24" xfId="0" applyFont="1" applyFill="1" applyBorder="1" applyAlignment="1">
      <alignment horizontal="center" vertical="center"/>
    </xf>
    <xf numFmtId="181" fontId="22" fillId="0" borderId="24" xfId="0" applyNumberFormat="1" applyFont="1" applyFill="1" applyBorder="1" applyAlignment="1">
      <alignment vertical="center"/>
    </xf>
    <xf numFmtId="184" fontId="22" fillId="0" borderId="27" xfId="0" applyNumberFormat="1" applyFont="1" applyBorder="1" applyAlignment="1">
      <alignment vertical="center"/>
    </xf>
    <xf numFmtId="176" fontId="22" fillId="5" borderId="62" xfId="0" applyNumberFormat="1" applyFont="1" applyFill="1" applyBorder="1" applyAlignment="1">
      <alignment horizontal="center" vertical="center" shrinkToFit="1"/>
    </xf>
    <xf numFmtId="176" fontId="22" fillId="5" borderId="60" xfId="0" applyNumberFormat="1" applyFont="1" applyFill="1" applyBorder="1" applyAlignment="1">
      <alignment horizontal="center" vertical="center" shrinkToFit="1"/>
    </xf>
    <xf numFmtId="228" fontId="22" fillId="0" borderId="33" xfId="0" applyNumberFormat="1" applyFont="1" applyFill="1" applyBorder="1" applyAlignment="1">
      <alignment horizontal="right" vertical="center"/>
    </xf>
    <xf numFmtId="228" fontId="22" fillId="0" borderId="29" xfId="0" applyNumberFormat="1" applyFont="1" applyFill="1" applyBorder="1" applyAlignment="1">
      <alignment horizontal="right" vertical="center"/>
    </xf>
    <xf numFmtId="228" fontId="22" fillId="0" borderId="34" xfId="0" applyNumberFormat="1" applyFont="1" applyFill="1" applyBorder="1" applyAlignment="1">
      <alignment horizontal="right" vertical="center"/>
    </xf>
    <xf numFmtId="0" fontId="22" fillId="0" borderId="33" xfId="0" applyFont="1" applyFill="1" applyBorder="1" applyAlignment="1">
      <alignment horizontal="right" vertical="center"/>
    </xf>
    <xf numFmtId="0" fontId="22" fillId="0" borderId="41" xfId="0" applyFont="1" applyFill="1" applyBorder="1" applyAlignment="1">
      <alignment horizontal="right" vertical="center"/>
    </xf>
    <xf numFmtId="0" fontId="22" fillId="0" borderId="34" xfId="0" applyFont="1" applyFill="1" applyBorder="1" applyAlignment="1">
      <alignment horizontal="right" vertical="center"/>
    </xf>
    <xf numFmtId="0" fontId="22" fillId="0" borderId="27" xfId="0" applyFont="1" applyFill="1" applyBorder="1" applyAlignment="1">
      <alignment horizontal="right" vertical="center"/>
    </xf>
    <xf numFmtId="0" fontId="22" fillId="0" borderId="29" xfId="0" applyFont="1" applyFill="1" applyBorder="1" applyAlignment="1">
      <alignment horizontal="right" vertical="center"/>
    </xf>
    <xf numFmtId="0" fontId="22" fillId="0" borderId="22" xfId="0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right" vertical="center"/>
    </xf>
    <xf numFmtId="0" fontId="22" fillId="0" borderId="32" xfId="0" applyFont="1" applyFill="1" applyBorder="1" applyAlignment="1">
      <alignment horizontal="right" vertical="center"/>
    </xf>
    <xf numFmtId="0" fontId="22" fillId="0" borderId="63" xfId="0" applyNumberFormat="1" applyFont="1" applyBorder="1" applyAlignment="1">
      <alignment horizontal="center" vertical="center"/>
    </xf>
    <xf numFmtId="187" fontId="22" fillId="5" borderId="60" xfId="0" applyNumberFormat="1" applyFont="1" applyFill="1" applyBorder="1" applyAlignment="1">
      <alignment vertical="center"/>
    </xf>
    <xf numFmtId="187" fontId="22" fillId="4" borderId="60" xfId="0" applyNumberFormat="1" applyFont="1" applyFill="1" applyBorder="1" applyAlignment="1">
      <alignment vertical="center"/>
    </xf>
    <xf numFmtId="187" fontId="22" fillId="0" borderId="60" xfId="0" applyNumberFormat="1" applyFont="1" applyBorder="1" applyAlignment="1">
      <alignment vertical="center"/>
    </xf>
    <xf numFmtId="187" fontId="22" fillId="0" borderId="49" xfId="62" applyNumberFormat="1" applyFont="1" applyFill="1" applyBorder="1" applyAlignment="1">
      <alignment vertical="center"/>
      <protection/>
    </xf>
    <xf numFmtId="187" fontId="22" fillId="21" borderId="49" xfId="62" applyNumberFormat="1" applyFont="1" applyFill="1" applyBorder="1" applyAlignment="1">
      <alignment vertical="center"/>
      <protection/>
    </xf>
    <xf numFmtId="187" fontId="22" fillId="5" borderId="64" xfId="62" applyNumberFormat="1" applyFont="1" applyFill="1" applyBorder="1" applyAlignment="1">
      <alignment vertical="center"/>
      <protection/>
    </xf>
    <xf numFmtId="187" fontId="22" fillId="4" borderId="60" xfId="62" applyNumberFormat="1" applyFont="1" applyFill="1" applyBorder="1" applyAlignment="1">
      <alignment vertical="center"/>
      <protection/>
    </xf>
    <xf numFmtId="187" fontId="22" fillId="24" borderId="49" xfId="62" applyNumberFormat="1" applyFont="1" applyFill="1" applyBorder="1" applyAlignment="1">
      <alignment vertical="center"/>
      <protection/>
    </xf>
    <xf numFmtId="187" fontId="22" fillId="0" borderId="17" xfId="62" applyNumberFormat="1" applyFont="1" applyFill="1" applyBorder="1" applyAlignment="1">
      <alignment vertical="center"/>
      <protection/>
    </xf>
    <xf numFmtId="193" fontId="22" fillId="0" borderId="17" xfId="62" applyNumberFormat="1" applyFont="1" applyFill="1" applyBorder="1" applyAlignment="1">
      <alignment vertical="center"/>
      <protection/>
    </xf>
    <xf numFmtId="187" fontId="22" fillId="21" borderId="17" xfId="62" applyNumberFormat="1" applyFont="1" applyFill="1" applyBorder="1" applyAlignment="1">
      <alignment vertical="center"/>
      <protection/>
    </xf>
    <xf numFmtId="187" fontId="22" fillId="5" borderId="59" xfId="62" applyNumberFormat="1" applyFont="1" applyFill="1" applyBorder="1" applyAlignment="1">
      <alignment vertical="center"/>
      <protection/>
    </xf>
    <xf numFmtId="0" fontId="22" fillId="0" borderId="65" xfId="0" applyNumberFormat="1" applyFont="1" applyBorder="1" applyAlignment="1">
      <alignment horizontal="center" vertical="center"/>
    </xf>
    <xf numFmtId="187" fontId="22" fillId="4" borderId="52" xfId="62" applyNumberFormat="1" applyFont="1" applyFill="1" applyBorder="1" applyAlignment="1">
      <alignment vertical="center"/>
      <protection/>
    </xf>
    <xf numFmtId="187" fontId="22" fillId="24" borderId="17" xfId="62" applyNumberFormat="1" applyFont="1" applyFill="1" applyBorder="1" applyAlignment="1">
      <alignment vertical="center"/>
      <protection/>
    </xf>
    <xf numFmtId="193" fontId="22" fillId="0" borderId="49" xfId="62" applyNumberFormat="1" applyFont="1" applyFill="1" applyBorder="1" applyAlignment="1">
      <alignment vertical="center"/>
      <protection/>
    </xf>
    <xf numFmtId="187" fontId="22" fillId="0" borderId="60" xfId="62" applyNumberFormat="1" applyFont="1" applyFill="1" applyBorder="1" applyAlignment="1">
      <alignment vertical="center"/>
      <protection/>
    </xf>
    <xf numFmtId="187" fontId="22" fillId="0" borderId="64" xfId="62" applyNumberFormat="1" applyFont="1" applyFill="1" applyBorder="1" applyAlignment="1">
      <alignment vertical="center"/>
      <protection/>
    </xf>
    <xf numFmtId="187" fontId="22" fillId="4" borderId="55" xfId="62" applyNumberFormat="1" applyFont="1" applyFill="1" applyBorder="1" applyAlignment="1">
      <alignment vertical="center"/>
      <protection/>
    </xf>
    <xf numFmtId="189" fontId="22" fillId="4" borderId="49" xfId="62" applyNumberFormat="1" applyFont="1" applyFill="1" applyBorder="1" applyAlignment="1">
      <alignment horizontal="center" vertical="center"/>
      <protection/>
    </xf>
    <xf numFmtId="187" fontId="22" fillId="0" borderId="52" xfId="62" applyNumberFormat="1" applyFont="1" applyFill="1" applyBorder="1" applyAlignment="1">
      <alignment vertical="center"/>
      <protection/>
    </xf>
    <xf numFmtId="193" fontId="22" fillId="0" borderId="59" xfId="62" applyNumberFormat="1" applyFont="1" applyFill="1" applyBorder="1" applyAlignment="1">
      <alignment vertical="center"/>
      <protection/>
    </xf>
    <xf numFmtId="187" fontId="22" fillId="4" borderId="53" xfId="62" applyNumberFormat="1" applyFont="1" applyFill="1" applyBorder="1" applyAlignment="1">
      <alignment vertical="center"/>
      <protection/>
    </xf>
    <xf numFmtId="189" fontId="22" fillId="4" borderId="17" xfId="62" applyNumberFormat="1" applyFont="1" applyFill="1" applyBorder="1" applyAlignment="1">
      <alignment horizontal="center" vertical="center"/>
      <protection/>
    </xf>
    <xf numFmtId="187" fontId="22" fillId="0" borderId="49" xfId="0" applyNumberFormat="1" applyFont="1" applyFill="1" applyBorder="1" applyAlignment="1">
      <alignment vertical="center"/>
    </xf>
    <xf numFmtId="187" fontId="22" fillId="0" borderId="49" xfId="0" applyNumberFormat="1" applyFont="1" applyBorder="1" applyAlignment="1">
      <alignment vertical="center"/>
    </xf>
    <xf numFmtId="186" fontId="22" fillId="21" borderId="49" xfId="0" applyNumberFormat="1" applyFont="1" applyFill="1" applyBorder="1" applyAlignment="1">
      <alignment vertical="center"/>
    </xf>
    <xf numFmtId="187" fontId="22" fillId="21" borderId="49" xfId="0" applyNumberFormat="1" applyFont="1" applyFill="1" applyBorder="1" applyAlignment="1">
      <alignment vertical="center"/>
    </xf>
    <xf numFmtId="187" fontId="22" fillId="5" borderId="64" xfId="0" applyNumberFormat="1" applyFont="1" applyFill="1" applyBorder="1" applyAlignment="1">
      <alignment vertical="center"/>
    </xf>
    <xf numFmtId="193" fontId="22" fillId="0" borderId="17" xfId="0" applyNumberFormat="1" applyFont="1" applyFill="1" applyBorder="1" applyAlignment="1">
      <alignment vertical="center"/>
    </xf>
    <xf numFmtId="191" fontId="22" fillId="0" borderId="17" xfId="0" applyNumberFormat="1" applyFont="1" applyBorder="1" applyAlignment="1">
      <alignment vertical="center"/>
    </xf>
    <xf numFmtId="187" fontId="22" fillId="0" borderId="17" xfId="0" applyNumberFormat="1" applyFont="1" applyBorder="1" applyAlignment="1">
      <alignment vertical="center"/>
    </xf>
    <xf numFmtId="186" fontId="22" fillId="21" borderId="17" xfId="0" applyNumberFormat="1" applyFont="1" applyFill="1" applyBorder="1" applyAlignment="1">
      <alignment vertical="center"/>
    </xf>
    <xf numFmtId="187" fontId="22" fillId="5" borderId="59" xfId="0" applyNumberFormat="1" applyFont="1" applyFill="1" applyBorder="1" applyAlignment="1">
      <alignment vertical="center"/>
    </xf>
    <xf numFmtId="187" fontId="22" fillId="4" borderId="52" xfId="0" applyNumberFormat="1" applyFont="1" applyFill="1" applyBorder="1" applyAlignment="1">
      <alignment vertical="center"/>
    </xf>
    <xf numFmtId="186" fontId="22" fillId="0" borderId="49" xfId="62" applyNumberFormat="1" applyFont="1" applyFill="1" applyBorder="1" applyAlignment="1">
      <alignment vertical="center"/>
      <protection/>
    </xf>
    <xf numFmtId="187" fontId="22" fillId="21" borderId="64" xfId="0" applyNumberFormat="1" applyFont="1" applyFill="1" applyBorder="1" applyAlignment="1">
      <alignment vertical="center"/>
    </xf>
    <xf numFmtId="193" fontId="22" fillId="4" borderId="49" xfId="0" applyNumberFormat="1" applyFont="1" applyFill="1" applyBorder="1" applyAlignment="1">
      <alignment vertical="center"/>
    </xf>
    <xf numFmtId="187" fontId="22" fillId="4" borderId="49" xfId="0" applyNumberFormat="1" applyFont="1" applyFill="1" applyBorder="1" applyAlignment="1">
      <alignment vertical="center"/>
    </xf>
    <xf numFmtId="187" fontId="22" fillId="0" borderId="17" xfId="0" applyNumberFormat="1" applyFont="1" applyFill="1" applyBorder="1" applyAlignment="1">
      <alignment vertical="center"/>
    </xf>
    <xf numFmtId="187" fontId="22" fillId="21" borderId="17" xfId="0" applyNumberFormat="1" applyFont="1" applyFill="1" applyBorder="1" applyAlignment="1">
      <alignment vertical="center"/>
    </xf>
    <xf numFmtId="186" fontId="22" fillId="0" borderId="17" xfId="62" applyNumberFormat="1" applyFont="1" applyFill="1" applyBorder="1" applyAlignment="1">
      <alignment vertical="center"/>
      <protection/>
    </xf>
    <xf numFmtId="187" fontId="22" fillId="21" borderId="59" xfId="0" applyNumberFormat="1" applyFont="1" applyFill="1" applyBorder="1" applyAlignment="1">
      <alignment vertical="center"/>
    </xf>
    <xf numFmtId="193" fontId="22" fillId="4" borderId="17" xfId="0" applyNumberFormat="1" applyFont="1" applyFill="1" applyBorder="1" applyAlignment="1">
      <alignment vertical="center"/>
    </xf>
    <xf numFmtId="187" fontId="22" fillId="4" borderId="17" xfId="0" applyNumberFormat="1" applyFont="1" applyFill="1" applyBorder="1" applyAlignment="1">
      <alignment vertical="center"/>
    </xf>
    <xf numFmtId="187" fontId="22" fillId="0" borderId="55" xfId="0" applyNumberFormat="1" applyFont="1" applyBorder="1" applyAlignment="1">
      <alignment vertical="center"/>
    </xf>
    <xf numFmtId="187" fontId="22" fillId="0" borderId="64" xfId="0" applyNumberFormat="1" applyFont="1" applyBorder="1" applyAlignment="1">
      <alignment vertical="center"/>
    </xf>
    <xf numFmtId="187" fontId="22" fillId="4" borderId="55" xfId="0" applyNumberFormat="1" applyFont="1" applyFill="1" applyBorder="1" applyAlignment="1">
      <alignment vertical="center"/>
    </xf>
    <xf numFmtId="187" fontId="22" fillId="0" borderId="53" xfId="0" applyNumberFormat="1" applyFont="1" applyBorder="1" applyAlignment="1">
      <alignment vertical="center"/>
    </xf>
    <xf numFmtId="187" fontId="22" fillId="0" borderId="59" xfId="0" applyNumberFormat="1" applyFont="1" applyBorder="1" applyAlignment="1">
      <alignment vertical="center"/>
    </xf>
    <xf numFmtId="186" fontId="22" fillId="4" borderId="53" xfId="0" applyNumberFormat="1" applyFont="1" applyFill="1" applyBorder="1" applyAlignment="1">
      <alignment vertical="center"/>
    </xf>
    <xf numFmtId="186" fontId="22" fillId="4" borderId="17" xfId="0" applyNumberFormat="1" applyFont="1" applyFill="1" applyBorder="1" applyAlignment="1">
      <alignment vertical="center"/>
    </xf>
    <xf numFmtId="187" fontId="22" fillId="5" borderId="55" xfId="0" applyNumberFormat="1" applyFont="1" applyFill="1" applyBorder="1" applyAlignment="1">
      <alignment vertical="center"/>
    </xf>
    <xf numFmtId="193" fontId="22" fillId="4" borderId="60" xfId="0" applyNumberFormat="1" applyFont="1" applyFill="1" applyBorder="1" applyAlignment="1">
      <alignment vertical="center"/>
    </xf>
    <xf numFmtId="186" fontId="22" fillId="4" borderId="49" xfId="0" applyNumberFormat="1" applyFont="1" applyFill="1" applyBorder="1" applyAlignment="1">
      <alignment vertical="center"/>
    </xf>
    <xf numFmtId="182" fontId="22" fillId="21" borderId="17" xfId="0" applyNumberFormat="1" applyFont="1" applyFill="1" applyBorder="1" applyAlignment="1">
      <alignment horizontal="right" vertical="center" shrinkToFit="1"/>
    </xf>
    <xf numFmtId="187" fontId="22" fillId="5" borderId="53" xfId="0" applyNumberFormat="1" applyFont="1" applyFill="1" applyBorder="1" applyAlignment="1">
      <alignment vertical="center"/>
    </xf>
    <xf numFmtId="186" fontId="22" fillId="0" borderId="17" xfId="0" applyNumberFormat="1" applyFont="1" applyFill="1" applyBorder="1" applyAlignment="1">
      <alignment vertical="center"/>
    </xf>
    <xf numFmtId="186" fontId="22" fillId="0" borderId="17" xfId="0" applyNumberFormat="1" applyFont="1" applyBorder="1" applyAlignment="1">
      <alignment vertical="center"/>
    </xf>
    <xf numFmtId="193" fontId="22" fillId="4" borderId="55" xfId="0" applyNumberFormat="1" applyFont="1" applyFill="1" applyBorder="1" applyAlignment="1">
      <alignment vertical="center"/>
    </xf>
    <xf numFmtId="187" fontId="22" fillId="4" borderId="49" xfId="0" applyNumberFormat="1" applyFont="1" applyFill="1" applyBorder="1" applyAlignment="1">
      <alignment horizontal="center" vertical="center"/>
    </xf>
    <xf numFmtId="193" fontId="22" fillId="0" borderId="49" xfId="0" applyNumberFormat="1" applyFont="1" applyBorder="1" applyAlignment="1">
      <alignment vertical="center"/>
    </xf>
    <xf numFmtId="187" fontId="22" fillId="0" borderId="49" xfId="0" applyNumberFormat="1" applyFont="1" applyFill="1" applyBorder="1" applyAlignment="1">
      <alignment horizontal="center" vertical="center"/>
    </xf>
    <xf numFmtId="193" fontId="22" fillId="21" borderId="49" xfId="0" applyNumberFormat="1" applyFont="1" applyFill="1" applyBorder="1" applyAlignment="1">
      <alignment vertical="center"/>
    </xf>
    <xf numFmtId="187" fontId="22" fillId="5" borderId="52" xfId="0" applyNumberFormat="1" applyFont="1" applyFill="1" applyBorder="1" applyAlignment="1">
      <alignment vertical="center"/>
    </xf>
    <xf numFmtId="187" fontId="22" fillId="4" borderId="53" xfId="0" applyNumberFormat="1" applyFont="1" applyFill="1" applyBorder="1" applyAlignment="1">
      <alignment horizontal="center" vertical="center"/>
    </xf>
    <xf numFmtId="187" fontId="22" fillId="4" borderId="17" xfId="0" applyNumberFormat="1" applyFont="1" applyFill="1" applyBorder="1" applyAlignment="1">
      <alignment horizontal="center" vertical="center"/>
    </xf>
    <xf numFmtId="193" fontId="22" fillId="0" borderId="17" xfId="0" applyNumberFormat="1" applyFont="1" applyBorder="1" applyAlignment="1">
      <alignment vertical="center"/>
    </xf>
    <xf numFmtId="187" fontId="22" fillId="0" borderId="17" xfId="0" applyNumberFormat="1" applyFont="1" applyFill="1" applyBorder="1" applyAlignment="1">
      <alignment horizontal="center" vertical="center"/>
    </xf>
    <xf numFmtId="193" fontId="22" fillId="21" borderId="17" xfId="0" applyNumberFormat="1" applyFont="1" applyFill="1" applyBorder="1" applyAlignment="1">
      <alignment vertical="center"/>
    </xf>
    <xf numFmtId="188" fontId="22" fillId="0" borderId="60" xfId="0" applyNumberFormat="1" applyFont="1" applyFill="1" applyBorder="1" applyAlignment="1">
      <alignment vertical="center"/>
    </xf>
    <xf numFmtId="188" fontId="22" fillId="0" borderId="49" xfId="0" applyNumberFormat="1" applyFont="1" applyBorder="1" applyAlignment="1">
      <alignment vertical="center"/>
    </xf>
    <xf numFmtId="193" fontId="22" fillId="0" borderId="55" xfId="0" applyNumberFormat="1" applyFont="1" applyBorder="1" applyAlignment="1">
      <alignment vertical="center"/>
    </xf>
    <xf numFmtId="193" fontId="22" fillId="0" borderId="64" xfId="0" applyNumberFormat="1" applyFont="1" applyBorder="1" applyAlignment="1">
      <alignment vertical="center"/>
    </xf>
    <xf numFmtId="187" fontId="22" fillId="0" borderId="52" xfId="0" applyNumberFormat="1" applyFont="1" applyFill="1" applyBorder="1" applyAlignment="1">
      <alignment horizontal="center" vertical="center"/>
    </xf>
    <xf numFmtId="185" fontId="22" fillId="0" borderId="17" xfId="0" applyNumberFormat="1" applyFont="1" applyBorder="1" applyAlignment="1">
      <alignment vertical="center"/>
    </xf>
    <xf numFmtId="193" fontId="22" fillId="0" borderId="53" xfId="0" applyNumberFormat="1" applyFont="1" applyBorder="1" applyAlignment="1">
      <alignment vertical="center"/>
    </xf>
    <xf numFmtId="193" fontId="22" fillId="0" borderId="59" xfId="0" applyNumberFormat="1" applyFont="1" applyBorder="1" applyAlignment="1">
      <alignment vertical="center"/>
    </xf>
    <xf numFmtId="185" fontId="22" fillId="4" borderId="49" xfId="0" applyNumberFormat="1" applyFont="1" applyFill="1" applyBorder="1" applyAlignment="1">
      <alignment vertical="center"/>
    </xf>
    <xf numFmtId="186" fontId="22" fillId="0" borderId="49" xfId="0" applyNumberFormat="1" applyFont="1" applyBorder="1" applyAlignment="1">
      <alignment vertical="center"/>
    </xf>
    <xf numFmtId="193" fontId="22" fillId="4" borderId="52" xfId="0" applyNumberFormat="1" applyFont="1" applyFill="1" applyBorder="1" applyAlignment="1">
      <alignment vertical="center"/>
    </xf>
    <xf numFmtId="188" fontId="22" fillId="4" borderId="17" xfId="0" applyNumberFormat="1" applyFont="1" applyFill="1" applyBorder="1" applyAlignment="1">
      <alignment vertical="center"/>
    </xf>
    <xf numFmtId="188" fontId="22" fillId="0" borderId="17" xfId="0" applyNumberFormat="1" applyFont="1" applyBorder="1" applyAlignment="1">
      <alignment vertical="center"/>
    </xf>
    <xf numFmtId="185" fontId="22" fillId="0" borderId="64" xfId="0" applyNumberFormat="1" applyFont="1" applyBorder="1" applyAlignment="1">
      <alignment vertical="center"/>
    </xf>
    <xf numFmtId="193" fontId="22" fillId="0" borderId="52" xfId="0" applyNumberFormat="1" applyFont="1" applyBorder="1" applyAlignment="1">
      <alignment vertical="center"/>
    </xf>
    <xf numFmtId="185" fontId="22" fillId="0" borderId="59" xfId="0" applyNumberFormat="1" applyFont="1" applyBorder="1" applyAlignment="1">
      <alignment vertical="center"/>
    </xf>
    <xf numFmtId="0" fontId="22" fillId="5" borderId="59" xfId="0" applyFont="1" applyFill="1" applyBorder="1" applyAlignment="1">
      <alignment vertical="center" shrinkToFit="1"/>
    </xf>
    <xf numFmtId="176" fontId="22" fillId="5" borderId="59" xfId="0" applyNumberFormat="1" applyFont="1" applyFill="1" applyBorder="1" applyAlignment="1">
      <alignment vertical="center" shrinkToFit="1"/>
    </xf>
    <xf numFmtId="176" fontId="22" fillId="5" borderId="17" xfId="0" applyNumberFormat="1" applyFont="1" applyFill="1" applyBorder="1" applyAlignment="1">
      <alignment vertical="center" shrinkToFit="1"/>
    </xf>
    <xf numFmtId="176" fontId="22" fillId="5" borderId="52" xfId="0" applyNumberFormat="1" applyFont="1" applyFill="1" applyBorder="1" applyAlignment="1">
      <alignment vertical="center" shrinkToFit="1"/>
    </xf>
    <xf numFmtId="0" fontId="22" fillId="4" borderId="53" xfId="0" applyFont="1" applyFill="1" applyBorder="1" applyAlignment="1">
      <alignment vertical="center" shrinkToFit="1"/>
    </xf>
    <xf numFmtId="176" fontId="22" fillId="0" borderId="12" xfId="0" applyNumberFormat="1" applyFont="1" applyBorder="1" applyAlignment="1">
      <alignment vertical="center" shrinkToFit="1"/>
    </xf>
    <xf numFmtId="176" fontId="22" fillId="0" borderId="17" xfId="0" applyNumberFormat="1" applyFont="1" applyBorder="1" applyAlignment="1">
      <alignment vertical="center" shrinkToFit="1"/>
    </xf>
    <xf numFmtId="176" fontId="22" fillId="0" borderId="36" xfId="0" applyNumberFormat="1" applyFont="1" applyBorder="1" applyAlignment="1">
      <alignment vertical="center" shrinkToFit="1"/>
    </xf>
    <xf numFmtId="0" fontId="22" fillId="0" borderId="17" xfId="0" applyFont="1" applyBorder="1" applyAlignment="1">
      <alignment vertical="center" shrinkToFit="1"/>
    </xf>
    <xf numFmtId="176" fontId="22" fillId="0" borderId="66" xfId="0" applyNumberFormat="1" applyFont="1" applyBorder="1" applyAlignment="1">
      <alignment vertical="center" shrinkToFit="1"/>
    </xf>
    <xf numFmtId="176" fontId="22" fillId="0" borderId="0" xfId="0" applyNumberFormat="1" applyFont="1" applyAlignment="1">
      <alignment vertical="center" shrinkToFit="1"/>
    </xf>
    <xf numFmtId="176" fontId="22" fillId="0" borderId="0" xfId="0" applyNumberFormat="1" applyFont="1" applyFill="1" applyBorder="1" applyAlignment="1">
      <alignment vertical="center" shrinkToFit="1"/>
    </xf>
    <xf numFmtId="176" fontId="22" fillId="21" borderId="59" xfId="0" applyNumberFormat="1" applyFont="1" applyFill="1" applyBorder="1" applyAlignment="1">
      <alignment vertical="center" shrinkToFit="1"/>
    </xf>
    <xf numFmtId="176" fontId="22" fillId="0" borderId="0" xfId="0" applyNumberFormat="1" applyFont="1" applyFill="1" applyAlignment="1">
      <alignment vertical="center" shrinkToFit="1"/>
    </xf>
    <xf numFmtId="176" fontId="22" fillId="0" borderId="59" xfId="0" applyNumberFormat="1" applyFont="1" applyBorder="1" applyAlignment="1">
      <alignment vertical="center" shrinkToFit="1"/>
    </xf>
    <xf numFmtId="176" fontId="22" fillId="0" borderId="29" xfId="0" applyNumberFormat="1" applyFont="1" applyBorder="1" applyAlignment="1">
      <alignment vertical="center" shrinkToFit="1"/>
    </xf>
    <xf numFmtId="176" fontId="22" fillId="0" borderId="52" xfId="0" applyNumberFormat="1" applyFont="1" applyBorder="1" applyAlignment="1">
      <alignment vertical="center" shrinkToFit="1"/>
    </xf>
    <xf numFmtId="176" fontId="22" fillId="4" borderId="52" xfId="0" applyNumberFormat="1" applyFont="1" applyFill="1" applyBorder="1" applyAlignment="1">
      <alignment vertical="center" shrinkToFit="1"/>
    </xf>
    <xf numFmtId="0" fontId="22" fillId="4" borderId="17" xfId="0" applyFont="1" applyFill="1" applyBorder="1" applyAlignment="1">
      <alignment vertical="center" shrinkToFit="1"/>
    </xf>
    <xf numFmtId="0" fontId="22" fillId="0" borderId="33" xfId="0" applyFont="1" applyBorder="1" applyAlignment="1">
      <alignment vertical="center" shrinkToFit="1"/>
    </xf>
    <xf numFmtId="176" fontId="22" fillId="0" borderId="67" xfId="0" applyNumberFormat="1" applyFont="1" applyBorder="1" applyAlignment="1">
      <alignment vertical="center" shrinkToFit="1"/>
    </xf>
    <xf numFmtId="0" fontId="22" fillId="0" borderId="53" xfId="0" applyFont="1" applyBorder="1" applyAlignment="1">
      <alignment vertical="center" shrinkToFit="1"/>
    </xf>
    <xf numFmtId="0" fontId="22" fillId="0" borderId="59" xfId="0" applyFont="1" applyBorder="1" applyAlignment="1">
      <alignment vertical="center" shrinkToFit="1"/>
    </xf>
    <xf numFmtId="176" fontId="22" fillId="24" borderId="29" xfId="0" applyNumberFormat="1" applyFont="1" applyFill="1" applyBorder="1" applyAlignment="1">
      <alignment vertical="center" shrinkToFit="1"/>
    </xf>
    <xf numFmtId="187" fontId="22" fillId="24" borderId="24" xfId="0" applyNumberFormat="1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49" xfId="0" applyFont="1" applyFill="1" applyBorder="1" applyAlignment="1">
      <alignment horizontal="center" vertical="center"/>
    </xf>
    <xf numFmtId="0" fontId="22" fillId="0" borderId="26" xfId="0" applyFont="1" applyBorder="1" applyAlignment="1">
      <alignment vertical="center" shrinkToFit="1"/>
    </xf>
    <xf numFmtId="0" fontId="22" fillId="0" borderId="46" xfId="0" applyFont="1" applyBorder="1" applyAlignment="1">
      <alignment vertical="center" shrinkToFit="1"/>
    </xf>
    <xf numFmtId="181" fontId="22" fillId="0" borderId="23" xfId="0" applyNumberFormat="1" applyFont="1" applyBorder="1" applyAlignment="1">
      <alignment vertical="center"/>
    </xf>
    <xf numFmtId="189" fontId="22" fillId="0" borderId="22" xfId="0" applyNumberFormat="1" applyFont="1" applyBorder="1" applyAlignment="1">
      <alignment vertical="center"/>
    </xf>
    <xf numFmtId="187" fontId="22" fillId="0" borderId="22" xfId="62" applyNumberFormat="1" applyFont="1" applyFill="1" applyBorder="1" applyAlignment="1">
      <alignment vertical="center"/>
      <protection/>
    </xf>
    <xf numFmtId="193" fontId="22" fillId="0" borderId="53" xfId="62" applyNumberFormat="1" applyFont="1" applyFill="1" applyBorder="1" applyAlignment="1">
      <alignment vertical="center"/>
      <protection/>
    </xf>
    <xf numFmtId="187" fontId="22" fillId="0" borderId="55" xfId="62" applyNumberFormat="1" applyFont="1" applyFill="1" applyBorder="1" applyAlignment="1">
      <alignment vertical="center"/>
      <protection/>
    </xf>
    <xf numFmtId="185" fontId="22" fillId="0" borderId="22" xfId="62" applyNumberFormat="1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4" borderId="62" xfId="0" applyFont="1" applyFill="1" applyBorder="1" applyAlignment="1">
      <alignment horizontal="center" vertical="center" shrinkToFit="1"/>
    </xf>
    <xf numFmtId="0" fontId="22" fillId="4" borderId="62" xfId="0" applyFont="1" applyFill="1" applyBorder="1" applyAlignment="1">
      <alignment horizontal="center" vertical="center"/>
    </xf>
    <xf numFmtId="0" fontId="22" fillId="4" borderId="42" xfId="0" applyFont="1" applyFill="1" applyBorder="1" applyAlignment="1">
      <alignment horizontal="center" vertical="center"/>
    </xf>
    <xf numFmtId="0" fontId="22" fillId="4" borderId="66" xfId="0" applyFont="1" applyFill="1" applyBorder="1" applyAlignment="1">
      <alignment vertical="center" shrinkToFit="1"/>
    </xf>
    <xf numFmtId="0" fontId="22" fillId="4" borderId="68" xfId="0" applyFont="1" applyFill="1" applyBorder="1" applyAlignment="1">
      <alignment vertical="center" shrinkToFit="1"/>
    </xf>
    <xf numFmtId="0" fontId="22" fillId="4" borderId="68" xfId="0" applyFont="1" applyFill="1" applyBorder="1" applyAlignment="1">
      <alignment vertical="center"/>
    </xf>
    <xf numFmtId="0" fontId="22" fillId="4" borderId="28" xfId="0" applyFont="1" applyFill="1" applyBorder="1" applyAlignment="1">
      <alignment vertical="center"/>
    </xf>
    <xf numFmtId="0" fontId="22" fillId="4" borderId="56" xfId="0" applyFont="1" applyFill="1" applyBorder="1" applyAlignment="1">
      <alignment vertical="center" shrinkToFit="1"/>
    </xf>
    <xf numFmtId="0" fontId="22" fillId="4" borderId="56" xfId="0" applyFont="1" applyFill="1" applyBorder="1" applyAlignment="1">
      <alignment vertical="center"/>
    </xf>
    <xf numFmtId="0" fontId="22" fillId="4" borderId="43" xfId="0" applyFont="1" applyFill="1" applyBorder="1" applyAlignment="1">
      <alignment vertical="center"/>
    </xf>
    <xf numFmtId="0" fontId="31" fillId="0" borderId="56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22" fillId="0" borderId="69" xfId="0" applyFont="1" applyBorder="1" applyAlignment="1">
      <alignment vertical="center" shrinkToFit="1"/>
    </xf>
    <xf numFmtId="0" fontId="22" fillId="0" borderId="6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69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56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22" fillId="0" borderId="54" xfId="0" applyFont="1" applyBorder="1" applyAlignment="1">
      <alignment vertical="center" shrinkToFit="1"/>
    </xf>
    <xf numFmtId="0" fontId="22" fillId="0" borderId="54" xfId="0" applyFont="1" applyBorder="1" applyAlignment="1">
      <alignment vertical="center"/>
    </xf>
    <xf numFmtId="0" fontId="22" fillId="0" borderId="70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18" xfId="0" applyFont="1" applyBorder="1" applyAlignment="1">
      <alignment vertical="center" shrinkToFit="1"/>
    </xf>
    <xf numFmtId="0" fontId="22" fillId="0" borderId="55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71" xfId="0" applyFont="1" applyBorder="1" applyAlignment="1">
      <alignment vertical="center" shrinkToFit="1"/>
    </xf>
    <xf numFmtId="0" fontId="22" fillId="0" borderId="71" xfId="0" applyFont="1" applyBorder="1" applyAlignment="1">
      <alignment vertical="center"/>
    </xf>
    <xf numFmtId="0" fontId="22" fillId="0" borderId="64" xfId="0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0" fontId="22" fillId="0" borderId="72" xfId="0" applyFont="1" applyBorder="1" applyAlignment="1">
      <alignment vertical="center"/>
    </xf>
    <xf numFmtId="0" fontId="22" fillId="0" borderId="68" xfId="0" applyFont="1" applyBorder="1" applyAlignment="1">
      <alignment vertical="center" shrinkToFit="1"/>
    </xf>
    <xf numFmtId="0" fontId="22" fillId="0" borderId="45" xfId="0" applyFont="1" applyBorder="1" applyAlignment="1">
      <alignment vertical="center" shrinkToFit="1"/>
    </xf>
    <xf numFmtId="0" fontId="22" fillId="0" borderId="73" xfId="0" applyFont="1" applyBorder="1" applyAlignment="1">
      <alignment vertical="center"/>
    </xf>
    <xf numFmtId="0" fontId="22" fillId="4" borderId="26" xfId="0" applyFont="1" applyFill="1" applyBorder="1" applyAlignment="1">
      <alignment vertical="center" shrinkToFit="1"/>
    </xf>
    <xf numFmtId="0" fontId="22" fillId="4" borderId="26" xfId="0" applyFont="1" applyFill="1" applyBorder="1" applyAlignment="1">
      <alignment vertical="center"/>
    </xf>
    <xf numFmtId="0" fontId="22" fillId="4" borderId="70" xfId="0" applyFont="1" applyFill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62" xfId="0" applyFont="1" applyBorder="1" applyAlignment="1">
      <alignment vertical="center" shrinkToFit="1"/>
    </xf>
    <xf numFmtId="0" fontId="22" fillId="0" borderId="26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2" fillId="0" borderId="74" xfId="0" applyFont="1" applyBorder="1" applyAlignment="1">
      <alignment vertical="center"/>
    </xf>
    <xf numFmtId="0" fontId="22" fillId="0" borderId="75" xfId="0" applyFont="1" applyBorder="1" applyAlignment="1">
      <alignment vertical="center"/>
    </xf>
    <xf numFmtId="0" fontId="22" fillId="0" borderId="49" xfId="0" applyFont="1" applyBorder="1" applyAlignment="1">
      <alignment vertical="center" shrinkToFit="1"/>
    </xf>
    <xf numFmtId="0" fontId="22" fillId="0" borderId="76" xfId="0" applyFont="1" applyBorder="1" applyAlignment="1">
      <alignment vertical="center"/>
    </xf>
    <xf numFmtId="0" fontId="22" fillId="4" borderId="46" xfId="0" applyFont="1" applyFill="1" applyBorder="1" applyAlignment="1">
      <alignment horizontal="center" vertical="center" shrinkToFit="1"/>
    </xf>
    <xf numFmtId="0" fontId="22" fillId="4" borderId="46" xfId="0" applyFont="1" applyFill="1" applyBorder="1" applyAlignment="1">
      <alignment horizontal="center" vertical="center"/>
    </xf>
    <xf numFmtId="0" fontId="22" fillId="4" borderId="55" xfId="0" applyFont="1" applyFill="1" applyBorder="1" applyAlignment="1">
      <alignment horizontal="center" vertical="center"/>
    </xf>
    <xf numFmtId="0" fontId="22" fillId="4" borderId="46" xfId="0" applyFont="1" applyFill="1" applyBorder="1" applyAlignment="1">
      <alignment vertical="center"/>
    </xf>
    <xf numFmtId="0" fontId="22" fillId="0" borderId="56" xfId="0" applyFont="1" applyFill="1" applyBorder="1" applyAlignment="1">
      <alignment vertical="center" shrinkToFit="1"/>
    </xf>
    <xf numFmtId="0" fontId="22" fillId="0" borderId="18" xfId="0" applyFont="1" applyFill="1" applyBorder="1" applyAlignment="1">
      <alignment vertical="center" shrinkToFit="1"/>
    </xf>
    <xf numFmtId="0" fontId="22" fillId="21" borderId="56" xfId="0" applyFont="1" applyFill="1" applyBorder="1" applyAlignment="1">
      <alignment vertical="center" shrinkToFit="1"/>
    </xf>
    <xf numFmtId="0" fontId="22" fillId="21" borderId="18" xfId="0" applyFont="1" applyFill="1" applyBorder="1" applyAlignment="1">
      <alignment horizontal="left" vertical="center"/>
    </xf>
    <xf numFmtId="0" fontId="22" fillId="21" borderId="19" xfId="0" applyFont="1" applyFill="1" applyBorder="1" applyAlignment="1">
      <alignment vertical="center"/>
    </xf>
    <xf numFmtId="0" fontId="22" fillId="21" borderId="77" xfId="0" applyFont="1" applyFill="1" applyBorder="1" applyAlignment="1">
      <alignment horizontal="center" vertical="center"/>
    </xf>
    <xf numFmtId="0" fontId="22" fillId="0" borderId="46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22" fillId="4" borderId="26" xfId="0" applyFont="1" applyFill="1" applyBorder="1" applyAlignment="1">
      <alignment horizontal="center" vertical="center" shrinkToFit="1"/>
    </xf>
    <xf numFmtId="0" fontId="22" fillId="4" borderId="41" xfId="0" applyFont="1" applyFill="1" applyBorder="1" applyAlignment="1">
      <alignment vertical="center" shrinkToFit="1"/>
    </xf>
    <xf numFmtId="0" fontId="22" fillId="4" borderId="18" xfId="0" applyFont="1" applyFill="1" applyBorder="1" applyAlignment="1">
      <alignment vertical="center" shrinkToFit="1"/>
    </xf>
    <xf numFmtId="0" fontId="22" fillId="24" borderId="56" xfId="0" applyFont="1" applyFill="1" applyBorder="1" applyAlignment="1">
      <alignment vertical="center"/>
    </xf>
    <xf numFmtId="0" fontId="22" fillId="24" borderId="43" xfId="0" applyFont="1" applyFill="1" applyBorder="1" applyAlignment="1">
      <alignment vertical="center"/>
    </xf>
    <xf numFmtId="0" fontId="22" fillId="21" borderId="69" xfId="0" applyFont="1" applyFill="1" applyBorder="1" applyAlignment="1">
      <alignment horizontal="left" vertical="center"/>
    </xf>
    <xf numFmtId="0" fontId="22" fillId="21" borderId="77" xfId="0" applyFont="1" applyFill="1" applyBorder="1" applyAlignment="1">
      <alignment horizontal="left" vertical="center"/>
    </xf>
    <xf numFmtId="0" fontId="22" fillId="21" borderId="18" xfId="0" applyFont="1" applyFill="1" applyBorder="1" applyAlignment="1">
      <alignment vertical="center" shrinkToFit="1"/>
    </xf>
    <xf numFmtId="0" fontId="22" fillId="21" borderId="49" xfId="0" applyFont="1" applyFill="1" applyBorder="1" applyAlignment="1">
      <alignment vertical="center" shrinkToFit="1"/>
    </xf>
    <xf numFmtId="0" fontId="22" fillId="5" borderId="56" xfId="0" applyFont="1" applyFill="1" applyBorder="1" applyAlignment="1">
      <alignment horizontal="center" vertical="center" shrinkToFit="1"/>
    </xf>
    <xf numFmtId="0" fontId="22" fillId="5" borderId="43" xfId="0" applyFont="1" applyFill="1" applyBorder="1" applyAlignment="1">
      <alignment horizontal="center" vertical="center" shrinkToFit="1"/>
    </xf>
    <xf numFmtId="0" fontId="22" fillId="5" borderId="76" xfId="0" applyFont="1" applyFill="1" applyBorder="1" applyAlignment="1">
      <alignment horizontal="center" vertical="center" shrinkToFit="1"/>
    </xf>
    <xf numFmtId="0" fontId="22" fillId="5" borderId="20" xfId="0" applyFont="1" applyFill="1" applyBorder="1" applyAlignment="1">
      <alignment horizontal="center" vertical="center" shrinkToFit="1"/>
    </xf>
    <xf numFmtId="0" fontId="22" fillId="4" borderId="49" xfId="0" applyFont="1" applyFill="1" applyBorder="1" applyAlignment="1">
      <alignment vertical="center"/>
    </xf>
    <xf numFmtId="0" fontId="22" fillId="0" borderId="77" xfId="0" applyFont="1" applyBorder="1" applyAlignment="1">
      <alignment vertical="center"/>
    </xf>
    <xf numFmtId="0" fontId="22" fillId="5" borderId="37" xfId="0" applyFont="1" applyFill="1" applyBorder="1" applyAlignment="1">
      <alignment horizontal="center" vertical="center" shrinkToFit="1"/>
    </xf>
    <xf numFmtId="0" fontId="22" fillId="5" borderId="10" xfId="0" applyFont="1" applyFill="1" applyBorder="1" applyAlignment="1">
      <alignment horizontal="center" vertical="center" shrinkToFit="1"/>
    </xf>
    <xf numFmtId="0" fontId="22" fillId="0" borderId="49" xfId="0" applyFont="1" applyFill="1" applyBorder="1" applyAlignment="1">
      <alignment vertical="center" shrinkToFit="1"/>
    </xf>
    <xf numFmtId="0" fontId="22" fillId="5" borderId="71" xfId="0" applyFont="1" applyFill="1" applyBorder="1" applyAlignment="1">
      <alignment horizontal="center" vertical="center" shrinkToFit="1"/>
    </xf>
    <xf numFmtId="0" fontId="22" fillId="5" borderId="75" xfId="0" applyFont="1" applyFill="1" applyBorder="1" applyAlignment="1">
      <alignment horizontal="center" vertical="center" shrinkToFit="1"/>
    </xf>
    <xf numFmtId="0" fontId="22" fillId="5" borderId="45" xfId="0" applyFont="1" applyFill="1" applyBorder="1" applyAlignment="1">
      <alignment horizontal="center" vertical="center" shrinkToFit="1"/>
    </xf>
    <xf numFmtId="0" fontId="22" fillId="5" borderId="64" xfId="0" applyFont="1" applyFill="1" applyBorder="1" applyAlignment="1">
      <alignment horizontal="center" vertical="center" shrinkToFit="1"/>
    </xf>
    <xf numFmtId="0" fontId="22" fillId="5" borderId="39" xfId="0" applyFont="1" applyFill="1" applyBorder="1" applyAlignment="1">
      <alignment horizontal="center" vertical="center" shrinkToFit="1"/>
    </xf>
    <xf numFmtId="0" fontId="22" fillId="21" borderId="39" xfId="0" applyFont="1" applyFill="1" applyBorder="1" applyAlignment="1">
      <alignment horizontal="left" vertical="center"/>
    </xf>
    <xf numFmtId="0" fontId="22" fillId="21" borderId="51" xfId="0" applyFont="1" applyFill="1" applyBorder="1" applyAlignment="1">
      <alignment horizontal="center" vertical="center"/>
    </xf>
    <xf numFmtId="0" fontId="22" fillId="21" borderId="43" xfId="0" applyFont="1" applyFill="1" applyBorder="1" applyAlignment="1">
      <alignment vertical="center"/>
    </xf>
    <xf numFmtId="0" fontId="22" fillId="0" borderId="0" xfId="0" applyFont="1" applyBorder="1" applyAlignment="1">
      <alignment vertical="center" shrinkToFit="1"/>
    </xf>
    <xf numFmtId="0" fontId="22" fillId="0" borderId="13" xfId="0" applyFont="1" applyBorder="1" applyAlignment="1">
      <alignment vertical="center"/>
    </xf>
    <xf numFmtId="0" fontId="22" fillId="5" borderId="45" xfId="0" applyFont="1" applyFill="1" applyBorder="1" applyAlignment="1">
      <alignment horizontal="center" vertical="center"/>
    </xf>
    <xf numFmtId="0" fontId="22" fillId="5" borderId="64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 shrinkToFit="1"/>
    </xf>
    <xf numFmtId="0" fontId="22" fillId="21" borderId="49" xfId="0" applyFont="1" applyFill="1" applyBorder="1" applyAlignment="1">
      <alignment horizontal="center" vertical="center" shrinkToFit="1"/>
    </xf>
    <xf numFmtId="189" fontId="22" fillId="26" borderId="29" xfId="62" applyNumberFormat="1" applyFont="1" applyFill="1" applyBorder="1" applyAlignment="1">
      <alignment/>
      <protection/>
    </xf>
    <xf numFmtId="189" fontId="22" fillId="26" borderId="24" xfId="62" applyNumberFormat="1" applyFont="1" applyFill="1" applyBorder="1" applyAlignment="1">
      <alignment/>
      <protection/>
    </xf>
    <xf numFmtId="189" fontId="22" fillId="26" borderId="41" xfId="62" applyNumberFormat="1" applyFont="1" applyFill="1" applyBorder="1" applyAlignment="1">
      <alignment/>
      <protection/>
    </xf>
    <xf numFmtId="189" fontId="22" fillId="26" borderId="22" xfId="62" applyNumberFormat="1" applyFont="1" applyFill="1" applyBorder="1" applyAlignment="1">
      <alignment/>
      <protection/>
    </xf>
    <xf numFmtId="189" fontId="22" fillId="26" borderId="34" xfId="62" applyNumberFormat="1" applyFont="1" applyFill="1" applyBorder="1" applyAlignment="1">
      <alignment/>
      <protection/>
    </xf>
    <xf numFmtId="189" fontId="22" fillId="26" borderId="27" xfId="62" applyNumberFormat="1" applyFont="1" applyFill="1" applyBorder="1" applyAlignment="1">
      <alignment/>
      <protection/>
    </xf>
    <xf numFmtId="0" fontId="22" fillId="26" borderId="24" xfId="0" applyFont="1" applyFill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 wrapText="1" shrinkToFit="1"/>
    </xf>
    <xf numFmtId="0" fontId="22" fillId="8" borderId="21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22" fillId="8" borderId="15" xfId="0" applyFont="1" applyFill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shrinkToFit="1"/>
    </xf>
    <xf numFmtId="0" fontId="22" fillId="0" borderId="21" xfId="0" applyFont="1" applyFill="1" applyBorder="1" applyAlignment="1">
      <alignment horizontal="right" vertical="center"/>
    </xf>
    <xf numFmtId="0" fontId="22" fillId="4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horizontal="right" vertical="center"/>
    </xf>
    <xf numFmtId="0" fontId="22" fillId="0" borderId="25" xfId="0" applyFont="1" applyFill="1" applyBorder="1" applyAlignment="1">
      <alignment horizontal="right" vertical="center"/>
    </xf>
    <xf numFmtId="0" fontId="22" fillId="0" borderId="22" xfId="0" applyFont="1" applyFill="1" applyBorder="1" applyAlignment="1">
      <alignment horizontal="right" vertical="center"/>
    </xf>
    <xf numFmtId="0" fontId="26" fillId="24" borderId="15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228" fontId="22" fillId="0" borderId="15" xfId="0" applyNumberFormat="1" applyFont="1" applyFill="1" applyBorder="1" applyAlignment="1">
      <alignment horizontal="right" vertical="center"/>
    </xf>
    <xf numFmtId="228" fontId="22" fillId="0" borderId="22" xfId="0" applyNumberFormat="1" applyFont="1" applyFill="1" applyBorder="1" applyAlignment="1">
      <alignment horizontal="right" vertical="center"/>
    </xf>
    <xf numFmtId="0" fontId="22" fillId="0" borderId="31" xfId="62" applyFont="1" applyFill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0" borderId="78" xfId="0" applyBorder="1" applyAlignment="1">
      <alignment vertical="center"/>
    </xf>
    <xf numFmtId="0" fontId="22" fillId="0" borderId="79" xfId="62" applyFont="1" applyBorder="1" applyAlignment="1">
      <alignment horizontal="center" vertical="center"/>
      <protection/>
    </xf>
    <xf numFmtId="0" fontId="0" fillId="0" borderId="80" xfId="0" applyBorder="1" applyAlignment="1">
      <alignment vertical="center"/>
    </xf>
    <xf numFmtId="0" fontId="0" fillId="0" borderId="63" xfId="0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5" xfId="62" applyFont="1" applyFill="1" applyBorder="1" applyAlignment="1">
      <alignment horizontal="center" vertical="center"/>
      <protection/>
    </xf>
    <xf numFmtId="0" fontId="22" fillId="24" borderId="11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22" fillId="0" borderId="50" xfId="0" applyFont="1" applyFill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 shrinkToFit="1"/>
    </xf>
    <xf numFmtId="0" fontId="22" fillId="0" borderId="31" xfId="62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2" fillId="0" borderId="35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22" fillId="0" borderId="36" xfId="61" applyFont="1" applyFill="1" applyBorder="1" applyAlignment="1">
      <alignment horizontal="center" vertical="center"/>
      <protection/>
    </xf>
    <xf numFmtId="0" fontId="22" fillId="0" borderId="37" xfId="0" applyFont="1" applyFill="1" applyBorder="1" applyAlignment="1">
      <alignment horizontal="center" vertical="center"/>
    </xf>
    <xf numFmtId="0" fontId="22" fillId="0" borderId="81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5" xfId="0" applyFont="1" applyBorder="1" applyAlignment="1">
      <alignment vertical="center" textRotation="255"/>
    </xf>
    <xf numFmtId="0" fontId="22" fillId="0" borderId="11" xfId="0" applyFont="1" applyBorder="1" applyAlignment="1">
      <alignment vertical="center" textRotation="255"/>
    </xf>
    <xf numFmtId="0" fontId="22" fillId="0" borderId="21" xfId="0" applyFont="1" applyBorder="1" applyAlignment="1">
      <alignment vertical="center" textRotation="255"/>
    </xf>
    <xf numFmtId="0" fontId="26" fillId="0" borderId="1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8" fillId="0" borderId="25" xfId="0" applyFont="1" applyBorder="1" applyAlignment="1">
      <alignment vertical="center" shrinkToFit="1"/>
    </xf>
    <xf numFmtId="0" fontId="28" fillId="0" borderId="21" xfId="0" applyFont="1" applyBorder="1" applyAlignment="1">
      <alignment vertical="center" shrinkToFit="1"/>
    </xf>
    <xf numFmtId="183" fontId="22" fillId="0" borderId="25" xfId="0" applyNumberFormat="1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5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/>
    </xf>
    <xf numFmtId="191" fontId="22" fillId="0" borderId="15" xfId="0" applyNumberFormat="1" applyFont="1" applyBorder="1" applyAlignment="1">
      <alignment horizontal="center" vertical="center" wrapText="1"/>
    </xf>
    <xf numFmtId="191" fontId="22" fillId="0" borderId="21" xfId="0" applyNumberFormat="1" applyFont="1" applyBorder="1" applyAlignment="1">
      <alignment horizontal="center" vertical="center" wrapText="1"/>
    </xf>
    <xf numFmtId="178" fontId="22" fillId="0" borderId="15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78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76" fontId="22" fillId="0" borderId="21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0" fontId="22" fillId="0" borderId="36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6" fillId="0" borderId="11" xfId="0" applyFont="1" applyBorder="1" applyAlignment="1">
      <alignment vertical="center" textRotation="255"/>
    </xf>
    <xf numFmtId="0" fontId="26" fillId="0" borderId="21" xfId="0" applyFont="1" applyBorder="1" applyAlignment="1">
      <alignment vertical="center" textRotation="255"/>
    </xf>
    <xf numFmtId="0" fontId="26" fillId="0" borderId="35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8" fillId="0" borderId="22" xfId="0" applyFont="1" applyBorder="1" applyAlignment="1">
      <alignment vertical="center" shrinkToFit="1"/>
    </xf>
    <xf numFmtId="183" fontId="22" fillId="0" borderId="25" xfId="0" applyNumberFormat="1" applyFont="1" applyFill="1" applyBorder="1" applyAlignment="1">
      <alignment vertical="center"/>
    </xf>
    <xf numFmtId="183" fontId="22" fillId="0" borderId="22" xfId="0" applyNumberFormat="1" applyFont="1" applyFill="1" applyBorder="1" applyAlignment="1">
      <alignment vertical="center"/>
    </xf>
    <xf numFmtId="183" fontId="22" fillId="0" borderId="25" xfId="0" applyNumberFormat="1" applyFont="1" applyBorder="1" applyAlignment="1">
      <alignment horizontal="center" vertical="center"/>
    </xf>
    <xf numFmtId="183" fontId="22" fillId="0" borderId="22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textRotation="255" shrinkToFit="1"/>
    </xf>
    <xf numFmtId="0" fontId="26" fillId="0" borderId="11" xfId="0" applyFont="1" applyBorder="1" applyAlignment="1">
      <alignment horizontal="center" vertical="center" textRotation="255" shrinkToFit="1"/>
    </xf>
    <xf numFmtId="0" fontId="26" fillId="0" borderId="21" xfId="0" applyFont="1" applyBorder="1" applyAlignment="1">
      <alignment horizontal="center" vertical="center" textRotation="255" shrinkToFit="1"/>
    </xf>
    <xf numFmtId="0" fontId="2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25" xfId="0" applyNumberFormat="1" applyFont="1" applyBorder="1" applyAlignment="1">
      <alignment horizontal="center" vertical="center"/>
    </xf>
    <xf numFmtId="176" fontId="22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22" fillId="0" borderId="25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87" fontId="22" fillId="21" borderId="25" xfId="0" applyNumberFormat="1" applyFont="1" applyFill="1" applyBorder="1" applyAlignment="1">
      <alignment horizontal="center" vertical="center"/>
    </xf>
    <xf numFmtId="187" fontId="22" fillId="21" borderId="11" xfId="0" applyNumberFormat="1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22" fillId="21" borderId="25" xfId="0" applyFont="1" applyFill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187" fontId="22" fillId="21" borderId="25" xfId="0" applyNumberFormat="1" applyFont="1" applyFill="1" applyBorder="1" applyAlignment="1">
      <alignment vertical="center"/>
    </xf>
    <xf numFmtId="187" fontId="22" fillId="21" borderId="11" xfId="0" applyNumberFormat="1" applyFont="1" applyFill="1" applyBorder="1" applyAlignment="1">
      <alignment vertical="center"/>
    </xf>
    <xf numFmtId="183" fontId="22" fillId="21" borderId="66" xfId="0" applyNumberFormat="1" applyFont="1" applyFill="1" applyBorder="1" applyAlignment="1">
      <alignment horizontal="right" vertical="center"/>
    </xf>
    <xf numFmtId="183" fontId="22" fillId="21" borderId="67" xfId="0" applyNumberFormat="1" applyFont="1" applyFill="1" applyBorder="1" applyAlignment="1">
      <alignment horizontal="right" vertical="center"/>
    </xf>
    <xf numFmtId="183" fontId="31" fillId="0" borderId="53" xfId="0" applyNumberFormat="1" applyFont="1" applyBorder="1" applyAlignment="1">
      <alignment horizontal="right" vertical="center"/>
    </xf>
    <xf numFmtId="187" fontId="22" fillId="21" borderId="77" xfId="0" applyNumberFormat="1" applyFont="1" applyFill="1" applyBorder="1" applyAlignment="1">
      <alignment vertical="center"/>
    </xf>
    <xf numFmtId="187" fontId="22" fillId="21" borderId="28" xfId="0" applyNumberFormat="1" applyFont="1" applyFill="1" applyBorder="1" applyAlignment="1">
      <alignment vertical="center"/>
    </xf>
    <xf numFmtId="0" fontId="31" fillId="0" borderId="70" xfId="0" applyFont="1" applyBorder="1" applyAlignment="1">
      <alignment vertical="center"/>
    </xf>
    <xf numFmtId="0" fontId="22" fillId="21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183" fontId="22" fillId="21" borderId="25" xfId="0" applyNumberFormat="1" applyFont="1" applyFill="1" applyBorder="1" applyAlignment="1">
      <alignment vertical="center"/>
    </xf>
    <xf numFmtId="183" fontId="22" fillId="21" borderId="11" xfId="0" applyNumberFormat="1" applyFont="1" applyFill="1" applyBorder="1" applyAlignment="1">
      <alignment vertical="center"/>
    </xf>
    <xf numFmtId="194" fontId="22" fillId="21" borderId="25" xfId="0" applyNumberFormat="1" applyFont="1" applyFill="1" applyBorder="1" applyAlignment="1">
      <alignment vertical="center"/>
    </xf>
    <xf numFmtId="194" fontId="22" fillId="21" borderId="11" xfId="0" applyNumberFormat="1" applyFont="1" applyFill="1" applyBorder="1" applyAlignment="1">
      <alignment vertical="center"/>
    </xf>
    <xf numFmtId="187" fontId="22" fillId="24" borderId="51" xfId="0" applyNumberFormat="1" applyFont="1" applyFill="1" applyBorder="1" applyAlignment="1">
      <alignment vertical="center"/>
    </xf>
    <xf numFmtId="187" fontId="22" fillId="24" borderId="55" xfId="0" applyNumberFormat="1" applyFont="1" applyFill="1" applyBorder="1" applyAlignment="1">
      <alignment vertical="center"/>
    </xf>
    <xf numFmtId="187" fontId="22" fillId="24" borderId="25" xfId="0" applyNumberFormat="1" applyFont="1" applyFill="1" applyBorder="1" applyAlignment="1">
      <alignment horizontal="center" vertical="center"/>
    </xf>
    <xf numFmtId="187" fontId="22" fillId="24" borderId="22" xfId="0" applyNumberFormat="1" applyFont="1" applyFill="1" applyBorder="1" applyAlignment="1">
      <alignment horizontal="center" vertical="center"/>
    </xf>
    <xf numFmtId="187" fontId="22" fillId="24" borderId="25" xfId="0" applyNumberFormat="1" applyFont="1" applyFill="1" applyBorder="1" applyAlignment="1">
      <alignment vertical="center"/>
    </xf>
    <xf numFmtId="0" fontId="22" fillId="24" borderId="22" xfId="0" applyFont="1" applyFill="1" applyBorder="1" applyAlignment="1">
      <alignment vertical="center"/>
    </xf>
    <xf numFmtId="187" fontId="22" fillId="24" borderId="66" xfId="0" applyNumberFormat="1" applyFont="1" applyFill="1" applyBorder="1" applyAlignment="1">
      <alignment vertical="center"/>
    </xf>
    <xf numFmtId="0" fontId="22" fillId="24" borderId="53" xfId="0" applyFont="1" applyFill="1" applyBorder="1" applyAlignment="1">
      <alignment vertical="center"/>
    </xf>
    <xf numFmtId="0" fontId="22" fillId="24" borderId="55" xfId="0" applyFont="1" applyFill="1" applyBorder="1" applyAlignment="1">
      <alignment vertical="center"/>
    </xf>
    <xf numFmtId="0" fontId="22" fillId="24" borderId="25" xfId="0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/>
    </xf>
    <xf numFmtId="183" fontId="22" fillId="24" borderId="25" xfId="0" applyNumberFormat="1" applyFont="1" applyFill="1" applyBorder="1" applyAlignment="1">
      <alignment vertical="center"/>
    </xf>
    <xf numFmtId="183" fontId="22" fillId="24" borderId="22" xfId="0" applyNumberFormat="1" applyFont="1" applyFill="1" applyBorder="1" applyAlignment="1">
      <alignment vertical="center"/>
    </xf>
    <xf numFmtId="189" fontId="22" fillId="24" borderId="25" xfId="0" applyNumberFormat="1" applyFont="1" applyFill="1" applyBorder="1" applyAlignment="1">
      <alignment vertical="center"/>
    </xf>
    <xf numFmtId="189" fontId="22" fillId="24" borderId="22" xfId="0" applyNumberFormat="1" applyFont="1" applyFill="1" applyBorder="1" applyAlignment="1">
      <alignment vertical="center"/>
    </xf>
    <xf numFmtId="0" fontId="22" fillId="24" borderId="25" xfId="0" applyFont="1" applyFill="1" applyBorder="1" applyAlignment="1">
      <alignment horizontal="center" vertical="center" shrinkToFit="1"/>
    </xf>
    <xf numFmtId="0" fontId="22" fillId="24" borderId="22" xfId="0" applyFont="1" applyFill="1" applyBorder="1" applyAlignment="1">
      <alignment horizontal="center" vertical="center" shrinkToFit="1"/>
    </xf>
    <xf numFmtId="187" fontId="22" fillId="24" borderId="22" xfId="0" applyNumberFormat="1" applyFont="1" applyFill="1" applyBorder="1" applyAlignment="1">
      <alignment vertical="center"/>
    </xf>
    <xf numFmtId="187" fontId="22" fillId="24" borderId="53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184" fontId="22" fillId="24" borderId="25" xfId="0" applyNumberFormat="1" applyFont="1" applyFill="1" applyBorder="1" applyAlignment="1">
      <alignment vertical="center"/>
    </xf>
    <xf numFmtId="191" fontId="22" fillId="24" borderId="51" xfId="0" applyNumberFormat="1" applyFont="1" applyFill="1" applyBorder="1" applyAlignment="1">
      <alignment vertical="center"/>
    </xf>
    <xf numFmtId="191" fontId="22" fillId="24" borderId="55" xfId="0" applyNumberFormat="1" applyFont="1" applyFill="1" applyBorder="1" applyAlignment="1">
      <alignment vertical="center"/>
    </xf>
    <xf numFmtId="183" fontId="22" fillId="24" borderId="11" xfId="0" applyNumberFormat="1" applyFont="1" applyFill="1" applyBorder="1" applyAlignment="1">
      <alignment vertical="center"/>
    </xf>
    <xf numFmtId="184" fontId="22" fillId="24" borderId="11" xfId="0" applyNumberFormat="1" applyFont="1" applyFill="1" applyBorder="1" applyAlignment="1">
      <alignment vertical="center"/>
    </xf>
    <xf numFmtId="184" fontId="22" fillId="24" borderId="22" xfId="0" applyNumberFormat="1" applyFont="1" applyFill="1" applyBorder="1" applyAlignment="1">
      <alignment vertical="center"/>
    </xf>
    <xf numFmtId="0" fontId="22" fillId="24" borderId="11" xfId="0" applyFont="1" applyFill="1" applyBorder="1" applyAlignment="1">
      <alignment horizontal="center" vertical="center" shrinkToFit="1"/>
    </xf>
    <xf numFmtId="187" fontId="22" fillId="24" borderId="11" xfId="0" applyNumberFormat="1" applyFont="1" applyFill="1" applyBorder="1" applyAlignment="1">
      <alignment vertical="center"/>
    </xf>
    <xf numFmtId="0" fontId="22" fillId="24" borderId="11" xfId="0" applyFont="1" applyFill="1" applyBorder="1" applyAlignment="1">
      <alignment vertical="center"/>
    </xf>
    <xf numFmtId="187" fontId="22" fillId="24" borderId="67" xfId="0" applyNumberFormat="1" applyFont="1" applyFill="1" applyBorder="1" applyAlignment="1">
      <alignment vertical="center"/>
    </xf>
    <xf numFmtId="187" fontId="22" fillId="24" borderId="0" xfId="0" applyNumberFormat="1" applyFont="1" applyFill="1" applyBorder="1" applyAlignment="1">
      <alignment vertical="center"/>
    </xf>
    <xf numFmtId="176" fontId="22" fillId="0" borderId="15" xfId="0" applyNumberFormat="1" applyFont="1" applyBorder="1" applyAlignment="1">
      <alignment horizontal="center" vertical="center" wrapText="1"/>
    </xf>
    <xf numFmtId="187" fontId="22" fillId="24" borderId="11" xfId="0" applyNumberFormat="1" applyFont="1" applyFill="1" applyBorder="1" applyAlignment="1">
      <alignment horizontal="center" vertical="center"/>
    </xf>
    <xf numFmtId="181" fontId="22" fillId="24" borderId="25" xfId="0" applyNumberFormat="1" applyFont="1" applyFill="1" applyBorder="1" applyAlignment="1">
      <alignment vertical="center"/>
    </xf>
    <xf numFmtId="181" fontId="22" fillId="24" borderId="22" xfId="0" applyNumberFormat="1" applyFont="1" applyFill="1" applyBorder="1" applyAlignment="1">
      <alignment vertical="center"/>
    </xf>
    <xf numFmtId="186" fontId="22" fillId="24" borderId="66" xfId="0" applyNumberFormat="1" applyFont="1" applyFill="1" applyBorder="1" applyAlignment="1">
      <alignment vertical="center"/>
    </xf>
    <xf numFmtId="186" fontId="22" fillId="24" borderId="67" xfId="0" applyNumberFormat="1" applyFont="1" applyFill="1" applyBorder="1" applyAlignment="1">
      <alignment vertical="center"/>
    </xf>
    <xf numFmtId="0" fontId="22" fillId="0" borderId="50" xfId="0" applyFont="1" applyBorder="1" applyAlignment="1">
      <alignment vertical="center" textRotation="255"/>
    </xf>
    <xf numFmtId="0" fontId="26" fillId="0" borderId="50" xfId="0" applyFont="1" applyBorder="1" applyAlignment="1">
      <alignment vertical="center"/>
    </xf>
    <xf numFmtId="176" fontId="22" fillId="0" borderId="11" xfId="0" applyNumberFormat="1" applyFont="1" applyBorder="1" applyAlignment="1">
      <alignment vertical="center"/>
    </xf>
    <xf numFmtId="187" fontId="22" fillId="24" borderId="49" xfId="62" applyNumberFormat="1" applyFont="1" applyFill="1" applyBorder="1" applyAlignment="1">
      <alignment vertical="center"/>
      <protection/>
    </xf>
    <xf numFmtId="189" fontId="22" fillId="24" borderId="25" xfId="62" applyNumberFormat="1" applyFont="1" applyFill="1" applyBorder="1" applyAlignment="1">
      <alignment horizontal="center" vertical="center"/>
      <protection/>
    </xf>
    <xf numFmtId="189" fontId="22" fillId="24" borderId="11" xfId="62" applyNumberFormat="1" applyFont="1" applyFill="1" applyBorder="1" applyAlignment="1">
      <alignment horizontal="center" vertical="center"/>
      <protection/>
    </xf>
    <xf numFmtId="183" fontId="22" fillId="24" borderId="24" xfId="0" applyNumberFormat="1" applyFont="1" applyFill="1" applyBorder="1" applyAlignment="1">
      <alignment vertical="center"/>
    </xf>
    <xf numFmtId="189" fontId="22" fillId="24" borderId="24" xfId="0" applyNumberFormat="1" applyFont="1" applyFill="1" applyBorder="1" applyAlignment="1">
      <alignment vertical="center"/>
    </xf>
    <xf numFmtId="183" fontId="22" fillId="24" borderId="24" xfId="0" applyNumberFormat="1" applyFont="1" applyFill="1" applyBorder="1" applyAlignment="1">
      <alignment horizontal="center" vertical="center" shrinkToFit="1"/>
    </xf>
    <xf numFmtId="0" fontId="22" fillId="24" borderId="24" xfId="0" applyFont="1" applyFill="1" applyBorder="1" applyAlignment="1">
      <alignment horizontal="center" vertical="center"/>
    </xf>
    <xf numFmtId="187" fontId="22" fillId="24" borderId="24" xfId="0" applyNumberFormat="1" applyFont="1" applyFill="1" applyBorder="1" applyAlignment="1">
      <alignment vertical="center"/>
    </xf>
    <xf numFmtId="193" fontId="22" fillId="24" borderId="17" xfId="62" applyNumberFormat="1" applyFont="1" applyFill="1" applyBorder="1" applyAlignment="1">
      <alignment vertical="center"/>
      <protection/>
    </xf>
    <xf numFmtId="189" fontId="22" fillId="24" borderId="22" xfId="62" applyNumberFormat="1" applyFont="1" applyFill="1" applyBorder="1" applyAlignment="1">
      <alignment horizontal="center" vertical="center"/>
      <protection/>
    </xf>
    <xf numFmtId="0" fontId="22" fillId="24" borderId="24" xfId="0" applyFont="1" applyFill="1" applyBorder="1" applyAlignment="1">
      <alignment horizontal="center" vertical="center" shrinkToFit="1"/>
    </xf>
    <xf numFmtId="187" fontId="22" fillId="24" borderId="24" xfId="62" applyNumberFormat="1" applyFont="1" applyFill="1" applyBorder="1" applyAlignment="1">
      <alignment vertical="center"/>
      <protection/>
    </xf>
    <xf numFmtId="0" fontId="22" fillId="0" borderId="15" xfId="0" applyFont="1" applyBorder="1" applyAlignment="1">
      <alignment horizontal="center" vertical="center" textRotation="255"/>
    </xf>
    <xf numFmtId="176" fontId="22" fillId="0" borderId="31" xfId="0" applyNumberFormat="1" applyFont="1" applyBorder="1" applyAlignment="1">
      <alignment horizontal="center" vertical="center"/>
    </xf>
    <xf numFmtId="176" fontId="22" fillId="0" borderId="41" xfId="0" applyNumberFormat="1" applyFont="1" applyBorder="1" applyAlignment="1">
      <alignment horizontal="center" vertical="center"/>
    </xf>
    <xf numFmtId="187" fontId="22" fillId="24" borderId="55" xfId="62" applyNumberFormat="1" applyFont="1" applyFill="1" applyBorder="1" applyAlignment="1">
      <alignment vertical="center"/>
      <protection/>
    </xf>
    <xf numFmtId="187" fontId="22" fillId="24" borderId="49" xfId="0" applyNumberFormat="1" applyFont="1" applyFill="1" applyBorder="1" applyAlignment="1">
      <alignment vertical="center"/>
    </xf>
    <xf numFmtId="185" fontId="22" fillId="24" borderId="11" xfId="62" applyNumberFormat="1" applyFont="1" applyFill="1" applyBorder="1" applyAlignment="1">
      <alignment horizontal="center" vertical="center"/>
      <protection/>
    </xf>
    <xf numFmtId="0" fontId="22" fillId="0" borderId="23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176" fontId="22" fillId="0" borderId="15" xfId="0" applyNumberFormat="1" applyFont="1" applyBorder="1" applyAlignment="1" quotePrefix="1">
      <alignment horizontal="center" vertical="center"/>
    </xf>
    <xf numFmtId="0" fontId="22" fillId="24" borderId="24" xfId="0" applyFont="1" applyFill="1" applyBorder="1" applyAlignment="1">
      <alignment vertical="center"/>
    </xf>
    <xf numFmtId="185" fontId="22" fillId="24" borderId="22" xfId="0" applyNumberFormat="1" applyFont="1" applyFill="1" applyBorder="1" applyAlignment="1">
      <alignment vertical="center"/>
    </xf>
    <xf numFmtId="185" fontId="22" fillId="24" borderId="24" xfId="0" applyNumberFormat="1" applyFont="1" applyFill="1" applyBorder="1" applyAlignment="1">
      <alignment vertical="center"/>
    </xf>
    <xf numFmtId="187" fontId="22" fillId="24" borderId="22" xfId="62" applyNumberFormat="1" applyFont="1" applyFill="1" applyBorder="1" applyAlignment="1">
      <alignment vertical="center"/>
      <protection/>
    </xf>
    <xf numFmtId="187" fontId="22" fillId="24" borderId="53" xfId="62" applyNumberFormat="1" applyFont="1" applyFill="1" applyBorder="1" applyAlignment="1">
      <alignment vertical="center"/>
      <protection/>
    </xf>
    <xf numFmtId="187" fontId="22" fillId="24" borderId="17" xfId="0" applyNumberFormat="1" applyFont="1" applyFill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191" fontId="22" fillId="0" borderId="23" xfId="0" applyNumberFormat="1" applyFont="1" applyBorder="1" applyAlignment="1">
      <alignment horizontal="center" vertical="center" wrapText="1"/>
    </xf>
    <xf numFmtId="191" fontId="22" fillId="0" borderId="27" xfId="0" applyNumberFormat="1" applyFont="1" applyBorder="1" applyAlignment="1">
      <alignment horizontal="center" vertical="center"/>
    </xf>
    <xf numFmtId="178" fontId="22" fillId="0" borderId="23" xfId="0" applyNumberFormat="1" applyFont="1" applyBorder="1" applyAlignment="1">
      <alignment horizontal="center" vertical="center" wrapText="1"/>
    </xf>
    <xf numFmtId="178" fontId="22" fillId="0" borderId="27" xfId="0" applyNumberFormat="1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shrinkToFit="1"/>
    </xf>
    <xf numFmtId="0" fontId="22" fillId="0" borderId="82" xfId="0" applyFont="1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8" xfId="61"/>
    <cellStyle name="標準_測定結果_H20_品川水質_2009.03修正2" xfId="62"/>
    <cellStyle name="標準_測定結果_H23_大船渡湾水質底泥調査20111.11.15" xfId="63"/>
    <cellStyle name="Followed Hyperlink" xfId="64"/>
    <cellStyle name="良い" xfId="65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="110" zoomScaleNormal="75" zoomScaleSheetLayoutView="110" zoomScalePageLayoutView="0" workbookViewId="0" topLeftCell="A1">
      <pane xSplit="1" ySplit="4" topLeftCell="C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49" sqref="N49"/>
    </sheetView>
  </sheetViews>
  <sheetFormatPr defaultColWidth="9.00390625" defaultRowHeight="15" customHeight="1" outlineLevelRow="1"/>
  <cols>
    <col min="1" max="1" width="15.625" style="188" customWidth="1"/>
    <col min="2" max="2" width="9.50390625" style="49" customWidth="1"/>
    <col min="3" max="4" width="11.625" style="49" customWidth="1"/>
    <col min="5" max="7" width="9.25390625" style="49" bestFit="1" customWidth="1"/>
    <col min="8" max="8" width="9.125" style="49" bestFit="1" customWidth="1"/>
    <col min="9" max="9" width="10.625" style="49" bestFit="1" customWidth="1"/>
    <col min="10" max="13" width="9.125" style="49" bestFit="1" customWidth="1"/>
    <col min="14" max="15" width="11.375" style="49" customWidth="1"/>
    <col min="16" max="16" width="11.375" style="103" customWidth="1"/>
    <col min="17" max="16384" width="9.00390625" style="49" customWidth="1"/>
  </cols>
  <sheetData>
    <row r="1" spans="1:2" ht="17.25" customHeight="1">
      <c r="A1" s="190" t="s">
        <v>61</v>
      </c>
      <c r="B1" s="129"/>
    </row>
    <row r="2" spans="1:16" ht="15" customHeight="1">
      <c r="A2" s="846" t="s">
        <v>3</v>
      </c>
      <c r="B2" s="847"/>
      <c r="C2" s="847"/>
      <c r="D2" s="848"/>
      <c r="E2" s="849" t="s">
        <v>558</v>
      </c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1"/>
    </row>
    <row r="3" spans="1:16" ht="15" customHeight="1">
      <c r="A3" s="186"/>
      <c r="B3" s="55"/>
      <c r="C3" s="852" t="s">
        <v>4</v>
      </c>
      <c r="D3" s="852" t="s">
        <v>5</v>
      </c>
      <c r="E3" s="853" t="s">
        <v>45</v>
      </c>
      <c r="F3" s="56" t="s">
        <v>46</v>
      </c>
      <c r="G3" s="56" t="s">
        <v>47</v>
      </c>
      <c r="H3" s="56" t="s">
        <v>48</v>
      </c>
      <c r="I3" s="57" t="s">
        <v>52</v>
      </c>
      <c r="J3" s="853" t="s">
        <v>53</v>
      </c>
      <c r="K3" s="56" t="s">
        <v>49</v>
      </c>
      <c r="L3" s="56" t="s">
        <v>50</v>
      </c>
      <c r="M3" s="56" t="s">
        <v>54</v>
      </c>
      <c r="N3" s="130" t="s">
        <v>20</v>
      </c>
      <c r="O3" s="56" t="s">
        <v>21</v>
      </c>
      <c r="P3" s="58" t="s">
        <v>22</v>
      </c>
    </row>
    <row r="4" spans="1:16" ht="15" customHeight="1">
      <c r="A4" s="187"/>
      <c r="B4" s="59"/>
      <c r="C4" s="837"/>
      <c r="D4" s="837"/>
      <c r="E4" s="837"/>
      <c r="F4" s="60" t="s">
        <v>55</v>
      </c>
      <c r="G4" s="60" t="s">
        <v>55</v>
      </c>
      <c r="H4" s="60" t="s">
        <v>55</v>
      </c>
      <c r="I4" s="60" t="s">
        <v>56</v>
      </c>
      <c r="J4" s="837"/>
      <c r="K4" s="60" t="s">
        <v>55</v>
      </c>
      <c r="L4" s="60" t="s">
        <v>55</v>
      </c>
      <c r="M4" s="60" t="s">
        <v>57</v>
      </c>
      <c r="N4" s="133" t="s">
        <v>540</v>
      </c>
      <c r="O4" s="61" t="s">
        <v>540</v>
      </c>
      <c r="P4" s="61" t="s">
        <v>540</v>
      </c>
    </row>
    <row r="5" spans="1:16" ht="15" customHeight="1">
      <c r="A5" s="843" t="s">
        <v>60</v>
      </c>
      <c r="B5" s="21" t="s">
        <v>58</v>
      </c>
      <c r="C5" s="844" t="s">
        <v>154</v>
      </c>
      <c r="D5" s="844" t="s">
        <v>156</v>
      </c>
      <c r="E5" s="62">
        <v>7.4</v>
      </c>
      <c r="F5" s="62">
        <v>1.5</v>
      </c>
      <c r="G5" s="62">
        <v>6.5</v>
      </c>
      <c r="H5" s="62">
        <v>8.7</v>
      </c>
      <c r="I5" s="82">
        <v>16.8</v>
      </c>
      <c r="J5" s="63">
        <v>0.09</v>
      </c>
      <c r="K5" s="40">
        <v>3</v>
      </c>
      <c r="L5" s="64">
        <v>19</v>
      </c>
      <c r="M5" s="40">
        <v>11.7</v>
      </c>
      <c r="N5" s="191">
        <v>0.13</v>
      </c>
      <c r="O5" s="191">
        <v>0.27</v>
      </c>
      <c r="P5" s="203">
        <v>0.0013</v>
      </c>
    </row>
    <row r="6" spans="1:16" ht="15" customHeight="1">
      <c r="A6" s="836"/>
      <c r="B6" s="20" t="s">
        <v>128</v>
      </c>
      <c r="C6" s="845"/>
      <c r="D6" s="845"/>
      <c r="E6" s="65">
        <v>7.4</v>
      </c>
      <c r="F6" s="65">
        <v>1.6</v>
      </c>
      <c r="G6" s="65">
        <v>8</v>
      </c>
      <c r="H6" s="65">
        <v>8.3</v>
      </c>
      <c r="I6" s="143">
        <v>16.7</v>
      </c>
      <c r="J6" s="66">
        <v>0.09</v>
      </c>
      <c r="K6" s="67">
        <v>3.1</v>
      </c>
      <c r="L6" s="68">
        <v>39</v>
      </c>
      <c r="M6" s="67">
        <v>15.5</v>
      </c>
      <c r="N6" s="192">
        <v>0.28</v>
      </c>
      <c r="O6" s="192">
        <v>0.56</v>
      </c>
      <c r="P6" s="91" t="s">
        <v>1</v>
      </c>
    </row>
    <row r="7" spans="1:16" ht="15" customHeight="1">
      <c r="A7" s="836"/>
      <c r="B7" s="24" t="s">
        <v>63</v>
      </c>
      <c r="C7" s="595" t="s">
        <v>157</v>
      </c>
      <c r="D7" s="595" t="s">
        <v>158</v>
      </c>
      <c r="E7" s="71">
        <v>7.4</v>
      </c>
      <c r="F7" s="71">
        <v>0.9</v>
      </c>
      <c r="G7" s="71">
        <v>5.2</v>
      </c>
      <c r="H7" s="71">
        <v>8.8</v>
      </c>
      <c r="I7" s="42">
        <v>15.7</v>
      </c>
      <c r="J7" s="72">
        <v>0.08</v>
      </c>
      <c r="K7" s="73">
        <v>1.8</v>
      </c>
      <c r="L7" s="74">
        <v>12</v>
      </c>
      <c r="M7" s="73">
        <v>5</v>
      </c>
      <c r="N7" s="193">
        <v>0.054</v>
      </c>
      <c r="O7" s="192">
        <v>0.12</v>
      </c>
      <c r="P7" s="70" t="s">
        <v>1</v>
      </c>
    </row>
    <row r="8" spans="1:16" ht="15" customHeight="1">
      <c r="A8" s="836"/>
      <c r="B8" s="24" t="s">
        <v>37</v>
      </c>
      <c r="C8" s="595" t="s">
        <v>173</v>
      </c>
      <c r="D8" s="595" t="s">
        <v>174</v>
      </c>
      <c r="E8" s="71">
        <v>7.5</v>
      </c>
      <c r="F8" s="71">
        <v>1.3</v>
      </c>
      <c r="G8" s="71">
        <v>4.9</v>
      </c>
      <c r="H8" s="71">
        <v>9.3</v>
      </c>
      <c r="I8" s="42">
        <v>18.8</v>
      </c>
      <c r="J8" s="72">
        <v>0.1</v>
      </c>
      <c r="K8" s="73">
        <v>2.9</v>
      </c>
      <c r="L8" s="74">
        <v>17</v>
      </c>
      <c r="M8" s="73">
        <v>10.6</v>
      </c>
      <c r="N8" s="192">
        <v>0.11</v>
      </c>
      <c r="O8" s="192">
        <v>0.23</v>
      </c>
      <c r="P8" s="70" t="s">
        <v>1</v>
      </c>
    </row>
    <row r="9" spans="1:16" ht="15" customHeight="1">
      <c r="A9" s="836"/>
      <c r="B9" s="24" t="s">
        <v>65</v>
      </c>
      <c r="C9" s="595" t="s">
        <v>159</v>
      </c>
      <c r="D9" s="595" t="s">
        <v>160</v>
      </c>
      <c r="E9" s="71">
        <v>7.5</v>
      </c>
      <c r="F9" s="71">
        <v>1.1</v>
      </c>
      <c r="G9" s="71">
        <v>5.7</v>
      </c>
      <c r="H9" s="71">
        <v>8.4</v>
      </c>
      <c r="I9" s="42">
        <v>17.1</v>
      </c>
      <c r="J9" s="72">
        <v>0.09</v>
      </c>
      <c r="K9" s="73">
        <v>2.5</v>
      </c>
      <c r="L9" s="74">
        <v>14</v>
      </c>
      <c r="M9" s="73">
        <v>7.8</v>
      </c>
      <c r="N9" s="193">
        <v>0.079</v>
      </c>
      <c r="O9" s="192">
        <v>0.16</v>
      </c>
      <c r="P9" s="70" t="s">
        <v>35</v>
      </c>
    </row>
    <row r="10" spans="1:16" ht="15" customHeight="1">
      <c r="A10" s="837"/>
      <c r="B10" s="24" t="s">
        <v>38</v>
      </c>
      <c r="C10" s="595" t="s">
        <v>312</v>
      </c>
      <c r="D10" s="595" t="s">
        <v>172</v>
      </c>
      <c r="E10" s="75">
        <v>7.6</v>
      </c>
      <c r="F10" s="75">
        <v>0.9</v>
      </c>
      <c r="G10" s="75">
        <v>5.5</v>
      </c>
      <c r="H10" s="75">
        <v>9.5</v>
      </c>
      <c r="I10" s="87">
        <v>10.2</v>
      </c>
      <c r="J10" s="76">
        <v>0.06</v>
      </c>
      <c r="K10" s="77">
        <v>1.9</v>
      </c>
      <c r="L10" s="78">
        <v>6</v>
      </c>
      <c r="M10" s="77">
        <v>3.8</v>
      </c>
      <c r="N10" s="196">
        <v>0.019</v>
      </c>
      <c r="O10" s="196">
        <v>0.037</v>
      </c>
      <c r="P10" s="80" t="s">
        <v>1</v>
      </c>
    </row>
    <row r="11" spans="1:16" ht="15" customHeight="1" outlineLevel="1">
      <c r="A11" s="841" t="s">
        <v>42</v>
      </c>
      <c r="B11" s="30" t="s">
        <v>67</v>
      </c>
      <c r="C11" s="597" t="s">
        <v>161</v>
      </c>
      <c r="D11" s="597" t="s">
        <v>162</v>
      </c>
      <c r="E11" s="62">
        <v>7.4</v>
      </c>
      <c r="F11" s="65">
        <v>1.2</v>
      </c>
      <c r="G11" s="62">
        <v>2.8</v>
      </c>
      <c r="H11" s="62">
        <v>9.5</v>
      </c>
      <c r="I11" s="40">
        <v>12.7</v>
      </c>
      <c r="J11" s="63">
        <v>0.07</v>
      </c>
      <c r="K11" s="40">
        <v>1.1</v>
      </c>
      <c r="L11" s="74">
        <v>2</v>
      </c>
      <c r="M11" s="40">
        <v>1.3</v>
      </c>
      <c r="N11" s="195">
        <v>0.025</v>
      </c>
      <c r="O11" s="195">
        <v>0.051</v>
      </c>
      <c r="P11" s="90" t="s">
        <v>35</v>
      </c>
    </row>
    <row r="12" spans="1:16" ht="15" customHeight="1" outlineLevel="1">
      <c r="A12" s="836"/>
      <c r="B12" s="38" t="s">
        <v>102</v>
      </c>
      <c r="C12" s="598" t="s">
        <v>163</v>
      </c>
      <c r="D12" s="598" t="s">
        <v>164</v>
      </c>
      <c r="E12" s="71">
        <v>7.1</v>
      </c>
      <c r="F12" s="71">
        <v>0.9</v>
      </c>
      <c r="G12" s="71">
        <v>7.1</v>
      </c>
      <c r="H12" s="71">
        <v>8.4</v>
      </c>
      <c r="I12" s="73">
        <v>11.7</v>
      </c>
      <c r="J12" s="72">
        <v>0.06</v>
      </c>
      <c r="K12" s="73">
        <v>3.8</v>
      </c>
      <c r="L12" s="74">
        <v>8</v>
      </c>
      <c r="M12" s="73">
        <v>4.2</v>
      </c>
      <c r="N12" s="193">
        <v>0.066</v>
      </c>
      <c r="O12" s="192">
        <v>0.13</v>
      </c>
      <c r="P12" s="70" t="s">
        <v>35</v>
      </c>
    </row>
    <row r="13" spans="1:16" ht="15" customHeight="1" outlineLevel="1">
      <c r="A13" s="836"/>
      <c r="B13" s="38" t="s">
        <v>103</v>
      </c>
      <c r="C13" s="598" t="s">
        <v>165</v>
      </c>
      <c r="D13" s="598" t="s">
        <v>166</v>
      </c>
      <c r="E13" s="71">
        <v>7.8</v>
      </c>
      <c r="F13" s="71">
        <v>0.6</v>
      </c>
      <c r="G13" s="71">
        <v>2.8</v>
      </c>
      <c r="H13" s="71">
        <v>9.3</v>
      </c>
      <c r="I13" s="73">
        <v>11.3</v>
      </c>
      <c r="J13" s="72">
        <v>0.06</v>
      </c>
      <c r="K13" s="73">
        <v>1</v>
      </c>
      <c r="L13" s="74">
        <v>3</v>
      </c>
      <c r="M13" s="73">
        <v>1.8</v>
      </c>
      <c r="N13" s="193">
        <v>0.05</v>
      </c>
      <c r="O13" s="192">
        <v>0.1</v>
      </c>
      <c r="P13" s="97" t="s">
        <v>35</v>
      </c>
    </row>
    <row r="14" spans="1:16" ht="15" customHeight="1" outlineLevel="1">
      <c r="A14" s="836"/>
      <c r="B14" s="38" t="s">
        <v>104</v>
      </c>
      <c r="C14" s="598" t="s">
        <v>167</v>
      </c>
      <c r="D14" s="598" t="s">
        <v>168</v>
      </c>
      <c r="E14" s="71">
        <v>7.8</v>
      </c>
      <c r="F14" s="71" t="s">
        <v>51</v>
      </c>
      <c r="G14" s="71">
        <v>2.8</v>
      </c>
      <c r="H14" s="71">
        <v>9.4</v>
      </c>
      <c r="I14" s="73">
        <v>11.1</v>
      </c>
      <c r="J14" s="72">
        <v>0.06</v>
      </c>
      <c r="K14" s="73">
        <v>0.9</v>
      </c>
      <c r="L14" s="74">
        <v>1</v>
      </c>
      <c r="M14" s="73">
        <v>1</v>
      </c>
      <c r="N14" s="193">
        <v>0.019</v>
      </c>
      <c r="O14" s="193">
        <v>0.039</v>
      </c>
      <c r="P14" s="204">
        <v>0.00096</v>
      </c>
    </row>
    <row r="15" spans="1:16" ht="15" customHeight="1" outlineLevel="1">
      <c r="A15" s="836"/>
      <c r="B15" s="38" t="s">
        <v>105</v>
      </c>
      <c r="C15" s="598" t="s">
        <v>175</v>
      </c>
      <c r="D15" s="598" t="s">
        <v>169</v>
      </c>
      <c r="E15" s="71">
        <v>7.2</v>
      </c>
      <c r="F15" s="71">
        <v>0.9</v>
      </c>
      <c r="G15" s="71">
        <v>3.5</v>
      </c>
      <c r="H15" s="71">
        <v>8.3</v>
      </c>
      <c r="I15" s="73">
        <v>11.6</v>
      </c>
      <c r="J15" s="72">
        <v>0.06</v>
      </c>
      <c r="K15" s="73">
        <v>1.4</v>
      </c>
      <c r="L15" s="74">
        <v>2</v>
      </c>
      <c r="M15" s="73">
        <v>0.9</v>
      </c>
      <c r="N15" s="193">
        <v>0.013</v>
      </c>
      <c r="O15" s="193">
        <v>0.027</v>
      </c>
      <c r="P15" s="91" t="s">
        <v>35</v>
      </c>
    </row>
    <row r="16" spans="1:16" ht="15" customHeight="1" outlineLevel="1">
      <c r="A16" s="837"/>
      <c r="B16" s="98" t="s">
        <v>106</v>
      </c>
      <c r="C16" s="599" t="s">
        <v>170</v>
      </c>
      <c r="D16" s="600" t="s">
        <v>171</v>
      </c>
      <c r="E16" s="75">
        <v>7.7</v>
      </c>
      <c r="F16" s="71">
        <v>0.6</v>
      </c>
      <c r="G16" s="75">
        <v>3.4</v>
      </c>
      <c r="H16" s="75">
        <v>9.4</v>
      </c>
      <c r="I16" s="77">
        <v>13.7</v>
      </c>
      <c r="J16" s="76">
        <v>0.07</v>
      </c>
      <c r="K16" s="77">
        <v>1.3</v>
      </c>
      <c r="L16" s="74">
        <v>2</v>
      </c>
      <c r="M16" s="77">
        <v>1.3</v>
      </c>
      <c r="N16" s="196">
        <v>0.022</v>
      </c>
      <c r="O16" s="196">
        <v>0.048</v>
      </c>
      <c r="P16" s="80" t="s">
        <v>35</v>
      </c>
    </row>
    <row r="17" spans="1:16" ht="15" customHeight="1">
      <c r="A17" s="841" t="s">
        <v>39</v>
      </c>
      <c r="B17" s="38" t="s">
        <v>69</v>
      </c>
      <c r="C17" s="598" t="s">
        <v>186</v>
      </c>
      <c r="D17" s="598" t="s">
        <v>187</v>
      </c>
      <c r="E17" s="81">
        <v>8.1</v>
      </c>
      <c r="F17" s="62">
        <v>0.5</v>
      </c>
      <c r="G17" s="81">
        <v>3.3</v>
      </c>
      <c r="H17" s="81">
        <v>12.1</v>
      </c>
      <c r="I17" s="40">
        <v>11.2</v>
      </c>
      <c r="J17" s="63">
        <v>0.06</v>
      </c>
      <c r="K17" s="40">
        <v>1.3</v>
      </c>
      <c r="L17" s="64" t="s">
        <v>2</v>
      </c>
      <c r="M17" s="40">
        <v>0.7</v>
      </c>
      <c r="N17" s="134">
        <v>0.025</v>
      </c>
      <c r="O17" s="88">
        <v>0.049</v>
      </c>
      <c r="P17" s="205">
        <v>0.0019</v>
      </c>
    </row>
    <row r="18" spans="1:16" ht="15" customHeight="1">
      <c r="A18" s="836"/>
      <c r="B18" s="33" t="s">
        <v>59</v>
      </c>
      <c r="C18" s="601" t="s">
        <v>176</v>
      </c>
      <c r="D18" s="601" t="s">
        <v>177</v>
      </c>
      <c r="E18" s="83">
        <v>7.2</v>
      </c>
      <c r="F18" s="71">
        <v>0.9</v>
      </c>
      <c r="G18" s="83">
        <v>3.9</v>
      </c>
      <c r="H18" s="83">
        <v>8.7</v>
      </c>
      <c r="I18" s="73">
        <v>12.1</v>
      </c>
      <c r="J18" s="72">
        <v>0.07</v>
      </c>
      <c r="K18" s="73">
        <v>1.5</v>
      </c>
      <c r="L18" s="74">
        <v>3</v>
      </c>
      <c r="M18" s="73">
        <v>1.4</v>
      </c>
      <c r="N18" s="135">
        <v>0.019</v>
      </c>
      <c r="O18" s="69">
        <v>0.038</v>
      </c>
      <c r="P18" s="91" t="s">
        <v>35</v>
      </c>
    </row>
    <row r="19" spans="1:16" ht="15" customHeight="1">
      <c r="A19" s="836"/>
      <c r="B19" s="33" t="s">
        <v>71</v>
      </c>
      <c r="C19" s="601" t="s">
        <v>178</v>
      </c>
      <c r="D19" s="601" t="s">
        <v>179</v>
      </c>
      <c r="E19" s="83">
        <v>7</v>
      </c>
      <c r="F19" s="71">
        <v>0.7</v>
      </c>
      <c r="G19" s="83">
        <v>3.4</v>
      </c>
      <c r="H19" s="83">
        <v>10.6</v>
      </c>
      <c r="I19" s="73">
        <v>13.2</v>
      </c>
      <c r="J19" s="72">
        <v>0.07</v>
      </c>
      <c r="K19" s="73">
        <v>1.4</v>
      </c>
      <c r="L19" s="74">
        <v>2</v>
      </c>
      <c r="M19" s="73">
        <v>1.4</v>
      </c>
      <c r="N19" s="135">
        <v>0.021</v>
      </c>
      <c r="O19" s="69">
        <v>0.042</v>
      </c>
      <c r="P19" s="70" t="s">
        <v>1</v>
      </c>
    </row>
    <row r="20" spans="1:16" ht="15" customHeight="1">
      <c r="A20" s="836"/>
      <c r="B20" s="33" t="s">
        <v>72</v>
      </c>
      <c r="C20" s="601" t="s">
        <v>180</v>
      </c>
      <c r="D20" s="601" t="s">
        <v>181</v>
      </c>
      <c r="E20" s="83">
        <v>7.2</v>
      </c>
      <c r="F20" s="71">
        <v>0.6</v>
      </c>
      <c r="G20" s="83">
        <v>3</v>
      </c>
      <c r="H20" s="83">
        <v>9.2</v>
      </c>
      <c r="I20" s="73">
        <v>11.1</v>
      </c>
      <c r="J20" s="72">
        <v>0.06</v>
      </c>
      <c r="K20" s="73">
        <v>1.3</v>
      </c>
      <c r="L20" s="74">
        <v>2</v>
      </c>
      <c r="M20" s="73">
        <v>1.2</v>
      </c>
      <c r="N20" s="135">
        <v>0.034</v>
      </c>
      <c r="O20" s="69">
        <v>0.066</v>
      </c>
      <c r="P20" s="70" t="s">
        <v>1</v>
      </c>
    </row>
    <row r="21" spans="1:16" ht="15" customHeight="1">
      <c r="A21" s="836"/>
      <c r="B21" s="44" t="s">
        <v>107</v>
      </c>
      <c r="C21" s="601" t="s">
        <v>182</v>
      </c>
      <c r="D21" s="601" t="s">
        <v>183</v>
      </c>
      <c r="E21" s="83">
        <v>7.3</v>
      </c>
      <c r="F21" s="71">
        <v>0.7</v>
      </c>
      <c r="G21" s="83">
        <v>2.7</v>
      </c>
      <c r="H21" s="83">
        <v>9.3</v>
      </c>
      <c r="I21" s="73">
        <v>11.1</v>
      </c>
      <c r="J21" s="72">
        <v>0.06</v>
      </c>
      <c r="K21" s="73">
        <v>1.1</v>
      </c>
      <c r="L21" s="74">
        <v>1</v>
      </c>
      <c r="M21" s="73">
        <v>1.1</v>
      </c>
      <c r="N21" s="135">
        <v>0.031</v>
      </c>
      <c r="O21" s="69">
        <v>0.064</v>
      </c>
      <c r="P21" s="70" t="s">
        <v>1</v>
      </c>
    </row>
    <row r="22" spans="1:16" ht="15" customHeight="1">
      <c r="A22" s="837"/>
      <c r="B22" s="34" t="s">
        <v>73</v>
      </c>
      <c r="C22" s="599" t="s">
        <v>184</v>
      </c>
      <c r="D22" s="599" t="s">
        <v>185</v>
      </c>
      <c r="E22" s="85">
        <v>7.4</v>
      </c>
      <c r="F22" s="75">
        <v>0.7</v>
      </c>
      <c r="G22" s="85">
        <v>3.5</v>
      </c>
      <c r="H22" s="85">
        <v>9.7</v>
      </c>
      <c r="I22" s="77">
        <v>9.3</v>
      </c>
      <c r="J22" s="76">
        <v>0.05</v>
      </c>
      <c r="K22" s="77">
        <v>1.5</v>
      </c>
      <c r="L22" s="78">
        <v>1</v>
      </c>
      <c r="M22" s="77">
        <v>1.1</v>
      </c>
      <c r="N22" s="136">
        <v>0.047</v>
      </c>
      <c r="O22" s="79">
        <v>0.092</v>
      </c>
      <c r="P22" s="80" t="s">
        <v>1</v>
      </c>
    </row>
    <row r="23" spans="1:16" ht="15" customHeight="1">
      <c r="A23" s="841" t="s">
        <v>36</v>
      </c>
      <c r="B23" s="30" t="s">
        <v>79</v>
      </c>
      <c r="C23" s="594" t="s">
        <v>188</v>
      </c>
      <c r="D23" s="594" t="s">
        <v>189</v>
      </c>
      <c r="E23" s="81">
        <v>7.4</v>
      </c>
      <c r="F23" s="62">
        <v>0.5</v>
      </c>
      <c r="G23" s="81">
        <v>3.2</v>
      </c>
      <c r="H23" s="81">
        <v>9.1</v>
      </c>
      <c r="I23" s="82">
        <v>7.6</v>
      </c>
      <c r="J23" s="63">
        <v>0.04</v>
      </c>
      <c r="K23" s="82">
        <v>1.5</v>
      </c>
      <c r="L23" s="64">
        <v>5</v>
      </c>
      <c r="M23" s="82">
        <v>2.3</v>
      </c>
      <c r="N23" s="191">
        <v>0.17</v>
      </c>
      <c r="O23" s="191">
        <v>0.37</v>
      </c>
      <c r="P23" s="203">
        <v>0.0027</v>
      </c>
    </row>
    <row r="24" spans="1:16" ht="15" customHeight="1">
      <c r="A24" s="836"/>
      <c r="B24" s="33" t="s">
        <v>80</v>
      </c>
      <c r="C24" s="595" t="s">
        <v>190</v>
      </c>
      <c r="D24" s="595" t="s">
        <v>191</v>
      </c>
      <c r="E24" s="83">
        <v>7.2</v>
      </c>
      <c r="F24" s="71">
        <v>0.5</v>
      </c>
      <c r="G24" s="83">
        <v>3.4</v>
      </c>
      <c r="H24" s="83">
        <v>10.3</v>
      </c>
      <c r="I24" s="42">
        <v>8.2</v>
      </c>
      <c r="J24" s="72">
        <v>0.05</v>
      </c>
      <c r="K24" s="42">
        <v>1.6</v>
      </c>
      <c r="L24" s="74">
        <v>5</v>
      </c>
      <c r="M24" s="42">
        <v>2.6</v>
      </c>
      <c r="N24" s="192">
        <v>0.2</v>
      </c>
      <c r="O24" s="192">
        <v>0.39</v>
      </c>
      <c r="P24" s="91" t="s">
        <v>1</v>
      </c>
    </row>
    <row r="25" spans="1:16" ht="15" customHeight="1">
      <c r="A25" s="836"/>
      <c r="B25" s="33" t="s">
        <v>108</v>
      </c>
      <c r="C25" s="595" t="s">
        <v>192</v>
      </c>
      <c r="D25" s="595" t="s">
        <v>193</v>
      </c>
      <c r="E25" s="83">
        <v>7.4</v>
      </c>
      <c r="F25" s="71">
        <v>0.6</v>
      </c>
      <c r="G25" s="83">
        <v>3.1</v>
      </c>
      <c r="H25" s="83">
        <v>10.2</v>
      </c>
      <c r="I25" s="42">
        <v>8.1</v>
      </c>
      <c r="J25" s="72">
        <v>0.05</v>
      </c>
      <c r="K25" s="42">
        <v>2.1</v>
      </c>
      <c r="L25" s="74">
        <v>4</v>
      </c>
      <c r="M25" s="42">
        <v>2.4</v>
      </c>
      <c r="N25" s="192">
        <v>0.15</v>
      </c>
      <c r="O25" s="192">
        <v>0.3</v>
      </c>
      <c r="P25" s="70" t="s">
        <v>1</v>
      </c>
    </row>
    <row r="26" spans="1:16" ht="15" customHeight="1">
      <c r="A26" s="836"/>
      <c r="B26" s="33" t="s">
        <v>81</v>
      </c>
      <c r="C26" s="595" t="s">
        <v>194</v>
      </c>
      <c r="D26" s="595" t="s">
        <v>195</v>
      </c>
      <c r="E26" s="83">
        <v>7.2</v>
      </c>
      <c r="F26" s="71">
        <v>1.3</v>
      </c>
      <c r="G26" s="83">
        <v>3.3</v>
      </c>
      <c r="H26" s="83">
        <v>8.8</v>
      </c>
      <c r="I26" s="42">
        <v>10.9</v>
      </c>
      <c r="J26" s="72">
        <v>0.06</v>
      </c>
      <c r="K26" s="42">
        <v>1.8</v>
      </c>
      <c r="L26" s="74">
        <v>4</v>
      </c>
      <c r="M26" s="42">
        <v>2.2</v>
      </c>
      <c r="N26" s="192">
        <v>0.12</v>
      </c>
      <c r="O26" s="192">
        <v>0.24</v>
      </c>
      <c r="P26" s="70" t="s">
        <v>35</v>
      </c>
    </row>
    <row r="27" spans="1:16" ht="15" customHeight="1">
      <c r="A27" s="836"/>
      <c r="B27" s="33" t="s">
        <v>82</v>
      </c>
      <c r="C27" s="595" t="s">
        <v>196</v>
      </c>
      <c r="D27" s="595" t="s">
        <v>197</v>
      </c>
      <c r="E27" s="83">
        <v>7.8</v>
      </c>
      <c r="F27" s="71">
        <v>0.6</v>
      </c>
      <c r="G27" s="83">
        <v>3.3</v>
      </c>
      <c r="H27" s="83">
        <v>9.8</v>
      </c>
      <c r="I27" s="42">
        <v>8.9</v>
      </c>
      <c r="J27" s="72">
        <v>0.05</v>
      </c>
      <c r="K27" s="42">
        <v>1.4</v>
      </c>
      <c r="L27" s="74">
        <v>3</v>
      </c>
      <c r="M27" s="42">
        <v>1.8</v>
      </c>
      <c r="N27" s="193">
        <v>0.089</v>
      </c>
      <c r="O27" s="192">
        <v>0.18</v>
      </c>
      <c r="P27" s="70" t="s">
        <v>1</v>
      </c>
    </row>
    <row r="28" spans="1:16" ht="15" customHeight="1">
      <c r="A28" s="837"/>
      <c r="B28" s="34" t="s">
        <v>83</v>
      </c>
      <c r="C28" s="596" t="s">
        <v>198</v>
      </c>
      <c r="D28" s="596" t="s">
        <v>199</v>
      </c>
      <c r="E28" s="85">
        <v>7.5</v>
      </c>
      <c r="F28" s="71">
        <v>0.6</v>
      </c>
      <c r="G28" s="85">
        <v>3.5</v>
      </c>
      <c r="H28" s="85">
        <v>9.9</v>
      </c>
      <c r="I28" s="87">
        <v>7.8</v>
      </c>
      <c r="J28" s="76">
        <v>0.04</v>
      </c>
      <c r="K28" s="87">
        <v>1.6</v>
      </c>
      <c r="L28" s="78">
        <v>3</v>
      </c>
      <c r="M28" s="87">
        <v>2.1</v>
      </c>
      <c r="N28" s="194">
        <v>0.16</v>
      </c>
      <c r="O28" s="194">
        <v>0.32</v>
      </c>
      <c r="P28" s="80" t="s">
        <v>1</v>
      </c>
    </row>
    <row r="29" spans="1:16" ht="15" customHeight="1" outlineLevel="1">
      <c r="A29" s="841" t="s">
        <v>41</v>
      </c>
      <c r="B29" s="38" t="s">
        <v>84</v>
      </c>
      <c r="C29" s="598" t="s">
        <v>200</v>
      </c>
      <c r="D29" s="598" t="s">
        <v>201</v>
      </c>
      <c r="E29" s="62">
        <v>7.2</v>
      </c>
      <c r="F29" s="89">
        <v>0.7</v>
      </c>
      <c r="G29" s="62">
        <v>2.8</v>
      </c>
      <c r="H29" s="62">
        <v>9.1</v>
      </c>
      <c r="I29" s="40">
        <v>6.5</v>
      </c>
      <c r="J29" s="63">
        <v>0.04</v>
      </c>
      <c r="K29" s="40">
        <v>1.4</v>
      </c>
      <c r="L29" s="64">
        <v>2</v>
      </c>
      <c r="M29" s="40">
        <v>0.7</v>
      </c>
      <c r="N29" s="191">
        <v>0.26</v>
      </c>
      <c r="O29" s="191">
        <v>0.53</v>
      </c>
      <c r="P29" s="206" t="s">
        <v>35</v>
      </c>
    </row>
    <row r="30" spans="1:16" ht="15" customHeight="1" outlineLevel="1">
      <c r="A30" s="836"/>
      <c r="B30" s="33" t="s">
        <v>85</v>
      </c>
      <c r="C30" s="601" t="s">
        <v>202</v>
      </c>
      <c r="D30" s="601" t="s">
        <v>203</v>
      </c>
      <c r="E30" s="71">
        <v>7</v>
      </c>
      <c r="F30" s="71">
        <v>0.5</v>
      </c>
      <c r="G30" s="71">
        <v>2.9</v>
      </c>
      <c r="H30" s="71">
        <v>8.3</v>
      </c>
      <c r="I30" s="73">
        <v>7.5</v>
      </c>
      <c r="J30" s="72">
        <v>0.04</v>
      </c>
      <c r="K30" s="73">
        <v>1.3</v>
      </c>
      <c r="L30" s="74">
        <v>2</v>
      </c>
      <c r="M30" s="73">
        <v>0.7</v>
      </c>
      <c r="N30" s="192">
        <v>0.22</v>
      </c>
      <c r="O30" s="192">
        <v>0.44</v>
      </c>
      <c r="P30" s="207">
        <v>0.0051</v>
      </c>
    </row>
    <row r="31" spans="1:16" ht="15" customHeight="1" outlineLevel="1">
      <c r="A31" s="836"/>
      <c r="B31" s="33" t="s">
        <v>86</v>
      </c>
      <c r="C31" s="601" t="s">
        <v>204</v>
      </c>
      <c r="D31" s="601" t="s">
        <v>205</v>
      </c>
      <c r="E31" s="71">
        <v>7.3</v>
      </c>
      <c r="F31" s="71">
        <v>0.8</v>
      </c>
      <c r="G31" s="71">
        <v>3</v>
      </c>
      <c r="H31" s="71">
        <v>8.6</v>
      </c>
      <c r="I31" s="73">
        <v>7.6</v>
      </c>
      <c r="J31" s="72">
        <v>0.04</v>
      </c>
      <c r="K31" s="73">
        <v>1.3</v>
      </c>
      <c r="L31" s="74">
        <v>3</v>
      </c>
      <c r="M31" s="73">
        <v>1.4</v>
      </c>
      <c r="N31" s="192">
        <v>0.31</v>
      </c>
      <c r="O31" s="192">
        <v>0.64</v>
      </c>
      <c r="P31" s="91" t="s">
        <v>35</v>
      </c>
    </row>
    <row r="32" spans="1:16" ht="15" customHeight="1" outlineLevel="1">
      <c r="A32" s="836"/>
      <c r="B32" s="33" t="s">
        <v>87</v>
      </c>
      <c r="C32" s="601" t="s">
        <v>206</v>
      </c>
      <c r="D32" s="601" t="s">
        <v>207</v>
      </c>
      <c r="E32" s="71">
        <v>6.6</v>
      </c>
      <c r="F32" s="71" t="s">
        <v>51</v>
      </c>
      <c r="G32" s="71">
        <v>1.4</v>
      </c>
      <c r="H32" s="71">
        <v>9</v>
      </c>
      <c r="I32" s="73">
        <v>8.1</v>
      </c>
      <c r="J32" s="72">
        <v>0.05</v>
      </c>
      <c r="K32" s="73">
        <v>0.6</v>
      </c>
      <c r="L32" s="74" t="s">
        <v>2</v>
      </c>
      <c r="M32" s="73">
        <v>0.5</v>
      </c>
      <c r="N32" s="193">
        <v>0.083</v>
      </c>
      <c r="O32" s="192">
        <v>0.17</v>
      </c>
      <c r="P32" s="70" t="s">
        <v>35</v>
      </c>
    </row>
    <row r="33" spans="1:16" ht="15" customHeight="1" outlineLevel="1">
      <c r="A33" s="836"/>
      <c r="B33" s="33" t="s">
        <v>88</v>
      </c>
      <c r="C33" s="601" t="s">
        <v>208</v>
      </c>
      <c r="D33" s="601" t="s">
        <v>209</v>
      </c>
      <c r="E33" s="71">
        <v>6.9</v>
      </c>
      <c r="F33" s="71">
        <v>0.7</v>
      </c>
      <c r="G33" s="71">
        <v>2.9</v>
      </c>
      <c r="H33" s="71">
        <v>9.1</v>
      </c>
      <c r="I33" s="73">
        <v>9.3</v>
      </c>
      <c r="J33" s="72">
        <v>0.05</v>
      </c>
      <c r="K33" s="73">
        <v>1</v>
      </c>
      <c r="L33" s="74">
        <v>4</v>
      </c>
      <c r="M33" s="73">
        <v>1.8</v>
      </c>
      <c r="N33" s="192">
        <v>0.13</v>
      </c>
      <c r="O33" s="192">
        <v>0.28</v>
      </c>
      <c r="P33" s="70" t="s">
        <v>35</v>
      </c>
    </row>
    <row r="34" spans="1:16" ht="15" customHeight="1" outlineLevel="1">
      <c r="A34" s="837"/>
      <c r="B34" s="34" t="s">
        <v>109</v>
      </c>
      <c r="C34" s="599" t="s">
        <v>210</v>
      </c>
      <c r="D34" s="599" t="s">
        <v>211</v>
      </c>
      <c r="E34" s="75">
        <v>6.9</v>
      </c>
      <c r="F34" s="75">
        <v>0.9</v>
      </c>
      <c r="G34" s="75">
        <v>4.9</v>
      </c>
      <c r="H34" s="75">
        <v>7.9</v>
      </c>
      <c r="I34" s="316">
        <v>199</v>
      </c>
      <c r="J34" s="76">
        <v>1.07</v>
      </c>
      <c r="K34" s="77">
        <v>2.2</v>
      </c>
      <c r="L34" s="78">
        <v>6</v>
      </c>
      <c r="M34" s="77">
        <v>3.5</v>
      </c>
      <c r="N34" s="194">
        <v>0.14</v>
      </c>
      <c r="O34" s="194">
        <v>0.28</v>
      </c>
      <c r="P34" s="80" t="s">
        <v>35</v>
      </c>
    </row>
    <row r="35" spans="1:16" ht="15" customHeight="1">
      <c r="A35" s="842" t="s">
        <v>138</v>
      </c>
      <c r="B35" s="30" t="s">
        <v>121</v>
      </c>
      <c r="C35" s="830" t="s">
        <v>212</v>
      </c>
      <c r="D35" s="830" t="s">
        <v>213</v>
      </c>
      <c r="E35" s="81">
        <v>7.7</v>
      </c>
      <c r="F35" s="62">
        <v>1</v>
      </c>
      <c r="G35" s="81">
        <v>6.1</v>
      </c>
      <c r="H35" s="81">
        <v>9.2</v>
      </c>
      <c r="I35" s="82">
        <v>7.8</v>
      </c>
      <c r="J35" s="99">
        <v>0.05</v>
      </c>
      <c r="K35" s="82">
        <v>1.9</v>
      </c>
      <c r="L35" s="100">
        <v>5</v>
      </c>
      <c r="M35" s="82">
        <v>4.1</v>
      </c>
      <c r="N35" s="195">
        <v>0.038</v>
      </c>
      <c r="O35" s="195">
        <v>0.08</v>
      </c>
      <c r="P35" s="206" t="s">
        <v>35</v>
      </c>
    </row>
    <row r="36" spans="1:16" ht="15" customHeight="1">
      <c r="A36" s="836"/>
      <c r="B36" s="38" t="s">
        <v>122</v>
      </c>
      <c r="C36" s="838"/>
      <c r="D36" s="838"/>
      <c r="E36" s="83">
        <v>8.3</v>
      </c>
      <c r="F36" s="71">
        <v>1.3</v>
      </c>
      <c r="G36" s="83">
        <v>6.3</v>
      </c>
      <c r="H36" s="83">
        <v>9.8</v>
      </c>
      <c r="I36" s="42">
        <v>8</v>
      </c>
      <c r="J36" s="84">
        <v>0.04</v>
      </c>
      <c r="K36" s="42">
        <v>2.1</v>
      </c>
      <c r="L36" s="92">
        <v>6</v>
      </c>
      <c r="M36" s="42">
        <v>4.5</v>
      </c>
      <c r="N36" s="193">
        <v>0.039</v>
      </c>
      <c r="O36" s="193">
        <v>0.08</v>
      </c>
      <c r="P36" s="208">
        <v>0.0017</v>
      </c>
    </row>
    <row r="37" spans="1:16" ht="15" customHeight="1">
      <c r="A37" s="836"/>
      <c r="B37" s="33" t="s">
        <v>124</v>
      </c>
      <c r="C37" s="839" t="s">
        <v>214</v>
      </c>
      <c r="D37" s="839" t="s">
        <v>215</v>
      </c>
      <c r="E37" s="71">
        <v>8.8</v>
      </c>
      <c r="F37" s="71">
        <v>0.8</v>
      </c>
      <c r="G37" s="71">
        <v>5.8</v>
      </c>
      <c r="H37" s="71">
        <v>10.2</v>
      </c>
      <c r="I37" s="73">
        <v>7.6</v>
      </c>
      <c r="J37" s="72">
        <v>0.04</v>
      </c>
      <c r="K37" s="73">
        <v>2.3</v>
      </c>
      <c r="L37" s="74">
        <v>4</v>
      </c>
      <c r="M37" s="73">
        <v>3.3</v>
      </c>
      <c r="N37" s="193">
        <v>0.027</v>
      </c>
      <c r="O37" s="193">
        <v>0.057</v>
      </c>
      <c r="P37" s="91" t="s">
        <v>1</v>
      </c>
    </row>
    <row r="38" spans="1:16" ht="15" customHeight="1">
      <c r="A38" s="836"/>
      <c r="B38" s="33" t="s">
        <v>123</v>
      </c>
      <c r="C38" s="840"/>
      <c r="D38" s="840"/>
      <c r="E38" s="71">
        <v>8.7</v>
      </c>
      <c r="F38" s="71">
        <v>1.1</v>
      </c>
      <c r="G38" s="71">
        <v>5.6</v>
      </c>
      <c r="H38" s="71">
        <v>10.1</v>
      </c>
      <c r="I38" s="73">
        <v>7.7</v>
      </c>
      <c r="J38" s="72">
        <v>0.04</v>
      </c>
      <c r="K38" s="73">
        <v>2</v>
      </c>
      <c r="L38" s="74">
        <v>4</v>
      </c>
      <c r="M38" s="73">
        <v>3.7</v>
      </c>
      <c r="N38" s="193">
        <v>0.033</v>
      </c>
      <c r="O38" s="193">
        <v>0.07</v>
      </c>
      <c r="P38" s="70" t="s">
        <v>1</v>
      </c>
    </row>
    <row r="39" spans="1:16" ht="15" customHeight="1">
      <c r="A39" s="836"/>
      <c r="B39" s="33" t="s">
        <v>125</v>
      </c>
      <c r="C39" s="839" t="s">
        <v>216</v>
      </c>
      <c r="D39" s="839" t="s">
        <v>217</v>
      </c>
      <c r="E39" s="93">
        <v>8.8</v>
      </c>
      <c r="F39" s="93">
        <v>1</v>
      </c>
      <c r="G39" s="93">
        <v>5.9</v>
      </c>
      <c r="H39" s="93">
        <v>8.5</v>
      </c>
      <c r="I39" s="95">
        <v>7.6</v>
      </c>
      <c r="J39" s="94">
        <v>0.05</v>
      </c>
      <c r="K39" s="95">
        <v>2.2</v>
      </c>
      <c r="L39" s="96">
        <v>5</v>
      </c>
      <c r="M39" s="95">
        <v>3.7</v>
      </c>
      <c r="N39" s="197">
        <v>0.031</v>
      </c>
      <c r="O39" s="197">
        <v>0.069</v>
      </c>
      <c r="P39" s="97" t="s">
        <v>1</v>
      </c>
    </row>
    <row r="40" spans="1:16" ht="15" customHeight="1">
      <c r="A40" s="837"/>
      <c r="B40" s="34" t="s">
        <v>126</v>
      </c>
      <c r="C40" s="831"/>
      <c r="D40" s="831"/>
      <c r="E40" s="75">
        <v>8.8</v>
      </c>
      <c r="F40" s="75">
        <v>0.9</v>
      </c>
      <c r="G40" s="75">
        <v>5.8</v>
      </c>
      <c r="H40" s="75">
        <v>9.3</v>
      </c>
      <c r="I40" s="77">
        <v>7.6</v>
      </c>
      <c r="J40" s="76">
        <v>0.04</v>
      </c>
      <c r="K40" s="77">
        <v>1.9</v>
      </c>
      <c r="L40" s="78">
        <v>4</v>
      </c>
      <c r="M40" s="77">
        <v>3.6</v>
      </c>
      <c r="N40" s="196">
        <v>0.029</v>
      </c>
      <c r="O40" s="196">
        <v>0.059</v>
      </c>
      <c r="P40" s="80" t="s">
        <v>1</v>
      </c>
    </row>
    <row r="41" spans="1:16" ht="15" customHeight="1">
      <c r="A41" s="835" t="s">
        <v>43</v>
      </c>
      <c r="B41" s="30" t="s">
        <v>110</v>
      </c>
      <c r="C41" s="830" t="s">
        <v>218</v>
      </c>
      <c r="D41" s="830" t="s">
        <v>219</v>
      </c>
      <c r="E41" s="62">
        <v>7.3</v>
      </c>
      <c r="F41" s="62">
        <v>0.8</v>
      </c>
      <c r="G41" s="62">
        <v>3.6</v>
      </c>
      <c r="H41" s="62">
        <v>8.7</v>
      </c>
      <c r="I41" s="40">
        <v>4.7</v>
      </c>
      <c r="J41" s="63">
        <v>0.03</v>
      </c>
      <c r="K41" s="40">
        <v>1.7</v>
      </c>
      <c r="L41" s="64">
        <v>2</v>
      </c>
      <c r="M41" s="40">
        <v>1.5</v>
      </c>
      <c r="N41" s="198">
        <v>0.0083</v>
      </c>
      <c r="O41" s="195">
        <v>0.019</v>
      </c>
      <c r="P41" s="90" t="s">
        <v>1</v>
      </c>
    </row>
    <row r="42" spans="1:16" ht="15" customHeight="1">
      <c r="A42" s="836"/>
      <c r="B42" s="38" t="s">
        <v>111</v>
      </c>
      <c r="C42" s="838"/>
      <c r="D42" s="838"/>
      <c r="E42" s="65">
        <v>6.9</v>
      </c>
      <c r="F42" s="65">
        <v>0.7</v>
      </c>
      <c r="G42" s="65">
        <v>3.2</v>
      </c>
      <c r="H42" s="65">
        <v>8.8</v>
      </c>
      <c r="I42" s="67">
        <v>4.2</v>
      </c>
      <c r="J42" s="66">
        <v>0.03</v>
      </c>
      <c r="K42" s="67">
        <v>1.6</v>
      </c>
      <c r="L42" s="68">
        <v>1</v>
      </c>
      <c r="M42" s="67">
        <v>1.3</v>
      </c>
      <c r="N42" s="199">
        <v>0.0096</v>
      </c>
      <c r="O42" s="200">
        <v>0.017</v>
      </c>
      <c r="P42" s="91" t="s">
        <v>1</v>
      </c>
    </row>
    <row r="43" spans="1:16" ht="15" customHeight="1">
      <c r="A43" s="836"/>
      <c r="B43" s="33" t="s">
        <v>112</v>
      </c>
      <c r="C43" s="839" t="s">
        <v>220</v>
      </c>
      <c r="D43" s="839" t="s">
        <v>221</v>
      </c>
      <c r="E43" s="71">
        <v>7.3</v>
      </c>
      <c r="F43" s="71">
        <v>0.8</v>
      </c>
      <c r="G43" s="83">
        <v>3.5</v>
      </c>
      <c r="H43" s="83">
        <v>8.4</v>
      </c>
      <c r="I43" s="73">
        <v>4.8</v>
      </c>
      <c r="J43" s="84">
        <v>0.03</v>
      </c>
      <c r="K43" s="42">
        <v>2.1</v>
      </c>
      <c r="L43" s="92">
        <v>1</v>
      </c>
      <c r="M43" s="42">
        <v>1.2</v>
      </c>
      <c r="N43" s="201">
        <v>0.0079</v>
      </c>
      <c r="O43" s="193">
        <v>0.016</v>
      </c>
      <c r="P43" s="97" t="s">
        <v>1</v>
      </c>
    </row>
    <row r="44" spans="1:16" ht="15" customHeight="1">
      <c r="A44" s="836"/>
      <c r="B44" s="33" t="s">
        <v>127</v>
      </c>
      <c r="C44" s="840"/>
      <c r="D44" s="840"/>
      <c r="E44" s="71">
        <v>6.8</v>
      </c>
      <c r="F44" s="71">
        <v>0.8</v>
      </c>
      <c r="G44" s="83">
        <v>3.1</v>
      </c>
      <c r="H44" s="83">
        <v>8.2</v>
      </c>
      <c r="I44" s="73">
        <v>4.2</v>
      </c>
      <c r="J44" s="84">
        <v>0.03</v>
      </c>
      <c r="K44" s="42">
        <v>1.6</v>
      </c>
      <c r="L44" s="92">
        <v>2</v>
      </c>
      <c r="M44" s="42">
        <v>1.3</v>
      </c>
      <c r="N44" s="201">
        <v>0.0069</v>
      </c>
      <c r="O44" s="193">
        <v>0.015</v>
      </c>
      <c r="P44" s="208">
        <v>0.0017</v>
      </c>
    </row>
    <row r="45" spans="1:16" ht="15" customHeight="1">
      <c r="A45" s="836"/>
      <c r="B45" s="33" t="s">
        <v>113</v>
      </c>
      <c r="C45" s="839" t="s">
        <v>222</v>
      </c>
      <c r="D45" s="839" t="s">
        <v>223</v>
      </c>
      <c r="E45" s="93">
        <v>7.2</v>
      </c>
      <c r="F45" s="93">
        <v>1.9</v>
      </c>
      <c r="G45" s="93">
        <v>3.2</v>
      </c>
      <c r="H45" s="93">
        <v>8.2</v>
      </c>
      <c r="I45" s="95">
        <v>4.8</v>
      </c>
      <c r="J45" s="94">
        <v>0.03</v>
      </c>
      <c r="K45" s="95">
        <v>2</v>
      </c>
      <c r="L45" s="96">
        <v>2</v>
      </c>
      <c r="M45" s="95">
        <v>1.3</v>
      </c>
      <c r="N45" s="197">
        <v>0.011</v>
      </c>
      <c r="O45" s="197">
        <v>0.023</v>
      </c>
      <c r="P45" s="209" t="s">
        <v>1</v>
      </c>
    </row>
    <row r="46" spans="1:16" ht="15" customHeight="1">
      <c r="A46" s="837"/>
      <c r="B46" s="98" t="s">
        <v>114</v>
      </c>
      <c r="C46" s="831"/>
      <c r="D46" s="831"/>
      <c r="E46" s="75">
        <v>7</v>
      </c>
      <c r="F46" s="75">
        <v>0.8</v>
      </c>
      <c r="G46" s="75">
        <v>3.7</v>
      </c>
      <c r="H46" s="75">
        <v>8.2</v>
      </c>
      <c r="I46" s="77">
        <v>4.1</v>
      </c>
      <c r="J46" s="76">
        <v>0.03</v>
      </c>
      <c r="K46" s="77">
        <v>1.7</v>
      </c>
      <c r="L46" s="78">
        <v>2</v>
      </c>
      <c r="M46" s="77">
        <v>1.6</v>
      </c>
      <c r="N46" s="202">
        <v>0.0069</v>
      </c>
      <c r="O46" s="196">
        <v>0.013</v>
      </c>
      <c r="P46" s="80" t="s">
        <v>1</v>
      </c>
    </row>
    <row r="47" spans="1:16" ht="15" customHeight="1">
      <c r="A47" s="835" t="s">
        <v>44</v>
      </c>
      <c r="B47" s="30" t="s">
        <v>115</v>
      </c>
      <c r="C47" s="830" t="s">
        <v>224</v>
      </c>
      <c r="D47" s="830" t="s">
        <v>225</v>
      </c>
      <c r="E47" s="81">
        <v>7.2</v>
      </c>
      <c r="F47" s="62">
        <v>1.7</v>
      </c>
      <c r="G47" s="81">
        <v>3.7</v>
      </c>
      <c r="H47" s="81">
        <v>9.4</v>
      </c>
      <c r="I47" s="82">
        <v>12.3</v>
      </c>
      <c r="J47" s="99">
        <v>0.07</v>
      </c>
      <c r="K47" s="82">
        <v>1</v>
      </c>
      <c r="L47" s="64">
        <v>3</v>
      </c>
      <c r="M47" s="82">
        <v>2.1</v>
      </c>
      <c r="N47" s="134">
        <v>0.012</v>
      </c>
      <c r="O47" s="88">
        <v>0.026</v>
      </c>
      <c r="P47" s="206" t="s">
        <v>35</v>
      </c>
    </row>
    <row r="48" spans="1:16" ht="15" customHeight="1">
      <c r="A48" s="836"/>
      <c r="B48" s="33" t="s">
        <v>116</v>
      </c>
      <c r="C48" s="838"/>
      <c r="D48" s="838"/>
      <c r="E48" s="83">
        <v>6.5</v>
      </c>
      <c r="F48" s="71" t="s">
        <v>51</v>
      </c>
      <c r="G48" s="83">
        <v>1.8</v>
      </c>
      <c r="H48" s="83">
        <v>9.9</v>
      </c>
      <c r="I48" s="42">
        <v>12.3</v>
      </c>
      <c r="J48" s="84">
        <v>0.07</v>
      </c>
      <c r="K48" s="42">
        <v>0.5</v>
      </c>
      <c r="L48" s="92">
        <v>3</v>
      </c>
      <c r="M48" s="42">
        <v>1.1</v>
      </c>
      <c r="N48" s="135">
        <v>0.014</v>
      </c>
      <c r="O48" s="69">
        <v>0.026</v>
      </c>
      <c r="P48" s="208">
        <v>0.001</v>
      </c>
    </row>
    <row r="49" spans="1:16" ht="15" customHeight="1">
      <c r="A49" s="836"/>
      <c r="B49" s="33" t="s">
        <v>119</v>
      </c>
      <c r="C49" s="839" t="s">
        <v>227</v>
      </c>
      <c r="D49" s="839" t="s">
        <v>226</v>
      </c>
      <c r="E49" s="71">
        <v>6.9</v>
      </c>
      <c r="F49" s="71" t="s">
        <v>51</v>
      </c>
      <c r="G49" s="71">
        <v>1.6</v>
      </c>
      <c r="H49" s="71">
        <v>8.6</v>
      </c>
      <c r="I49" s="73">
        <v>11.6</v>
      </c>
      <c r="J49" s="72">
        <v>0.09</v>
      </c>
      <c r="K49" s="73">
        <v>0.6</v>
      </c>
      <c r="L49" s="74" t="s">
        <v>2</v>
      </c>
      <c r="M49" s="73">
        <v>0.7</v>
      </c>
      <c r="N49" s="821">
        <v>0.012</v>
      </c>
      <c r="O49" s="822">
        <v>0.024</v>
      </c>
      <c r="P49" s="91" t="s">
        <v>1</v>
      </c>
    </row>
    <row r="50" spans="1:16" ht="15" customHeight="1">
      <c r="A50" s="836"/>
      <c r="B50" s="33" t="s">
        <v>120</v>
      </c>
      <c r="C50" s="840"/>
      <c r="D50" s="840"/>
      <c r="E50" s="71">
        <v>6.9</v>
      </c>
      <c r="F50" s="71" t="s">
        <v>51</v>
      </c>
      <c r="G50" s="71">
        <v>2.1</v>
      </c>
      <c r="H50" s="71">
        <v>9.9</v>
      </c>
      <c r="I50" s="73">
        <v>12.4</v>
      </c>
      <c r="J50" s="72">
        <v>0.07</v>
      </c>
      <c r="K50" s="73">
        <v>0.7</v>
      </c>
      <c r="L50" s="74">
        <v>2</v>
      </c>
      <c r="M50" s="73">
        <v>1.2</v>
      </c>
      <c r="N50" s="821">
        <v>0.013</v>
      </c>
      <c r="O50" s="822">
        <v>0.028</v>
      </c>
      <c r="P50" s="70" t="s">
        <v>1</v>
      </c>
    </row>
    <row r="51" spans="1:16" ht="15" customHeight="1">
      <c r="A51" s="836"/>
      <c r="B51" s="38" t="s">
        <v>117</v>
      </c>
      <c r="C51" s="839" t="s">
        <v>229</v>
      </c>
      <c r="D51" s="839" t="s">
        <v>228</v>
      </c>
      <c r="E51" s="65">
        <v>6.9</v>
      </c>
      <c r="F51" s="65" t="s">
        <v>51</v>
      </c>
      <c r="G51" s="65">
        <v>1.5</v>
      </c>
      <c r="H51" s="65">
        <v>9.1</v>
      </c>
      <c r="I51" s="67">
        <v>11.8</v>
      </c>
      <c r="J51" s="66">
        <v>0.06</v>
      </c>
      <c r="K51" s="67">
        <v>0.5</v>
      </c>
      <c r="L51" s="68" t="s">
        <v>2</v>
      </c>
      <c r="M51" s="67">
        <v>0.5</v>
      </c>
      <c r="N51" s="823">
        <v>0.019</v>
      </c>
      <c r="O51" s="824">
        <v>0.041</v>
      </c>
      <c r="P51" s="91" t="s">
        <v>1</v>
      </c>
    </row>
    <row r="52" spans="1:16" ht="15" customHeight="1">
      <c r="A52" s="837"/>
      <c r="B52" s="34" t="s">
        <v>118</v>
      </c>
      <c r="C52" s="834"/>
      <c r="D52" s="834"/>
      <c r="E52" s="75">
        <v>6.8</v>
      </c>
      <c r="F52" s="75" t="s">
        <v>51</v>
      </c>
      <c r="G52" s="75">
        <v>2</v>
      </c>
      <c r="H52" s="75">
        <v>9.5</v>
      </c>
      <c r="I52" s="77">
        <v>11.6</v>
      </c>
      <c r="J52" s="76">
        <v>0.06</v>
      </c>
      <c r="K52" s="77">
        <v>0.5</v>
      </c>
      <c r="L52" s="78" t="s">
        <v>2</v>
      </c>
      <c r="M52" s="77">
        <v>0.8</v>
      </c>
      <c r="N52" s="825">
        <v>0.015</v>
      </c>
      <c r="O52" s="826">
        <v>0.032</v>
      </c>
      <c r="P52" s="80" t="s">
        <v>1</v>
      </c>
    </row>
    <row r="53" spans="1:16" ht="15" customHeight="1">
      <c r="A53" s="828" t="s">
        <v>141</v>
      </c>
      <c r="B53" s="38" t="s">
        <v>143</v>
      </c>
      <c r="C53" s="830" t="s">
        <v>230</v>
      </c>
      <c r="D53" s="830" t="s">
        <v>231</v>
      </c>
      <c r="E53" s="174">
        <v>8.4</v>
      </c>
      <c r="F53" s="65">
        <v>1.8</v>
      </c>
      <c r="G53" s="174">
        <v>2.1</v>
      </c>
      <c r="H53" s="174">
        <v>9.7</v>
      </c>
      <c r="I53" s="175">
        <v>4060</v>
      </c>
      <c r="J53" s="176">
        <v>26.42</v>
      </c>
      <c r="K53" s="143">
        <v>2.3</v>
      </c>
      <c r="L53" s="177">
        <v>6</v>
      </c>
      <c r="M53" s="143">
        <v>4.7</v>
      </c>
      <c r="N53" s="201">
        <v>0.0073</v>
      </c>
      <c r="O53" s="193">
        <v>0.016</v>
      </c>
      <c r="P53" s="209" t="s">
        <v>1</v>
      </c>
    </row>
    <row r="54" spans="1:16" ht="15" customHeight="1">
      <c r="A54" s="829"/>
      <c r="B54" s="34" t="s">
        <v>144</v>
      </c>
      <c r="C54" s="831"/>
      <c r="D54" s="831"/>
      <c r="E54" s="85">
        <v>8.1</v>
      </c>
      <c r="F54" s="75">
        <v>0.7</v>
      </c>
      <c r="G54" s="85">
        <v>1.4</v>
      </c>
      <c r="H54" s="85">
        <v>7.8</v>
      </c>
      <c r="I54" s="144">
        <v>5040</v>
      </c>
      <c r="J54" s="86">
        <v>32.35</v>
      </c>
      <c r="K54" s="87">
        <v>1.2</v>
      </c>
      <c r="L54" s="101">
        <v>2</v>
      </c>
      <c r="M54" s="87">
        <v>1.1</v>
      </c>
      <c r="N54" s="197">
        <v>0.017</v>
      </c>
      <c r="O54" s="197">
        <v>0.035</v>
      </c>
      <c r="P54" s="211">
        <v>0.0021</v>
      </c>
    </row>
    <row r="55" spans="1:16" ht="15" customHeight="1">
      <c r="A55" s="828" t="s">
        <v>140</v>
      </c>
      <c r="B55" s="38" t="s">
        <v>97</v>
      </c>
      <c r="C55" s="598" t="s">
        <v>232</v>
      </c>
      <c r="D55" s="602" t="s">
        <v>233</v>
      </c>
      <c r="E55" s="174">
        <v>8.1</v>
      </c>
      <c r="F55" s="65">
        <v>1</v>
      </c>
      <c r="G55" s="174">
        <v>1.8</v>
      </c>
      <c r="H55" s="174">
        <v>7.6</v>
      </c>
      <c r="I55" s="175">
        <v>4130</v>
      </c>
      <c r="J55" s="176">
        <v>25.5</v>
      </c>
      <c r="K55" s="143">
        <v>2</v>
      </c>
      <c r="L55" s="177">
        <v>1</v>
      </c>
      <c r="M55" s="143">
        <v>0.9</v>
      </c>
      <c r="N55" s="134">
        <v>0.016</v>
      </c>
      <c r="O55" s="88">
        <v>0.035</v>
      </c>
      <c r="P55" s="178">
        <v>0.0017</v>
      </c>
    </row>
    <row r="56" spans="1:16" ht="15" customHeight="1">
      <c r="A56" s="829"/>
      <c r="B56" s="34" t="s">
        <v>98</v>
      </c>
      <c r="C56" s="604" t="s">
        <v>234</v>
      </c>
      <c r="D56" s="603" t="s">
        <v>235</v>
      </c>
      <c r="E56" s="85">
        <v>8.1</v>
      </c>
      <c r="F56" s="75">
        <v>1.4</v>
      </c>
      <c r="G56" s="85">
        <v>1.9</v>
      </c>
      <c r="H56" s="85">
        <v>7.6</v>
      </c>
      <c r="I56" s="144">
        <v>4060</v>
      </c>
      <c r="J56" s="86">
        <v>25.01</v>
      </c>
      <c r="K56" s="87">
        <v>1.9</v>
      </c>
      <c r="L56" s="78" t="s">
        <v>2</v>
      </c>
      <c r="M56" s="87">
        <v>0.6</v>
      </c>
      <c r="N56" s="136">
        <v>0.022</v>
      </c>
      <c r="O56" s="79">
        <v>0.044</v>
      </c>
      <c r="P56" s="80" t="s">
        <v>35</v>
      </c>
    </row>
    <row r="57" spans="1:16" ht="15" customHeight="1">
      <c r="A57" s="832" t="s">
        <v>139</v>
      </c>
      <c r="B57" s="30" t="s">
        <v>145</v>
      </c>
      <c r="C57" s="830" t="s">
        <v>236</v>
      </c>
      <c r="D57" s="830" t="s">
        <v>237</v>
      </c>
      <c r="E57" s="81">
        <v>8.1</v>
      </c>
      <c r="F57" s="62" t="s">
        <v>51</v>
      </c>
      <c r="G57" s="81">
        <v>1.3</v>
      </c>
      <c r="H57" s="81">
        <v>8.6</v>
      </c>
      <c r="I57" s="179">
        <v>5050</v>
      </c>
      <c r="J57" s="99">
        <v>32.47</v>
      </c>
      <c r="K57" s="82">
        <v>1.3</v>
      </c>
      <c r="L57" s="64">
        <v>1</v>
      </c>
      <c r="M57" s="82">
        <v>0.8</v>
      </c>
      <c r="N57" s="180">
        <v>0.0023</v>
      </c>
      <c r="O57" s="201">
        <v>0.0059</v>
      </c>
      <c r="P57" s="97" t="s">
        <v>1</v>
      </c>
    </row>
    <row r="58" spans="1:16" ht="15" customHeight="1">
      <c r="A58" s="833"/>
      <c r="B58" s="98" t="s">
        <v>146</v>
      </c>
      <c r="C58" s="834"/>
      <c r="D58" s="834"/>
      <c r="E58" s="85">
        <v>8.1</v>
      </c>
      <c r="F58" s="75" t="s">
        <v>51</v>
      </c>
      <c r="G58" s="85">
        <v>1</v>
      </c>
      <c r="H58" s="85">
        <v>8.7</v>
      </c>
      <c r="I58" s="144">
        <v>5310</v>
      </c>
      <c r="J58" s="86">
        <v>33.56</v>
      </c>
      <c r="K58" s="87">
        <v>1.1</v>
      </c>
      <c r="L58" s="78" t="s">
        <v>2</v>
      </c>
      <c r="M58" s="87">
        <v>0.3</v>
      </c>
      <c r="N58" s="315">
        <v>0.0058</v>
      </c>
      <c r="O58" s="196">
        <v>0.013</v>
      </c>
      <c r="P58" s="210">
        <v>0.001</v>
      </c>
    </row>
    <row r="59" spans="1:13" ht="15" customHeight="1">
      <c r="A59" s="132"/>
      <c r="E59" s="102"/>
      <c r="F59" s="102"/>
      <c r="G59" s="102"/>
      <c r="H59" s="102"/>
      <c r="I59" s="102"/>
      <c r="J59" s="102"/>
      <c r="K59" s="102"/>
      <c r="L59" s="102"/>
      <c r="M59" s="102"/>
    </row>
    <row r="60" spans="5:13" ht="15" customHeight="1">
      <c r="E60" s="104"/>
      <c r="F60" s="104"/>
      <c r="G60" s="104"/>
      <c r="H60" s="104"/>
      <c r="I60" s="104"/>
      <c r="J60" s="104"/>
      <c r="K60" s="104"/>
      <c r="L60" s="104"/>
      <c r="M60" s="104"/>
    </row>
    <row r="61" spans="5:13" ht="15" customHeight="1">
      <c r="E61" s="104"/>
      <c r="F61" s="104"/>
      <c r="G61" s="104"/>
      <c r="H61" s="104"/>
      <c r="I61" s="104"/>
      <c r="J61" s="104"/>
      <c r="K61" s="104"/>
      <c r="L61" s="104"/>
      <c r="M61" s="104"/>
    </row>
    <row r="62" spans="5:13" ht="15" customHeight="1">
      <c r="E62" s="104"/>
      <c r="F62" s="104"/>
      <c r="G62" s="104"/>
      <c r="H62" s="104"/>
      <c r="I62" s="104"/>
      <c r="J62" s="104"/>
      <c r="K62" s="104"/>
      <c r="L62" s="104"/>
      <c r="M62" s="104"/>
    </row>
    <row r="63" spans="5:13" ht="15" customHeight="1">
      <c r="E63" s="104"/>
      <c r="F63" s="104"/>
      <c r="G63" s="104"/>
      <c r="H63" s="104"/>
      <c r="I63" s="104"/>
      <c r="J63" s="104"/>
      <c r="K63" s="104"/>
      <c r="L63" s="104"/>
      <c r="M63" s="104"/>
    </row>
    <row r="64" spans="5:13" ht="15" customHeight="1">
      <c r="E64" s="104"/>
      <c r="F64" s="104"/>
      <c r="G64" s="104"/>
      <c r="H64" s="104"/>
      <c r="I64" s="104"/>
      <c r="J64" s="104"/>
      <c r="K64" s="104"/>
      <c r="L64" s="104"/>
      <c r="M64" s="104"/>
    </row>
    <row r="65" spans="5:13" ht="15" customHeight="1">
      <c r="E65" s="104"/>
      <c r="F65" s="104"/>
      <c r="G65" s="104"/>
      <c r="H65" s="104"/>
      <c r="I65" s="104"/>
      <c r="J65" s="104"/>
      <c r="K65" s="104"/>
      <c r="L65" s="104"/>
      <c r="M65" s="104"/>
    </row>
  </sheetData>
  <sheetProtection/>
  <mergeCells count="41">
    <mergeCell ref="A2:D2"/>
    <mergeCell ref="E2:P2"/>
    <mergeCell ref="C3:C4"/>
    <mergeCell ref="D3:D4"/>
    <mergeCell ref="E3:E4"/>
    <mergeCell ref="J3:J4"/>
    <mergeCell ref="A5:A10"/>
    <mergeCell ref="C5:C6"/>
    <mergeCell ref="D5:D6"/>
    <mergeCell ref="A11:A16"/>
    <mergeCell ref="A17:A22"/>
    <mergeCell ref="A23:A28"/>
    <mergeCell ref="A29:A34"/>
    <mergeCell ref="A35:A40"/>
    <mergeCell ref="C35:C36"/>
    <mergeCell ref="D35:D36"/>
    <mergeCell ref="C37:C38"/>
    <mergeCell ref="D37:D38"/>
    <mergeCell ref="C39:C40"/>
    <mergeCell ref="D39:D40"/>
    <mergeCell ref="A41:A46"/>
    <mergeCell ref="C41:C42"/>
    <mergeCell ref="D41:D42"/>
    <mergeCell ref="C43:C44"/>
    <mergeCell ref="D43:D44"/>
    <mergeCell ref="C45:C46"/>
    <mergeCell ref="D45:D46"/>
    <mergeCell ref="A47:A52"/>
    <mergeCell ref="C47:C48"/>
    <mergeCell ref="D47:D48"/>
    <mergeCell ref="C49:C50"/>
    <mergeCell ref="D49:D50"/>
    <mergeCell ref="C51:C52"/>
    <mergeCell ref="D51:D52"/>
    <mergeCell ref="A53:A54"/>
    <mergeCell ref="C53:C54"/>
    <mergeCell ref="D53:D54"/>
    <mergeCell ref="A55:A56"/>
    <mergeCell ref="A57:A58"/>
    <mergeCell ref="C57:C58"/>
    <mergeCell ref="D57:D58"/>
  </mergeCells>
  <conditionalFormatting sqref="E5:M58">
    <cfRule type="expression" priority="1" dxfId="0" stopIfTrue="1">
      <formula>LEN(TRIM(E5))=0</formula>
    </cfRule>
  </conditionalFormatting>
  <printOptions/>
  <pageMargins left="0.9055118110236221" right="0.5905511811023623" top="0.3937007874015748" bottom="0.3937007874015748" header="0.3937007874015748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9"/>
  <sheetViews>
    <sheetView view="pageBreakPreview" zoomScaleSheetLayoutView="100" zoomScalePageLayoutView="0" workbookViewId="0" topLeftCell="A13">
      <selection activeCell="H9" sqref="H9"/>
    </sheetView>
  </sheetViews>
  <sheetFormatPr defaultColWidth="9.00390625" defaultRowHeight="13.5"/>
  <cols>
    <col min="1" max="1" width="15.625" style="126" customWidth="1"/>
    <col min="2" max="2" width="8.125" style="54" customWidth="1"/>
    <col min="3" max="3" width="11.625" style="49" customWidth="1"/>
    <col min="4" max="4" width="11.625" style="164" customWidth="1"/>
    <col min="5" max="5" width="7.375" style="172" customWidth="1"/>
    <col min="6" max="6" width="10.625" style="166" customWidth="1"/>
    <col min="7" max="8" width="7.375" style="3" customWidth="1"/>
    <col min="9" max="16" width="11.00390625" style="50" customWidth="1"/>
    <col min="17" max="17" width="11.625" style="50" customWidth="1"/>
    <col min="18" max="18" width="11.125" style="50" customWidth="1"/>
    <col min="19" max="19" width="10.625" style="167" customWidth="1"/>
    <col min="20" max="21" width="10.625" style="0" customWidth="1"/>
  </cols>
  <sheetData>
    <row r="1" spans="1:21" ht="18" customHeight="1">
      <c r="A1" s="182" t="s">
        <v>62</v>
      </c>
      <c r="B1" s="1"/>
      <c r="C1" s="2"/>
      <c r="D1" s="146"/>
      <c r="E1" s="147"/>
      <c r="F1" s="148"/>
      <c r="G1" s="127"/>
      <c r="H1" s="127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50"/>
      <c r="T1" s="128"/>
      <c r="U1" s="128"/>
    </row>
    <row r="2" spans="1:21" ht="16.5" customHeight="1">
      <c r="A2" s="864" t="s">
        <v>3</v>
      </c>
      <c r="B2" s="865"/>
      <c r="C2" s="865"/>
      <c r="D2" s="866"/>
      <c r="E2" s="856" t="s">
        <v>558</v>
      </c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72"/>
      <c r="T2" s="872"/>
      <c r="U2" s="872"/>
    </row>
    <row r="3" spans="1:21" ht="16.5" customHeight="1">
      <c r="A3" s="867"/>
      <c r="B3" s="868"/>
      <c r="C3" s="856" t="s">
        <v>4</v>
      </c>
      <c r="D3" s="858" t="s">
        <v>5</v>
      </c>
      <c r="E3" s="151"/>
      <c r="F3" s="152"/>
      <c r="G3" s="5"/>
      <c r="H3" s="5"/>
      <c r="I3" s="5"/>
      <c r="J3" s="6"/>
      <c r="K3" s="873" t="s">
        <v>6</v>
      </c>
      <c r="L3" s="874"/>
      <c r="M3" s="874"/>
      <c r="N3" s="874"/>
      <c r="O3" s="874"/>
      <c r="P3" s="874"/>
      <c r="Q3" s="874"/>
      <c r="R3" s="875"/>
      <c r="S3" s="137"/>
      <c r="T3" s="142"/>
      <c r="U3" s="141"/>
    </row>
    <row r="4" spans="1:21" ht="16.5" customHeight="1">
      <c r="A4" s="869"/>
      <c r="B4" s="868"/>
      <c r="C4" s="857"/>
      <c r="D4" s="859"/>
      <c r="E4" s="153" t="s">
        <v>7</v>
      </c>
      <c r="F4" s="154" t="s">
        <v>8</v>
      </c>
      <c r="G4" s="5" t="s">
        <v>9</v>
      </c>
      <c r="H4" s="5" t="s">
        <v>0</v>
      </c>
      <c r="I4" s="5" t="s">
        <v>10</v>
      </c>
      <c r="J4" s="6" t="s">
        <v>11</v>
      </c>
      <c r="K4" s="7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9" t="s">
        <v>17</v>
      </c>
      <c r="Q4" s="10" t="s">
        <v>18</v>
      </c>
      <c r="R4" s="11" t="s">
        <v>19</v>
      </c>
      <c r="S4" s="138" t="s">
        <v>20</v>
      </c>
      <c r="T4" s="138" t="s">
        <v>21</v>
      </c>
      <c r="U4" s="17" t="s">
        <v>22</v>
      </c>
    </row>
    <row r="5" spans="1:21" ht="16.5" customHeight="1">
      <c r="A5" s="869"/>
      <c r="B5" s="868"/>
      <c r="C5" s="857"/>
      <c r="D5" s="859"/>
      <c r="E5" s="151"/>
      <c r="F5" s="152" t="s">
        <v>23</v>
      </c>
      <c r="G5" s="5"/>
      <c r="H5" s="5"/>
      <c r="I5" s="5"/>
      <c r="J5" s="5"/>
      <c r="K5" s="12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4" t="s">
        <v>29</v>
      </c>
      <c r="Q5" s="15"/>
      <c r="R5" s="16"/>
      <c r="S5" s="155"/>
      <c r="T5" s="139"/>
      <c r="U5" s="17"/>
    </row>
    <row r="6" spans="1:21" ht="16.5" customHeight="1">
      <c r="A6" s="870"/>
      <c r="B6" s="871"/>
      <c r="C6" s="857"/>
      <c r="D6" s="859"/>
      <c r="E6" s="156"/>
      <c r="F6" s="157" t="s">
        <v>30</v>
      </c>
      <c r="G6" s="18" t="s">
        <v>31</v>
      </c>
      <c r="H6" s="18" t="s">
        <v>31</v>
      </c>
      <c r="I6" s="18" t="s">
        <v>555</v>
      </c>
      <c r="J6" s="158" t="s">
        <v>32</v>
      </c>
      <c r="K6" s="159" t="s">
        <v>31</v>
      </c>
      <c r="L6" s="160" t="s">
        <v>31</v>
      </c>
      <c r="M6" s="160" t="s">
        <v>31</v>
      </c>
      <c r="N6" s="160" t="s">
        <v>31</v>
      </c>
      <c r="O6" s="160" t="s">
        <v>31</v>
      </c>
      <c r="P6" s="161" t="s">
        <v>31</v>
      </c>
      <c r="Q6" s="158" t="s">
        <v>33</v>
      </c>
      <c r="R6" s="162" t="s">
        <v>33</v>
      </c>
      <c r="S6" s="140" t="s">
        <v>541</v>
      </c>
      <c r="T6" s="140" t="s">
        <v>541</v>
      </c>
      <c r="U6" s="19" t="s">
        <v>541</v>
      </c>
    </row>
    <row r="7" spans="1:21" ht="16.5" customHeight="1">
      <c r="A7" s="843" t="s">
        <v>60</v>
      </c>
      <c r="B7" s="20" t="s">
        <v>34</v>
      </c>
      <c r="C7" s="301" t="s">
        <v>238</v>
      </c>
      <c r="D7" s="301" t="s">
        <v>155</v>
      </c>
      <c r="E7" s="212">
        <v>6.8</v>
      </c>
      <c r="F7" s="114">
        <v>320</v>
      </c>
      <c r="G7" s="23">
        <v>27.8</v>
      </c>
      <c r="H7" s="212">
        <v>3</v>
      </c>
      <c r="I7" s="114">
        <v>2</v>
      </c>
      <c r="J7" s="213">
        <v>2.761</v>
      </c>
      <c r="K7" s="214">
        <v>0</v>
      </c>
      <c r="L7" s="215">
        <v>1.3</v>
      </c>
      <c r="M7" s="215">
        <v>40.9</v>
      </c>
      <c r="N7" s="215">
        <v>39.6</v>
      </c>
      <c r="O7" s="215">
        <v>7.4</v>
      </c>
      <c r="P7" s="216">
        <v>10.8</v>
      </c>
      <c r="Q7" s="217">
        <v>0.22</v>
      </c>
      <c r="R7" s="218">
        <v>2</v>
      </c>
      <c r="S7" s="288">
        <v>5.8</v>
      </c>
      <c r="T7" s="289">
        <v>12</v>
      </c>
      <c r="U7" s="295" t="s">
        <v>542</v>
      </c>
    </row>
    <row r="8" spans="1:21" ht="16.5" customHeight="1">
      <c r="A8" s="854"/>
      <c r="B8" s="24" t="s">
        <v>63</v>
      </c>
      <c r="C8" s="298" t="s">
        <v>239</v>
      </c>
      <c r="D8" s="298" t="s">
        <v>129</v>
      </c>
      <c r="E8" s="27">
        <v>6.9</v>
      </c>
      <c r="F8" s="105">
        <v>81</v>
      </c>
      <c r="G8" s="26">
        <v>33.6</v>
      </c>
      <c r="H8" s="27">
        <v>2.9</v>
      </c>
      <c r="I8" s="105">
        <v>6</v>
      </c>
      <c r="J8" s="219">
        <v>2.632</v>
      </c>
      <c r="K8" s="115">
        <v>49.3</v>
      </c>
      <c r="L8" s="220">
        <v>27.2</v>
      </c>
      <c r="M8" s="220">
        <v>8.8</v>
      </c>
      <c r="N8" s="220">
        <v>3.5</v>
      </c>
      <c r="O8" s="220">
        <v>4.7</v>
      </c>
      <c r="P8" s="221">
        <v>6.5</v>
      </c>
      <c r="Q8" s="25">
        <v>2</v>
      </c>
      <c r="R8" s="222">
        <v>19</v>
      </c>
      <c r="S8" s="290">
        <v>320</v>
      </c>
      <c r="T8" s="290">
        <v>720</v>
      </c>
      <c r="U8" s="28" t="s">
        <v>1</v>
      </c>
    </row>
    <row r="9" spans="1:21" ht="16.5" customHeight="1">
      <c r="A9" s="854"/>
      <c r="B9" s="24" t="s">
        <v>64</v>
      </c>
      <c r="C9" s="298" t="s">
        <v>240</v>
      </c>
      <c r="D9" s="298" t="s">
        <v>241</v>
      </c>
      <c r="E9" s="27">
        <v>7.2</v>
      </c>
      <c r="F9" s="105">
        <v>274</v>
      </c>
      <c r="G9" s="26">
        <v>39.1</v>
      </c>
      <c r="H9" s="27">
        <v>3.2</v>
      </c>
      <c r="I9" s="105">
        <v>6</v>
      </c>
      <c r="J9" s="223">
        <v>2.737</v>
      </c>
      <c r="K9" s="115">
        <v>1.7</v>
      </c>
      <c r="L9" s="220">
        <v>2.0999999999999943</v>
      </c>
      <c r="M9" s="220">
        <v>31</v>
      </c>
      <c r="N9" s="220">
        <v>45.3</v>
      </c>
      <c r="O9" s="220">
        <v>9.1</v>
      </c>
      <c r="P9" s="221">
        <v>10.8</v>
      </c>
      <c r="Q9" s="106">
        <v>0.2</v>
      </c>
      <c r="R9" s="224">
        <v>4.75</v>
      </c>
      <c r="S9" s="290">
        <v>520</v>
      </c>
      <c r="T9" s="290">
        <v>1000</v>
      </c>
      <c r="U9" s="28" t="s">
        <v>1</v>
      </c>
    </row>
    <row r="10" spans="1:21" ht="16.5" customHeight="1">
      <c r="A10" s="854"/>
      <c r="B10" s="24" t="s">
        <v>65</v>
      </c>
      <c r="C10" s="298" t="s">
        <v>242</v>
      </c>
      <c r="D10" s="298" t="s">
        <v>160</v>
      </c>
      <c r="E10" s="27">
        <v>7</v>
      </c>
      <c r="F10" s="105">
        <v>247</v>
      </c>
      <c r="G10" s="26">
        <v>27.3</v>
      </c>
      <c r="H10" s="27">
        <v>3.4</v>
      </c>
      <c r="I10" s="105">
        <v>4</v>
      </c>
      <c r="J10" s="223">
        <v>2.695</v>
      </c>
      <c r="K10" s="115">
        <v>19.7</v>
      </c>
      <c r="L10" s="220">
        <v>6.599999999999994</v>
      </c>
      <c r="M10" s="220">
        <v>41.1</v>
      </c>
      <c r="N10" s="220">
        <v>25.4</v>
      </c>
      <c r="O10" s="220">
        <v>3.1</v>
      </c>
      <c r="P10" s="221">
        <v>4.1</v>
      </c>
      <c r="Q10" s="106">
        <v>0.36</v>
      </c>
      <c r="R10" s="222">
        <v>19</v>
      </c>
      <c r="S10" s="290">
        <v>280</v>
      </c>
      <c r="T10" s="290">
        <v>600</v>
      </c>
      <c r="U10" s="28" t="s">
        <v>35</v>
      </c>
    </row>
    <row r="11" spans="1:21" ht="16.5" customHeight="1">
      <c r="A11" s="855"/>
      <c r="B11" s="24" t="s">
        <v>66</v>
      </c>
      <c r="C11" s="302" t="s">
        <v>243</v>
      </c>
      <c r="D11" s="302" t="s">
        <v>172</v>
      </c>
      <c r="E11" s="27">
        <v>6.9</v>
      </c>
      <c r="F11" s="105">
        <v>263</v>
      </c>
      <c r="G11" s="26">
        <v>18.6</v>
      </c>
      <c r="H11" s="27">
        <v>1.1</v>
      </c>
      <c r="I11" s="225" t="s">
        <v>153</v>
      </c>
      <c r="J11" s="219">
        <v>2.692</v>
      </c>
      <c r="K11" s="115">
        <v>51.3</v>
      </c>
      <c r="L11" s="220">
        <v>32.3</v>
      </c>
      <c r="M11" s="220">
        <v>13.8</v>
      </c>
      <c r="N11" s="220">
        <v>1.5</v>
      </c>
      <c r="O11" s="220">
        <v>0.2</v>
      </c>
      <c r="P11" s="221">
        <v>0.9</v>
      </c>
      <c r="Q11" s="25">
        <v>2.1</v>
      </c>
      <c r="R11" s="222">
        <v>19</v>
      </c>
      <c r="S11" s="291">
        <v>52</v>
      </c>
      <c r="T11" s="291">
        <v>110</v>
      </c>
      <c r="U11" s="29" t="s">
        <v>1</v>
      </c>
    </row>
    <row r="12" spans="1:21" ht="16.5" customHeight="1">
      <c r="A12" s="843" t="s">
        <v>42</v>
      </c>
      <c r="B12" s="131" t="s">
        <v>67</v>
      </c>
      <c r="C12" s="296" t="s">
        <v>247</v>
      </c>
      <c r="D12" s="296" t="s">
        <v>248</v>
      </c>
      <c r="E12" s="212">
        <v>7</v>
      </c>
      <c r="F12" s="114">
        <v>230</v>
      </c>
      <c r="G12" s="23">
        <v>28.6</v>
      </c>
      <c r="H12" s="212">
        <v>5.1</v>
      </c>
      <c r="I12" s="114">
        <v>2</v>
      </c>
      <c r="J12" s="213">
        <v>2.815</v>
      </c>
      <c r="K12" s="226">
        <v>41.7</v>
      </c>
      <c r="L12" s="215">
        <v>26.5</v>
      </c>
      <c r="M12" s="215">
        <v>21.2</v>
      </c>
      <c r="N12" s="215">
        <v>4.2</v>
      </c>
      <c r="O12" s="227">
        <v>2.4</v>
      </c>
      <c r="P12" s="228">
        <v>4</v>
      </c>
      <c r="Q12" s="31">
        <v>1.5</v>
      </c>
      <c r="R12" s="218">
        <v>19</v>
      </c>
      <c r="S12" s="289">
        <v>310</v>
      </c>
      <c r="T12" s="289">
        <v>620</v>
      </c>
      <c r="U12" s="41" t="s">
        <v>1</v>
      </c>
    </row>
    <row r="13" spans="1:21" ht="16.5" customHeight="1">
      <c r="A13" s="854"/>
      <c r="B13" s="44" t="s">
        <v>68</v>
      </c>
      <c r="C13" s="297" t="s">
        <v>249</v>
      </c>
      <c r="D13" s="297" t="s">
        <v>250</v>
      </c>
      <c r="E13" s="27">
        <v>6.8</v>
      </c>
      <c r="F13" s="105">
        <v>42</v>
      </c>
      <c r="G13" s="26">
        <v>50</v>
      </c>
      <c r="H13" s="27">
        <v>8.2</v>
      </c>
      <c r="I13" s="105">
        <v>24</v>
      </c>
      <c r="J13" s="223">
        <v>2.743</v>
      </c>
      <c r="K13" s="115">
        <v>19.4</v>
      </c>
      <c r="L13" s="220">
        <v>13</v>
      </c>
      <c r="M13" s="220">
        <v>22.3</v>
      </c>
      <c r="N13" s="220">
        <v>12.7</v>
      </c>
      <c r="O13" s="229">
        <v>10.5</v>
      </c>
      <c r="P13" s="230">
        <v>22.1</v>
      </c>
      <c r="Q13" s="106">
        <v>0.33</v>
      </c>
      <c r="R13" s="222">
        <v>19</v>
      </c>
      <c r="S13" s="290">
        <v>1700</v>
      </c>
      <c r="T13" s="290">
        <v>3500</v>
      </c>
      <c r="U13" s="29" t="s">
        <v>1</v>
      </c>
    </row>
    <row r="14" spans="1:21" ht="16.5" customHeight="1">
      <c r="A14" s="854"/>
      <c r="B14" s="33" t="s">
        <v>104</v>
      </c>
      <c r="C14" s="297" t="s">
        <v>251</v>
      </c>
      <c r="D14" s="297" t="s">
        <v>252</v>
      </c>
      <c r="E14" s="27">
        <v>7.2</v>
      </c>
      <c r="F14" s="105">
        <v>276</v>
      </c>
      <c r="G14" s="26">
        <v>18.4</v>
      </c>
      <c r="H14" s="27">
        <v>2.2</v>
      </c>
      <c r="I14" s="225" t="s">
        <v>2</v>
      </c>
      <c r="J14" s="223">
        <v>2.755</v>
      </c>
      <c r="K14" s="115">
        <v>50.9</v>
      </c>
      <c r="L14" s="220">
        <v>32.2</v>
      </c>
      <c r="M14" s="220">
        <v>14.5</v>
      </c>
      <c r="N14" s="220">
        <v>1.3</v>
      </c>
      <c r="O14" s="229">
        <v>0.3</v>
      </c>
      <c r="P14" s="231">
        <v>0.8</v>
      </c>
      <c r="Q14" s="25">
        <v>2</v>
      </c>
      <c r="R14" s="222">
        <v>19</v>
      </c>
      <c r="S14" s="290">
        <v>220</v>
      </c>
      <c r="T14" s="290">
        <v>450</v>
      </c>
      <c r="U14" s="305">
        <v>0.73</v>
      </c>
    </row>
    <row r="15" spans="1:21" ht="16.5" customHeight="1">
      <c r="A15" s="854"/>
      <c r="B15" s="43" t="s">
        <v>136</v>
      </c>
      <c r="C15" s="303" t="s">
        <v>175</v>
      </c>
      <c r="D15" s="297" t="s">
        <v>244</v>
      </c>
      <c r="E15" s="27">
        <v>6.8</v>
      </c>
      <c r="F15" s="105">
        <v>242</v>
      </c>
      <c r="G15" s="26">
        <v>29.2</v>
      </c>
      <c r="H15" s="27">
        <v>3.2</v>
      </c>
      <c r="I15" s="105">
        <v>1</v>
      </c>
      <c r="J15" s="223">
        <v>2.747</v>
      </c>
      <c r="K15" s="115">
        <v>4.1</v>
      </c>
      <c r="L15" s="220">
        <v>27</v>
      </c>
      <c r="M15" s="220">
        <v>56.9</v>
      </c>
      <c r="N15" s="220">
        <v>6.8</v>
      </c>
      <c r="O15" s="229">
        <v>2.1</v>
      </c>
      <c r="P15" s="231">
        <v>3.1</v>
      </c>
      <c r="Q15" s="106">
        <v>0.62</v>
      </c>
      <c r="R15" s="232">
        <v>9.5</v>
      </c>
      <c r="S15" s="290">
        <v>500</v>
      </c>
      <c r="T15" s="290">
        <v>1100</v>
      </c>
      <c r="U15" s="304" t="s">
        <v>1</v>
      </c>
    </row>
    <row r="16" spans="1:21" ht="16.5" customHeight="1">
      <c r="A16" s="855"/>
      <c r="B16" s="34" t="s">
        <v>137</v>
      </c>
      <c r="C16" s="314" t="s">
        <v>245</v>
      </c>
      <c r="D16" s="34" t="s">
        <v>246</v>
      </c>
      <c r="E16" s="183">
        <v>7.2</v>
      </c>
      <c r="F16" s="117">
        <v>380</v>
      </c>
      <c r="G16" s="36">
        <v>27.8</v>
      </c>
      <c r="H16" s="183">
        <v>3.2</v>
      </c>
      <c r="I16" s="233" t="s">
        <v>2</v>
      </c>
      <c r="J16" s="234">
        <v>2.748</v>
      </c>
      <c r="K16" s="235">
        <v>4.8</v>
      </c>
      <c r="L16" s="236">
        <v>5</v>
      </c>
      <c r="M16" s="236">
        <v>59.9</v>
      </c>
      <c r="N16" s="236">
        <v>23.8</v>
      </c>
      <c r="O16" s="237">
        <v>3</v>
      </c>
      <c r="P16" s="238">
        <v>3.5</v>
      </c>
      <c r="Q16" s="239">
        <v>0.34</v>
      </c>
      <c r="R16" s="240">
        <v>9.5</v>
      </c>
      <c r="S16" s="291">
        <v>67</v>
      </c>
      <c r="T16" s="291">
        <v>130</v>
      </c>
      <c r="U16" s="29" t="s">
        <v>1</v>
      </c>
    </row>
    <row r="17" spans="1:21" ht="16.5" customHeight="1">
      <c r="A17" s="843" t="s">
        <v>39</v>
      </c>
      <c r="B17" s="38" t="s">
        <v>69</v>
      </c>
      <c r="C17" s="297" t="s">
        <v>253</v>
      </c>
      <c r="D17" s="297" t="s">
        <v>254</v>
      </c>
      <c r="E17" s="185">
        <v>7.1</v>
      </c>
      <c r="F17" s="118">
        <v>302</v>
      </c>
      <c r="G17" s="39">
        <v>17.3</v>
      </c>
      <c r="H17" s="185">
        <v>2.1</v>
      </c>
      <c r="I17" s="118">
        <v>8</v>
      </c>
      <c r="J17" s="241">
        <v>2.722</v>
      </c>
      <c r="K17" s="242">
        <v>42.3</v>
      </c>
      <c r="L17" s="243">
        <v>37.3</v>
      </c>
      <c r="M17" s="243">
        <v>17.3</v>
      </c>
      <c r="N17" s="243">
        <v>2.3</v>
      </c>
      <c r="O17" s="243">
        <v>0.2</v>
      </c>
      <c r="P17" s="244">
        <v>0.6</v>
      </c>
      <c r="Q17" s="22">
        <v>1.7</v>
      </c>
      <c r="R17" s="245">
        <v>19</v>
      </c>
      <c r="S17" s="289">
        <v>400</v>
      </c>
      <c r="T17" s="289">
        <v>900</v>
      </c>
      <c r="U17" s="306">
        <v>0.87</v>
      </c>
    </row>
    <row r="18" spans="1:21" ht="16.5" customHeight="1">
      <c r="A18" s="854"/>
      <c r="B18" s="33" t="s">
        <v>70</v>
      </c>
      <c r="C18" s="298" t="s">
        <v>255</v>
      </c>
      <c r="D18" s="298" t="s">
        <v>177</v>
      </c>
      <c r="E18" s="27">
        <v>7.1</v>
      </c>
      <c r="F18" s="105">
        <v>342</v>
      </c>
      <c r="G18" s="26">
        <v>16.2</v>
      </c>
      <c r="H18" s="27">
        <v>1.7</v>
      </c>
      <c r="I18" s="105">
        <v>18</v>
      </c>
      <c r="J18" s="223">
        <v>2.724</v>
      </c>
      <c r="K18" s="115">
        <v>41.2</v>
      </c>
      <c r="L18" s="220">
        <v>30.7</v>
      </c>
      <c r="M18" s="220">
        <v>19.8</v>
      </c>
      <c r="N18" s="220">
        <v>5.4</v>
      </c>
      <c r="O18" s="229">
        <v>1.3</v>
      </c>
      <c r="P18" s="230">
        <v>1.6</v>
      </c>
      <c r="Q18" s="25">
        <v>1.6</v>
      </c>
      <c r="R18" s="222">
        <v>19</v>
      </c>
      <c r="S18" s="290">
        <v>220</v>
      </c>
      <c r="T18" s="290">
        <v>450</v>
      </c>
      <c r="U18" s="28" t="s">
        <v>40</v>
      </c>
    </row>
    <row r="19" spans="1:21" ht="16.5" customHeight="1">
      <c r="A19" s="854"/>
      <c r="B19" s="33" t="s">
        <v>71</v>
      </c>
      <c r="C19" s="298" t="s">
        <v>256</v>
      </c>
      <c r="D19" s="298" t="s">
        <v>257</v>
      </c>
      <c r="E19" s="27">
        <v>7</v>
      </c>
      <c r="F19" s="105">
        <v>312</v>
      </c>
      <c r="G19" s="26">
        <v>15.5</v>
      </c>
      <c r="H19" s="27">
        <v>1.5</v>
      </c>
      <c r="I19" s="105">
        <v>1</v>
      </c>
      <c r="J19" s="223">
        <v>2.697</v>
      </c>
      <c r="K19" s="115">
        <v>55.1</v>
      </c>
      <c r="L19" s="220">
        <v>29.1</v>
      </c>
      <c r="M19" s="220">
        <v>13.9</v>
      </c>
      <c r="N19" s="220">
        <v>1</v>
      </c>
      <c r="O19" s="220">
        <v>0.3</v>
      </c>
      <c r="P19" s="116">
        <v>0.6</v>
      </c>
      <c r="Q19" s="25">
        <v>2.4</v>
      </c>
      <c r="R19" s="222">
        <v>19</v>
      </c>
      <c r="S19" s="290">
        <v>130</v>
      </c>
      <c r="T19" s="290">
        <v>270</v>
      </c>
      <c r="U19" s="28" t="s">
        <v>40</v>
      </c>
    </row>
    <row r="20" spans="1:21" ht="16.5" customHeight="1">
      <c r="A20" s="854"/>
      <c r="B20" s="33" t="s">
        <v>72</v>
      </c>
      <c r="C20" s="298" t="s">
        <v>258</v>
      </c>
      <c r="D20" s="298" t="s">
        <v>259</v>
      </c>
      <c r="E20" s="27">
        <v>7.3</v>
      </c>
      <c r="F20" s="105">
        <v>286</v>
      </c>
      <c r="G20" s="26">
        <v>21.5</v>
      </c>
      <c r="H20" s="27">
        <v>2.7</v>
      </c>
      <c r="I20" s="105">
        <v>22</v>
      </c>
      <c r="J20" s="223">
        <v>2.734</v>
      </c>
      <c r="K20" s="115">
        <v>39.2</v>
      </c>
      <c r="L20" s="220">
        <v>26.4</v>
      </c>
      <c r="M20" s="220">
        <v>27.8</v>
      </c>
      <c r="N20" s="220">
        <v>4.7</v>
      </c>
      <c r="O20" s="220">
        <v>0.8</v>
      </c>
      <c r="P20" s="116">
        <v>1.1</v>
      </c>
      <c r="Q20" s="25">
        <v>1.4</v>
      </c>
      <c r="R20" s="222">
        <v>19</v>
      </c>
      <c r="S20" s="290">
        <v>640</v>
      </c>
      <c r="T20" s="290">
        <v>1300</v>
      </c>
      <c r="U20" s="28" t="s">
        <v>1</v>
      </c>
    </row>
    <row r="21" spans="1:21" ht="16.5" customHeight="1">
      <c r="A21" s="855"/>
      <c r="B21" s="34" t="s">
        <v>73</v>
      </c>
      <c r="C21" s="299" t="s">
        <v>260</v>
      </c>
      <c r="D21" s="299" t="s">
        <v>261</v>
      </c>
      <c r="E21" s="183">
        <v>7</v>
      </c>
      <c r="F21" s="117">
        <v>191</v>
      </c>
      <c r="G21" s="36">
        <v>22.3</v>
      </c>
      <c r="H21" s="183">
        <v>2.7</v>
      </c>
      <c r="I21" s="233" t="s">
        <v>2</v>
      </c>
      <c r="J21" s="234">
        <v>2.725</v>
      </c>
      <c r="K21" s="235">
        <v>34.8</v>
      </c>
      <c r="L21" s="236">
        <v>19.9</v>
      </c>
      <c r="M21" s="236">
        <v>35</v>
      </c>
      <c r="N21" s="236">
        <v>6.7</v>
      </c>
      <c r="O21" s="236">
        <v>1.6</v>
      </c>
      <c r="P21" s="246">
        <v>2</v>
      </c>
      <c r="Q21" s="35">
        <v>1</v>
      </c>
      <c r="R21" s="247">
        <v>19</v>
      </c>
      <c r="S21" s="292">
        <v>600</v>
      </c>
      <c r="T21" s="292">
        <v>1300</v>
      </c>
      <c r="U21" s="37" t="s">
        <v>1</v>
      </c>
    </row>
    <row r="22" spans="1:21" ht="16.5" customHeight="1">
      <c r="A22" s="843" t="s">
        <v>36</v>
      </c>
      <c r="B22" s="30" t="s">
        <v>79</v>
      </c>
      <c r="C22" s="296" t="s">
        <v>271</v>
      </c>
      <c r="D22" s="296" t="s">
        <v>262</v>
      </c>
      <c r="E22" s="212">
        <v>7.4</v>
      </c>
      <c r="F22" s="114">
        <v>368</v>
      </c>
      <c r="G22" s="23">
        <v>16.2</v>
      </c>
      <c r="H22" s="212">
        <v>1.1</v>
      </c>
      <c r="I22" s="114">
        <v>2</v>
      </c>
      <c r="J22" s="213">
        <v>2.667</v>
      </c>
      <c r="K22" s="226">
        <v>51.4</v>
      </c>
      <c r="L22" s="215">
        <v>35</v>
      </c>
      <c r="M22" s="215">
        <v>11.3</v>
      </c>
      <c r="N22" s="215">
        <v>0.6000000000000008</v>
      </c>
      <c r="O22" s="227">
        <v>0.4</v>
      </c>
      <c r="P22" s="248">
        <v>1.3</v>
      </c>
      <c r="Q22" s="31">
        <v>2.1</v>
      </c>
      <c r="R22" s="218">
        <v>19</v>
      </c>
      <c r="S22" s="289">
        <v>770</v>
      </c>
      <c r="T22" s="289">
        <v>1700</v>
      </c>
      <c r="U22" s="307">
        <v>0.36</v>
      </c>
    </row>
    <row r="23" spans="1:21" ht="16.5" customHeight="1">
      <c r="A23" s="854"/>
      <c r="B23" s="33" t="s">
        <v>80</v>
      </c>
      <c r="C23" s="298" t="s">
        <v>263</v>
      </c>
      <c r="D23" s="298" t="s">
        <v>264</v>
      </c>
      <c r="E23" s="27">
        <v>7.3</v>
      </c>
      <c r="F23" s="105">
        <v>402</v>
      </c>
      <c r="G23" s="26">
        <v>40</v>
      </c>
      <c r="H23" s="27">
        <v>3.6</v>
      </c>
      <c r="I23" s="105">
        <v>6</v>
      </c>
      <c r="J23" s="223">
        <v>2.667</v>
      </c>
      <c r="K23" s="115">
        <v>13.8</v>
      </c>
      <c r="L23" s="220">
        <v>8.7</v>
      </c>
      <c r="M23" s="220">
        <v>34</v>
      </c>
      <c r="N23" s="220">
        <v>25.7</v>
      </c>
      <c r="O23" s="220">
        <v>7.9</v>
      </c>
      <c r="P23" s="116">
        <v>9.9</v>
      </c>
      <c r="Q23" s="106">
        <v>0.3</v>
      </c>
      <c r="R23" s="222">
        <v>19</v>
      </c>
      <c r="S23" s="290">
        <v>2400</v>
      </c>
      <c r="T23" s="290">
        <v>5100</v>
      </c>
      <c r="U23" s="28" t="s">
        <v>1</v>
      </c>
    </row>
    <row r="24" spans="1:21" ht="16.5" customHeight="1">
      <c r="A24" s="854"/>
      <c r="B24" s="33" t="s">
        <v>81</v>
      </c>
      <c r="C24" s="298" t="s">
        <v>265</v>
      </c>
      <c r="D24" s="298" t="s">
        <v>266</v>
      </c>
      <c r="E24" s="27">
        <v>7.2</v>
      </c>
      <c r="F24" s="105">
        <v>365</v>
      </c>
      <c r="G24" s="26">
        <v>14.5</v>
      </c>
      <c r="H24" s="27">
        <v>1.1</v>
      </c>
      <c r="I24" s="105">
        <v>1</v>
      </c>
      <c r="J24" s="223">
        <v>2.703</v>
      </c>
      <c r="K24" s="115">
        <v>66.4</v>
      </c>
      <c r="L24" s="220">
        <v>24</v>
      </c>
      <c r="M24" s="220">
        <v>8.6</v>
      </c>
      <c r="N24" s="220">
        <v>0.6</v>
      </c>
      <c r="O24" s="220">
        <v>0.1</v>
      </c>
      <c r="P24" s="116">
        <v>0.3</v>
      </c>
      <c r="Q24" s="25">
        <v>3.3</v>
      </c>
      <c r="R24" s="222">
        <v>19</v>
      </c>
      <c r="S24" s="290">
        <v>140</v>
      </c>
      <c r="T24" s="290">
        <v>320</v>
      </c>
      <c r="U24" s="28" t="s">
        <v>35</v>
      </c>
    </row>
    <row r="25" spans="1:21" ht="16.5" customHeight="1">
      <c r="A25" s="854"/>
      <c r="B25" s="33" t="s">
        <v>82</v>
      </c>
      <c r="C25" s="298" t="s">
        <v>267</v>
      </c>
      <c r="D25" s="298" t="s">
        <v>268</v>
      </c>
      <c r="E25" s="27">
        <v>7.2</v>
      </c>
      <c r="F25" s="105">
        <v>408</v>
      </c>
      <c r="G25" s="26">
        <v>13.3</v>
      </c>
      <c r="H25" s="27">
        <v>1.6</v>
      </c>
      <c r="I25" s="105">
        <v>1</v>
      </c>
      <c r="J25" s="223">
        <v>2.702</v>
      </c>
      <c r="K25" s="115">
        <v>44.6</v>
      </c>
      <c r="L25" s="220">
        <v>14.2</v>
      </c>
      <c r="M25" s="220">
        <v>31.6</v>
      </c>
      <c r="N25" s="220">
        <v>7.4</v>
      </c>
      <c r="O25" s="220">
        <v>0.4</v>
      </c>
      <c r="P25" s="116">
        <v>1.8</v>
      </c>
      <c r="Q25" s="25">
        <v>1.4</v>
      </c>
      <c r="R25" s="222">
        <v>19</v>
      </c>
      <c r="S25" s="290">
        <v>470</v>
      </c>
      <c r="T25" s="290">
        <v>960</v>
      </c>
      <c r="U25" s="28" t="s">
        <v>1</v>
      </c>
    </row>
    <row r="26" spans="1:21" ht="16.5" customHeight="1">
      <c r="A26" s="855"/>
      <c r="B26" s="34" t="s">
        <v>83</v>
      </c>
      <c r="C26" s="299" t="s">
        <v>269</v>
      </c>
      <c r="D26" s="299" t="s">
        <v>270</v>
      </c>
      <c r="E26" s="183">
        <v>7.1</v>
      </c>
      <c r="F26" s="117">
        <v>362</v>
      </c>
      <c r="G26" s="36">
        <v>18.6</v>
      </c>
      <c r="H26" s="183">
        <v>1.7</v>
      </c>
      <c r="I26" s="117">
        <v>2</v>
      </c>
      <c r="J26" s="234">
        <v>2.681</v>
      </c>
      <c r="K26" s="235">
        <v>30.9</v>
      </c>
      <c r="L26" s="236">
        <v>35.9</v>
      </c>
      <c r="M26" s="236">
        <v>27.8</v>
      </c>
      <c r="N26" s="236">
        <v>3.8</v>
      </c>
      <c r="O26" s="236">
        <v>0.4</v>
      </c>
      <c r="P26" s="246">
        <v>1.2</v>
      </c>
      <c r="Q26" s="35">
        <v>1.3</v>
      </c>
      <c r="R26" s="247">
        <v>19</v>
      </c>
      <c r="S26" s="292">
        <v>640</v>
      </c>
      <c r="T26" s="292">
        <v>1400</v>
      </c>
      <c r="U26" s="37" t="s">
        <v>1</v>
      </c>
    </row>
    <row r="27" spans="1:21" ht="16.5" customHeight="1">
      <c r="A27" s="843" t="s">
        <v>41</v>
      </c>
      <c r="B27" s="38" t="s">
        <v>84</v>
      </c>
      <c r="C27" s="297" t="s">
        <v>272</v>
      </c>
      <c r="D27" s="297" t="s">
        <v>273</v>
      </c>
      <c r="E27" s="212">
        <v>7.4</v>
      </c>
      <c r="F27" s="114">
        <v>397</v>
      </c>
      <c r="G27" s="23">
        <v>30.8</v>
      </c>
      <c r="H27" s="212">
        <v>3.2</v>
      </c>
      <c r="I27" s="249" t="s">
        <v>2</v>
      </c>
      <c r="J27" s="213">
        <v>2.69</v>
      </c>
      <c r="K27" s="226">
        <v>3.3</v>
      </c>
      <c r="L27" s="215">
        <v>24.4</v>
      </c>
      <c r="M27" s="215">
        <v>39.5</v>
      </c>
      <c r="N27" s="215">
        <v>15.5</v>
      </c>
      <c r="O27" s="215">
        <v>7.7</v>
      </c>
      <c r="P27" s="250">
        <v>9.6</v>
      </c>
      <c r="Q27" s="217">
        <v>0.48</v>
      </c>
      <c r="R27" s="218">
        <v>19</v>
      </c>
      <c r="S27" s="289">
        <v>1400</v>
      </c>
      <c r="T27" s="289">
        <v>2900</v>
      </c>
      <c r="U27" s="308" t="s">
        <v>1</v>
      </c>
    </row>
    <row r="28" spans="1:21" ht="16.5" customHeight="1">
      <c r="A28" s="854"/>
      <c r="B28" s="33" t="s">
        <v>85</v>
      </c>
      <c r="C28" s="298" t="s">
        <v>274</v>
      </c>
      <c r="D28" s="298" t="s">
        <v>275</v>
      </c>
      <c r="E28" s="27">
        <v>7.4</v>
      </c>
      <c r="F28" s="105">
        <v>401</v>
      </c>
      <c r="G28" s="26">
        <v>13.8</v>
      </c>
      <c r="H28" s="27">
        <v>1</v>
      </c>
      <c r="I28" s="225" t="s">
        <v>2</v>
      </c>
      <c r="J28" s="223">
        <v>2.661</v>
      </c>
      <c r="K28" s="115">
        <v>59.9</v>
      </c>
      <c r="L28" s="220">
        <v>26.7</v>
      </c>
      <c r="M28" s="220">
        <v>10.6</v>
      </c>
      <c r="N28" s="220">
        <v>1.2</v>
      </c>
      <c r="O28" s="220">
        <v>0.7</v>
      </c>
      <c r="P28" s="116">
        <v>0.9</v>
      </c>
      <c r="Q28" s="25">
        <v>2.8</v>
      </c>
      <c r="R28" s="222">
        <v>19</v>
      </c>
      <c r="S28" s="290">
        <v>2500</v>
      </c>
      <c r="T28" s="290">
        <v>5200</v>
      </c>
      <c r="U28" s="309">
        <v>0.59</v>
      </c>
    </row>
    <row r="29" spans="1:21" ht="16.5" customHeight="1">
      <c r="A29" s="854"/>
      <c r="B29" s="33" t="s">
        <v>86</v>
      </c>
      <c r="C29" s="298" t="s">
        <v>276</v>
      </c>
      <c r="D29" s="298" t="s">
        <v>277</v>
      </c>
      <c r="E29" s="27">
        <v>7.4</v>
      </c>
      <c r="F29" s="105">
        <v>426</v>
      </c>
      <c r="G29" s="26">
        <v>14.8</v>
      </c>
      <c r="H29" s="27">
        <v>1.2</v>
      </c>
      <c r="I29" s="105">
        <v>2</v>
      </c>
      <c r="J29" s="223">
        <v>2.67</v>
      </c>
      <c r="K29" s="115">
        <v>54.1</v>
      </c>
      <c r="L29" s="220">
        <v>28</v>
      </c>
      <c r="M29" s="220">
        <v>12.2</v>
      </c>
      <c r="N29" s="220">
        <v>2.5</v>
      </c>
      <c r="O29" s="220">
        <v>1.3</v>
      </c>
      <c r="P29" s="116">
        <v>1.9</v>
      </c>
      <c r="Q29" s="25">
        <v>2.3</v>
      </c>
      <c r="R29" s="222">
        <v>19</v>
      </c>
      <c r="S29" s="290">
        <v>2700</v>
      </c>
      <c r="T29" s="290">
        <v>5700</v>
      </c>
      <c r="U29" s="304" t="s">
        <v>1</v>
      </c>
    </row>
    <row r="30" spans="1:21" ht="16.5" customHeight="1">
      <c r="A30" s="854"/>
      <c r="B30" s="33" t="s">
        <v>87</v>
      </c>
      <c r="C30" s="298" t="s">
        <v>278</v>
      </c>
      <c r="D30" s="298" t="s">
        <v>279</v>
      </c>
      <c r="E30" s="27">
        <v>7.2</v>
      </c>
      <c r="F30" s="105">
        <v>409</v>
      </c>
      <c r="G30" s="26">
        <v>13.8</v>
      </c>
      <c r="H30" s="27">
        <v>0.6</v>
      </c>
      <c r="I30" s="225" t="s">
        <v>2</v>
      </c>
      <c r="J30" s="223">
        <v>2.686</v>
      </c>
      <c r="K30" s="115">
        <v>42.9</v>
      </c>
      <c r="L30" s="220">
        <v>32.3</v>
      </c>
      <c r="M30" s="220">
        <v>19.5</v>
      </c>
      <c r="N30" s="220">
        <v>3.5</v>
      </c>
      <c r="O30" s="229">
        <v>0.8</v>
      </c>
      <c r="P30" s="231">
        <v>1</v>
      </c>
      <c r="Q30" s="25">
        <v>1.7</v>
      </c>
      <c r="R30" s="222">
        <v>19</v>
      </c>
      <c r="S30" s="290">
        <v>500</v>
      </c>
      <c r="T30" s="290">
        <v>1100</v>
      </c>
      <c r="U30" s="28" t="s">
        <v>1</v>
      </c>
    </row>
    <row r="31" spans="1:21" ht="16.5" customHeight="1">
      <c r="A31" s="855"/>
      <c r="B31" s="33" t="s">
        <v>88</v>
      </c>
      <c r="C31" s="298" t="s">
        <v>280</v>
      </c>
      <c r="D31" s="298" t="s">
        <v>281</v>
      </c>
      <c r="E31" s="27">
        <v>7.2</v>
      </c>
      <c r="F31" s="105">
        <v>322</v>
      </c>
      <c r="G31" s="26">
        <v>16.4</v>
      </c>
      <c r="H31" s="27">
        <v>0.8</v>
      </c>
      <c r="I31" s="225" t="s">
        <v>2</v>
      </c>
      <c r="J31" s="223">
        <v>2.703</v>
      </c>
      <c r="K31" s="115">
        <v>40.8</v>
      </c>
      <c r="L31" s="220">
        <v>23.3</v>
      </c>
      <c r="M31" s="220">
        <v>28.1</v>
      </c>
      <c r="N31" s="220">
        <v>5</v>
      </c>
      <c r="O31" s="229">
        <v>1.5</v>
      </c>
      <c r="P31" s="231">
        <v>1.3</v>
      </c>
      <c r="Q31" s="25">
        <v>1.4</v>
      </c>
      <c r="R31" s="222">
        <v>19</v>
      </c>
      <c r="S31" s="292">
        <v>560</v>
      </c>
      <c r="T31" s="292">
        <v>1100</v>
      </c>
      <c r="U31" s="37" t="s">
        <v>1</v>
      </c>
    </row>
    <row r="32" spans="1:21" ht="16.5" customHeight="1">
      <c r="A32" s="842" t="s">
        <v>138</v>
      </c>
      <c r="B32" s="30" t="s">
        <v>74</v>
      </c>
      <c r="C32" s="296" t="s">
        <v>212</v>
      </c>
      <c r="D32" s="296" t="s">
        <v>213</v>
      </c>
      <c r="E32" s="212">
        <v>6.9</v>
      </c>
      <c r="F32" s="114">
        <v>147</v>
      </c>
      <c r="G32" s="23">
        <v>69.4</v>
      </c>
      <c r="H32" s="212">
        <v>18.5</v>
      </c>
      <c r="I32" s="114">
        <v>88</v>
      </c>
      <c r="J32" s="213">
        <v>2.543</v>
      </c>
      <c r="K32" s="214">
        <v>0</v>
      </c>
      <c r="L32" s="215">
        <v>0.4000000000000057</v>
      </c>
      <c r="M32" s="215">
        <v>6</v>
      </c>
      <c r="N32" s="215">
        <v>51.6</v>
      </c>
      <c r="O32" s="227">
        <v>19.7</v>
      </c>
      <c r="P32" s="248">
        <v>22.3</v>
      </c>
      <c r="Q32" s="217">
        <v>0.1</v>
      </c>
      <c r="R32" s="218">
        <v>2</v>
      </c>
      <c r="S32" s="289">
        <v>4400</v>
      </c>
      <c r="T32" s="289">
        <v>9300</v>
      </c>
      <c r="U32" s="310">
        <v>5.3</v>
      </c>
    </row>
    <row r="33" spans="1:21" ht="16.5" customHeight="1">
      <c r="A33" s="861"/>
      <c r="B33" s="33" t="s">
        <v>75</v>
      </c>
      <c r="C33" s="298" t="s">
        <v>282</v>
      </c>
      <c r="D33" s="297" t="s">
        <v>283</v>
      </c>
      <c r="E33" s="27">
        <v>7</v>
      </c>
      <c r="F33" s="105">
        <v>116</v>
      </c>
      <c r="G33" s="26">
        <v>73.8</v>
      </c>
      <c r="H33" s="27">
        <v>17.6</v>
      </c>
      <c r="I33" s="105">
        <v>46</v>
      </c>
      <c r="J33" s="223">
        <v>2.518</v>
      </c>
      <c r="K33" s="251">
        <v>0</v>
      </c>
      <c r="L33" s="220">
        <v>0.7999999999999972</v>
      </c>
      <c r="M33" s="220">
        <v>1.7</v>
      </c>
      <c r="N33" s="220">
        <v>4.5</v>
      </c>
      <c r="O33" s="229">
        <v>39.8</v>
      </c>
      <c r="P33" s="230">
        <v>53.2</v>
      </c>
      <c r="Q33" s="252">
        <v>0.0023</v>
      </c>
      <c r="R33" s="222">
        <v>2</v>
      </c>
      <c r="S33" s="290">
        <v>11000</v>
      </c>
      <c r="T33" s="290">
        <v>23000</v>
      </c>
      <c r="U33" s="28" t="s">
        <v>1</v>
      </c>
    </row>
    <row r="34" spans="1:21" ht="16.5" customHeight="1">
      <c r="A34" s="861"/>
      <c r="B34" s="33" t="s">
        <v>76</v>
      </c>
      <c r="C34" s="298" t="s">
        <v>214</v>
      </c>
      <c r="D34" s="297" t="s">
        <v>215</v>
      </c>
      <c r="E34" s="27">
        <v>6.9</v>
      </c>
      <c r="F34" s="105">
        <v>90</v>
      </c>
      <c r="G34" s="26">
        <v>53.9</v>
      </c>
      <c r="H34" s="27">
        <v>7.8</v>
      </c>
      <c r="I34" s="105">
        <v>20</v>
      </c>
      <c r="J34" s="223">
        <v>2.634</v>
      </c>
      <c r="K34" s="115">
        <v>5.6</v>
      </c>
      <c r="L34" s="220">
        <v>4.800000000000011</v>
      </c>
      <c r="M34" s="220">
        <v>9.399999999999991</v>
      </c>
      <c r="N34" s="220">
        <v>16</v>
      </c>
      <c r="O34" s="229">
        <v>25.8</v>
      </c>
      <c r="P34" s="230">
        <v>38.4</v>
      </c>
      <c r="Q34" s="110">
        <v>0.027</v>
      </c>
      <c r="R34" s="232">
        <v>9.5</v>
      </c>
      <c r="S34" s="290">
        <v>1800</v>
      </c>
      <c r="T34" s="290">
        <v>3900</v>
      </c>
      <c r="U34" s="28" t="s">
        <v>1</v>
      </c>
    </row>
    <row r="35" spans="1:21" ht="16.5" customHeight="1">
      <c r="A35" s="861"/>
      <c r="B35" s="33" t="s">
        <v>77</v>
      </c>
      <c r="C35" s="298" t="s">
        <v>284</v>
      </c>
      <c r="D35" s="297" t="s">
        <v>285</v>
      </c>
      <c r="E35" s="27">
        <v>7.3</v>
      </c>
      <c r="F35" s="105">
        <v>212</v>
      </c>
      <c r="G35" s="26">
        <v>28.3</v>
      </c>
      <c r="H35" s="27">
        <v>3.2</v>
      </c>
      <c r="I35" s="105">
        <v>3</v>
      </c>
      <c r="J35" s="223">
        <v>2.69</v>
      </c>
      <c r="K35" s="115">
        <v>12.3</v>
      </c>
      <c r="L35" s="220">
        <v>35.2</v>
      </c>
      <c r="M35" s="220">
        <v>31.7</v>
      </c>
      <c r="N35" s="220">
        <v>10.3</v>
      </c>
      <c r="O35" s="229">
        <v>3.6</v>
      </c>
      <c r="P35" s="230">
        <v>6.9</v>
      </c>
      <c r="Q35" s="106">
        <v>0.8</v>
      </c>
      <c r="R35" s="222">
        <v>19</v>
      </c>
      <c r="S35" s="290">
        <v>1500</v>
      </c>
      <c r="T35" s="290">
        <v>3100</v>
      </c>
      <c r="U35" s="28" t="s">
        <v>1</v>
      </c>
    </row>
    <row r="36" spans="1:21" ht="16.5" customHeight="1">
      <c r="A36" s="862"/>
      <c r="B36" s="34" t="s">
        <v>78</v>
      </c>
      <c r="C36" s="299" t="s">
        <v>216</v>
      </c>
      <c r="D36" s="300" t="s">
        <v>217</v>
      </c>
      <c r="E36" s="183">
        <v>6.8</v>
      </c>
      <c r="F36" s="117">
        <v>152</v>
      </c>
      <c r="G36" s="36">
        <v>75.6</v>
      </c>
      <c r="H36" s="183">
        <v>27.4</v>
      </c>
      <c r="I36" s="117">
        <v>99</v>
      </c>
      <c r="J36" s="234">
        <v>2.41</v>
      </c>
      <c r="K36" s="253">
        <v>0</v>
      </c>
      <c r="L36" s="236">
        <v>0.09999999999999432</v>
      </c>
      <c r="M36" s="236">
        <v>3.6000000000000085</v>
      </c>
      <c r="N36" s="236">
        <v>21.8</v>
      </c>
      <c r="O36" s="237">
        <v>41.3</v>
      </c>
      <c r="P36" s="254">
        <v>33.2</v>
      </c>
      <c r="Q36" s="255">
        <v>0.019</v>
      </c>
      <c r="R36" s="240">
        <v>2</v>
      </c>
      <c r="S36" s="292">
        <v>6700</v>
      </c>
      <c r="T36" s="292">
        <v>14000</v>
      </c>
      <c r="U36" s="37" t="s">
        <v>1</v>
      </c>
    </row>
    <row r="37" spans="1:21" ht="16.5" customHeight="1">
      <c r="A37" s="835" t="s">
        <v>43</v>
      </c>
      <c r="B37" s="30" t="s">
        <v>89</v>
      </c>
      <c r="C37" s="296" t="s">
        <v>286</v>
      </c>
      <c r="D37" s="296" t="s">
        <v>219</v>
      </c>
      <c r="E37" s="212">
        <v>6.7</v>
      </c>
      <c r="F37" s="114">
        <v>68</v>
      </c>
      <c r="G37" s="23">
        <v>64.1</v>
      </c>
      <c r="H37" s="212">
        <v>9</v>
      </c>
      <c r="I37" s="114">
        <v>24</v>
      </c>
      <c r="J37" s="213">
        <v>2.648</v>
      </c>
      <c r="K37" s="214">
        <v>0</v>
      </c>
      <c r="L37" s="256">
        <v>0</v>
      </c>
      <c r="M37" s="215">
        <v>0.20000000000000284</v>
      </c>
      <c r="N37" s="215">
        <v>0.09999999999999432</v>
      </c>
      <c r="O37" s="227">
        <v>57.6</v>
      </c>
      <c r="P37" s="248">
        <v>42.1</v>
      </c>
      <c r="Q37" s="257">
        <v>0.0067</v>
      </c>
      <c r="R37" s="218">
        <v>2</v>
      </c>
      <c r="S37" s="289">
        <v>190</v>
      </c>
      <c r="T37" s="289">
        <v>390</v>
      </c>
      <c r="U37" s="41" t="s">
        <v>1</v>
      </c>
    </row>
    <row r="38" spans="1:21" ht="16.5" customHeight="1">
      <c r="A38" s="861"/>
      <c r="B38" s="33" t="s">
        <v>90</v>
      </c>
      <c r="C38" s="297" t="s">
        <v>130</v>
      </c>
      <c r="D38" s="297" t="s">
        <v>131</v>
      </c>
      <c r="E38" s="27">
        <v>6.7</v>
      </c>
      <c r="F38" s="105">
        <v>38</v>
      </c>
      <c r="G38" s="26">
        <v>77.3</v>
      </c>
      <c r="H38" s="27">
        <v>14.5</v>
      </c>
      <c r="I38" s="105">
        <v>51</v>
      </c>
      <c r="J38" s="223">
        <v>2.518</v>
      </c>
      <c r="K38" s="251">
        <v>0</v>
      </c>
      <c r="L38" s="220">
        <v>0.09999999999999432</v>
      </c>
      <c r="M38" s="220">
        <v>0.10000000000000853</v>
      </c>
      <c r="N38" s="220">
        <v>0.20000000000000284</v>
      </c>
      <c r="O38" s="229">
        <v>46.8</v>
      </c>
      <c r="P38" s="230">
        <v>52.8</v>
      </c>
      <c r="Q38" s="252">
        <v>0.0038</v>
      </c>
      <c r="R38" s="222">
        <v>2</v>
      </c>
      <c r="S38" s="290">
        <v>540</v>
      </c>
      <c r="T38" s="290">
        <v>1100</v>
      </c>
      <c r="U38" s="29" t="s">
        <v>1</v>
      </c>
    </row>
    <row r="39" spans="1:21" ht="16.5" customHeight="1">
      <c r="A39" s="861"/>
      <c r="B39" s="33" t="s">
        <v>91</v>
      </c>
      <c r="C39" s="297" t="s">
        <v>132</v>
      </c>
      <c r="D39" s="297" t="s">
        <v>133</v>
      </c>
      <c r="E39" s="27">
        <v>6.6</v>
      </c>
      <c r="F39" s="105">
        <v>43</v>
      </c>
      <c r="G39" s="26">
        <v>63.9</v>
      </c>
      <c r="H39" s="27">
        <v>11.2</v>
      </c>
      <c r="I39" s="105">
        <v>29</v>
      </c>
      <c r="J39" s="223">
        <v>2.561</v>
      </c>
      <c r="K39" s="251">
        <v>0</v>
      </c>
      <c r="L39" s="220">
        <v>0.09999999999999432</v>
      </c>
      <c r="M39" s="220">
        <v>0.20000000000000284</v>
      </c>
      <c r="N39" s="220">
        <v>10.7</v>
      </c>
      <c r="O39" s="229">
        <v>50.6</v>
      </c>
      <c r="P39" s="230">
        <v>38.4</v>
      </c>
      <c r="Q39" s="110">
        <v>0.011</v>
      </c>
      <c r="R39" s="222">
        <v>2</v>
      </c>
      <c r="S39" s="290">
        <v>770</v>
      </c>
      <c r="T39" s="290">
        <v>1600</v>
      </c>
      <c r="U39" s="311">
        <v>1.6</v>
      </c>
    </row>
    <row r="40" spans="1:21" ht="16.5" customHeight="1">
      <c r="A40" s="861"/>
      <c r="B40" s="33" t="s">
        <v>99</v>
      </c>
      <c r="C40" s="297" t="s">
        <v>134</v>
      </c>
      <c r="D40" s="297" t="s">
        <v>135</v>
      </c>
      <c r="E40" s="27">
        <v>6.8</v>
      </c>
      <c r="F40" s="105">
        <v>48</v>
      </c>
      <c r="G40" s="26">
        <v>62.9</v>
      </c>
      <c r="H40" s="27">
        <v>9</v>
      </c>
      <c r="I40" s="105">
        <v>25</v>
      </c>
      <c r="J40" s="223">
        <v>2.625</v>
      </c>
      <c r="K40" s="115">
        <v>0.6</v>
      </c>
      <c r="L40" s="220">
        <v>1.1000000000000085</v>
      </c>
      <c r="M40" s="220">
        <v>2.0999999999999943</v>
      </c>
      <c r="N40" s="220">
        <v>10.4</v>
      </c>
      <c r="O40" s="229">
        <v>46.4</v>
      </c>
      <c r="P40" s="230">
        <v>39.4</v>
      </c>
      <c r="Q40" s="110">
        <v>0.012</v>
      </c>
      <c r="R40" s="224">
        <v>4.75</v>
      </c>
      <c r="S40" s="290">
        <v>380</v>
      </c>
      <c r="T40" s="290">
        <v>830</v>
      </c>
      <c r="U40" s="304" t="s">
        <v>1</v>
      </c>
    </row>
    <row r="41" spans="1:21" ht="16.5" customHeight="1">
      <c r="A41" s="862"/>
      <c r="B41" s="34" t="s">
        <v>92</v>
      </c>
      <c r="C41" s="297" t="s">
        <v>287</v>
      </c>
      <c r="D41" s="297" t="s">
        <v>223</v>
      </c>
      <c r="E41" s="183">
        <v>6.7</v>
      </c>
      <c r="F41" s="117">
        <v>29</v>
      </c>
      <c r="G41" s="36">
        <v>55.1</v>
      </c>
      <c r="H41" s="183">
        <v>6.8</v>
      </c>
      <c r="I41" s="117">
        <v>24</v>
      </c>
      <c r="J41" s="234">
        <v>2.684</v>
      </c>
      <c r="K41" s="253">
        <v>0</v>
      </c>
      <c r="L41" s="236">
        <v>0.09999999999999432</v>
      </c>
      <c r="M41" s="236">
        <v>1.4000000000000057</v>
      </c>
      <c r="N41" s="236">
        <v>32.4</v>
      </c>
      <c r="O41" s="237">
        <v>38.3</v>
      </c>
      <c r="P41" s="254">
        <v>27.8</v>
      </c>
      <c r="Q41" s="255">
        <v>0.031</v>
      </c>
      <c r="R41" s="258">
        <v>4.75</v>
      </c>
      <c r="S41" s="292">
        <v>540</v>
      </c>
      <c r="T41" s="292">
        <v>1200</v>
      </c>
      <c r="U41" s="37" t="s">
        <v>1</v>
      </c>
    </row>
    <row r="42" spans="1:21" ht="16.5" customHeight="1">
      <c r="A42" s="835" t="s">
        <v>44</v>
      </c>
      <c r="B42" s="181" t="s">
        <v>93</v>
      </c>
      <c r="C42" s="296" t="s">
        <v>288</v>
      </c>
      <c r="D42" s="296" t="s">
        <v>225</v>
      </c>
      <c r="E42" s="212">
        <v>6.7</v>
      </c>
      <c r="F42" s="114">
        <v>33</v>
      </c>
      <c r="G42" s="23">
        <v>42.7</v>
      </c>
      <c r="H42" s="212">
        <v>3.2</v>
      </c>
      <c r="I42" s="249" t="s">
        <v>2</v>
      </c>
      <c r="J42" s="213">
        <v>2.701</v>
      </c>
      <c r="K42" s="226">
        <v>44</v>
      </c>
      <c r="L42" s="215">
        <v>12.3</v>
      </c>
      <c r="M42" s="215">
        <v>20.1</v>
      </c>
      <c r="N42" s="215">
        <v>15.1</v>
      </c>
      <c r="O42" s="227">
        <v>3.5</v>
      </c>
      <c r="P42" s="248">
        <v>5</v>
      </c>
      <c r="Q42" s="31">
        <v>1.3</v>
      </c>
      <c r="R42" s="259">
        <v>37.5</v>
      </c>
      <c r="S42" s="290">
        <v>120</v>
      </c>
      <c r="T42" s="290">
        <v>270</v>
      </c>
      <c r="U42" s="41" t="s">
        <v>543</v>
      </c>
    </row>
    <row r="43" spans="1:21" ht="16.5" customHeight="1">
      <c r="A43" s="861"/>
      <c r="B43" s="33" t="s">
        <v>94</v>
      </c>
      <c r="C43" s="298" t="s">
        <v>289</v>
      </c>
      <c r="D43" s="297" t="s">
        <v>290</v>
      </c>
      <c r="E43" s="27">
        <v>6.8</v>
      </c>
      <c r="F43" s="105">
        <v>3</v>
      </c>
      <c r="G43" s="26">
        <v>73.5</v>
      </c>
      <c r="H43" s="27">
        <v>8.5</v>
      </c>
      <c r="I43" s="105">
        <v>2</v>
      </c>
      <c r="J43" s="223">
        <v>2.604</v>
      </c>
      <c r="K43" s="115">
        <v>0.4</v>
      </c>
      <c r="L43" s="220">
        <v>1.0999999999999943</v>
      </c>
      <c r="M43" s="220">
        <v>3</v>
      </c>
      <c r="N43" s="220">
        <v>32.8</v>
      </c>
      <c r="O43" s="229">
        <v>40</v>
      </c>
      <c r="P43" s="230">
        <v>22.7</v>
      </c>
      <c r="Q43" s="110">
        <v>0.048</v>
      </c>
      <c r="R43" s="224">
        <v>4.75</v>
      </c>
      <c r="S43" s="290">
        <v>490</v>
      </c>
      <c r="T43" s="290">
        <v>1100</v>
      </c>
      <c r="U43" s="28" t="s">
        <v>1</v>
      </c>
    </row>
    <row r="44" spans="1:21" ht="16.5" customHeight="1">
      <c r="A44" s="861"/>
      <c r="B44" s="33" t="s">
        <v>100</v>
      </c>
      <c r="C44" s="298" t="s">
        <v>291</v>
      </c>
      <c r="D44" s="297" t="s">
        <v>226</v>
      </c>
      <c r="E44" s="27">
        <v>6.7</v>
      </c>
      <c r="F44" s="105">
        <v>80</v>
      </c>
      <c r="G44" s="26">
        <v>74</v>
      </c>
      <c r="H44" s="27">
        <v>11.4</v>
      </c>
      <c r="I44" s="105">
        <v>1</v>
      </c>
      <c r="J44" s="223">
        <v>2.631</v>
      </c>
      <c r="K44" s="115">
        <v>0.6</v>
      </c>
      <c r="L44" s="220">
        <v>0.10000000000000853</v>
      </c>
      <c r="M44" s="220">
        <v>0.8999999999999915</v>
      </c>
      <c r="N44" s="220">
        <v>22.4</v>
      </c>
      <c r="O44" s="229">
        <v>52.4</v>
      </c>
      <c r="P44" s="230">
        <v>23.6</v>
      </c>
      <c r="Q44" s="110">
        <v>0.023</v>
      </c>
      <c r="R44" s="224">
        <v>4.75</v>
      </c>
      <c r="S44" s="290">
        <v>66</v>
      </c>
      <c r="T44" s="290">
        <v>170</v>
      </c>
      <c r="U44" s="28" t="s">
        <v>1</v>
      </c>
    </row>
    <row r="45" spans="1:21" ht="16.5" customHeight="1">
      <c r="A45" s="861"/>
      <c r="B45" s="33" t="s">
        <v>101</v>
      </c>
      <c r="C45" s="33" t="s">
        <v>292</v>
      </c>
      <c r="D45" s="297" t="s">
        <v>293</v>
      </c>
      <c r="E45" s="260">
        <v>6.4</v>
      </c>
      <c r="F45" s="261">
        <v>368</v>
      </c>
      <c r="G45" s="262">
        <v>19.1</v>
      </c>
      <c r="H45" s="260">
        <v>1.2</v>
      </c>
      <c r="I45" s="261">
        <v>2</v>
      </c>
      <c r="J45" s="263">
        <v>2.832</v>
      </c>
      <c r="K45" s="264">
        <v>43.7</v>
      </c>
      <c r="L45" s="265">
        <v>15.4</v>
      </c>
      <c r="M45" s="265">
        <v>32.5</v>
      </c>
      <c r="N45" s="265">
        <v>7.6</v>
      </c>
      <c r="O45" s="266">
        <v>0.2</v>
      </c>
      <c r="P45" s="267">
        <v>0.6</v>
      </c>
      <c r="Q45" s="268">
        <v>1.4</v>
      </c>
      <c r="R45" s="269">
        <v>19</v>
      </c>
      <c r="S45" s="291">
        <v>19</v>
      </c>
      <c r="T45" s="291">
        <v>49</v>
      </c>
      <c r="U45" s="29" t="s">
        <v>1</v>
      </c>
    </row>
    <row r="46" spans="1:21" ht="16.5" customHeight="1">
      <c r="A46" s="862"/>
      <c r="B46" s="34" t="s">
        <v>95</v>
      </c>
      <c r="C46" s="297" t="s">
        <v>229</v>
      </c>
      <c r="D46" s="297" t="s">
        <v>228</v>
      </c>
      <c r="E46" s="183">
        <v>6.6</v>
      </c>
      <c r="F46" s="117">
        <v>392</v>
      </c>
      <c r="G46" s="36">
        <v>27.9</v>
      </c>
      <c r="H46" s="183">
        <v>1.5</v>
      </c>
      <c r="I46" s="117">
        <v>1</v>
      </c>
      <c r="J46" s="234">
        <v>2.765</v>
      </c>
      <c r="K46" s="235">
        <v>6.6</v>
      </c>
      <c r="L46" s="236">
        <v>8.1</v>
      </c>
      <c r="M46" s="236">
        <v>50</v>
      </c>
      <c r="N46" s="236">
        <v>32.9</v>
      </c>
      <c r="O46" s="237">
        <v>0.6</v>
      </c>
      <c r="P46" s="254">
        <v>1.8</v>
      </c>
      <c r="Q46" s="239">
        <v>0.31</v>
      </c>
      <c r="R46" s="240">
        <v>9.5</v>
      </c>
      <c r="S46" s="292">
        <v>56</v>
      </c>
      <c r="T46" s="293">
        <v>130</v>
      </c>
      <c r="U46" s="37" t="s">
        <v>1</v>
      </c>
    </row>
    <row r="47" spans="1:21" ht="16.5" customHeight="1">
      <c r="A47" s="828" t="s">
        <v>141</v>
      </c>
      <c r="B47" s="38" t="s">
        <v>147</v>
      </c>
      <c r="C47" s="296" t="s">
        <v>294</v>
      </c>
      <c r="D47" s="296" t="s">
        <v>295</v>
      </c>
      <c r="E47" s="22">
        <v>7.6</v>
      </c>
      <c r="F47" s="118">
        <v>186</v>
      </c>
      <c r="G47" s="39">
        <v>21</v>
      </c>
      <c r="H47" s="185">
        <v>1.3</v>
      </c>
      <c r="I47" s="270" t="s">
        <v>2</v>
      </c>
      <c r="J47" s="241">
        <v>2.696</v>
      </c>
      <c r="K47" s="271">
        <v>0</v>
      </c>
      <c r="L47" s="272">
        <v>15.8</v>
      </c>
      <c r="M47" s="272">
        <v>66.4</v>
      </c>
      <c r="N47" s="272">
        <v>15.8</v>
      </c>
      <c r="O47" s="272">
        <v>0.8</v>
      </c>
      <c r="P47" s="119">
        <v>1.2</v>
      </c>
      <c r="Q47" s="273">
        <v>0.5</v>
      </c>
      <c r="R47" s="245">
        <v>2</v>
      </c>
      <c r="S47" s="288">
        <v>8.4</v>
      </c>
      <c r="T47" s="289">
        <v>23</v>
      </c>
      <c r="U47" s="189" t="s">
        <v>1</v>
      </c>
    </row>
    <row r="48" spans="1:21" ht="16.5" customHeight="1">
      <c r="A48" s="863"/>
      <c r="B48" s="33" t="s">
        <v>148</v>
      </c>
      <c r="C48" s="298" t="s">
        <v>296</v>
      </c>
      <c r="D48" s="298" t="s">
        <v>297</v>
      </c>
      <c r="E48" s="25">
        <v>7.7</v>
      </c>
      <c r="F48" s="105">
        <v>175</v>
      </c>
      <c r="G48" s="26">
        <v>30.7</v>
      </c>
      <c r="H48" s="27">
        <v>2.4</v>
      </c>
      <c r="I48" s="274" t="s">
        <v>2</v>
      </c>
      <c r="J48" s="223">
        <v>2.765</v>
      </c>
      <c r="K48" s="107">
        <v>0</v>
      </c>
      <c r="L48" s="275">
        <v>0.09999999999999432</v>
      </c>
      <c r="M48" s="275">
        <v>1.3000000000000114</v>
      </c>
      <c r="N48" s="275">
        <v>74.7</v>
      </c>
      <c r="O48" s="275">
        <v>10.5</v>
      </c>
      <c r="P48" s="111">
        <v>13.4</v>
      </c>
      <c r="Q48" s="106">
        <v>0.12</v>
      </c>
      <c r="R48" s="222">
        <v>2</v>
      </c>
      <c r="S48" s="290">
        <v>39</v>
      </c>
      <c r="T48" s="290">
        <v>84</v>
      </c>
      <c r="U48" s="45" t="s">
        <v>544</v>
      </c>
    </row>
    <row r="49" spans="1:21" ht="16.5" customHeight="1">
      <c r="A49" s="829"/>
      <c r="B49" s="34" t="s">
        <v>149</v>
      </c>
      <c r="C49" s="299" t="s">
        <v>298</v>
      </c>
      <c r="D49" s="299" t="s">
        <v>299</v>
      </c>
      <c r="E49" s="35">
        <v>7.7</v>
      </c>
      <c r="F49" s="247">
        <v>-11</v>
      </c>
      <c r="G49" s="36">
        <v>56.3</v>
      </c>
      <c r="H49" s="183">
        <v>8</v>
      </c>
      <c r="I49" s="276">
        <v>14</v>
      </c>
      <c r="J49" s="234">
        <v>2.688</v>
      </c>
      <c r="K49" s="277">
        <v>0</v>
      </c>
      <c r="L49" s="278">
        <v>0</v>
      </c>
      <c r="M49" s="279">
        <v>0.09999999999999432</v>
      </c>
      <c r="N49" s="279">
        <v>5.400000000000006</v>
      </c>
      <c r="O49" s="279">
        <v>51.3</v>
      </c>
      <c r="P49" s="184">
        <v>43.2</v>
      </c>
      <c r="Q49" s="280">
        <v>0.0071</v>
      </c>
      <c r="R49" s="247">
        <v>2</v>
      </c>
      <c r="S49" s="292">
        <v>420</v>
      </c>
      <c r="T49" s="292">
        <v>920</v>
      </c>
      <c r="U49" s="37" t="s">
        <v>1</v>
      </c>
    </row>
    <row r="50" spans="1:21" ht="16.5" customHeight="1">
      <c r="A50" s="832" t="s">
        <v>142</v>
      </c>
      <c r="B50" s="30" t="s">
        <v>96</v>
      </c>
      <c r="C50" s="297" t="s">
        <v>300</v>
      </c>
      <c r="D50" s="296" t="s">
        <v>301</v>
      </c>
      <c r="E50" s="31">
        <v>8.1</v>
      </c>
      <c r="F50" s="114">
        <v>114</v>
      </c>
      <c r="G50" s="23">
        <v>27.7</v>
      </c>
      <c r="H50" s="212">
        <v>2.5</v>
      </c>
      <c r="I50" s="281">
        <v>3.6</v>
      </c>
      <c r="J50" s="213">
        <v>2.733</v>
      </c>
      <c r="K50" s="282">
        <v>6.5</v>
      </c>
      <c r="L50" s="283">
        <v>11.6</v>
      </c>
      <c r="M50" s="283">
        <v>40.8</v>
      </c>
      <c r="N50" s="283">
        <v>19.7</v>
      </c>
      <c r="O50" s="32">
        <v>9.2</v>
      </c>
      <c r="P50" s="284">
        <v>12.2</v>
      </c>
      <c r="Q50" s="217">
        <v>0.33</v>
      </c>
      <c r="R50" s="259">
        <v>9.5</v>
      </c>
      <c r="S50" s="289">
        <v>46</v>
      </c>
      <c r="T50" s="289">
        <v>100</v>
      </c>
      <c r="U50" s="46" t="s">
        <v>1</v>
      </c>
    </row>
    <row r="51" spans="1:21" ht="16.5" customHeight="1">
      <c r="A51" s="863"/>
      <c r="B51" s="33" t="s">
        <v>97</v>
      </c>
      <c r="C51" s="298" t="s">
        <v>302</v>
      </c>
      <c r="D51" s="297" t="s">
        <v>303</v>
      </c>
      <c r="E51" s="25">
        <v>7.9</v>
      </c>
      <c r="F51" s="285">
        <v>99</v>
      </c>
      <c r="G51" s="26">
        <v>27.1</v>
      </c>
      <c r="H51" s="27">
        <v>1.9</v>
      </c>
      <c r="I51" s="274">
        <v>1.6</v>
      </c>
      <c r="J51" s="223">
        <v>2.723</v>
      </c>
      <c r="K51" s="107">
        <v>0</v>
      </c>
      <c r="L51" s="275">
        <v>0.20000000000000284</v>
      </c>
      <c r="M51" s="275">
        <v>23.2</v>
      </c>
      <c r="N51" s="275">
        <v>68.7</v>
      </c>
      <c r="O51" s="275">
        <v>0.6</v>
      </c>
      <c r="P51" s="111">
        <v>7.3</v>
      </c>
      <c r="Q51" s="106">
        <v>0.18</v>
      </c>
      <c r="R51" s="222">
        <v>2</v>
      </c>
      <c r="S51" s="290">
        <v>26</v>
      </c>
      <c r="T51" s="290">
        <v>53</v>
      </c>
      <c r="U51" s="45" t="s">
        <v>544</v>
      </c>
    </row>
    <row r="52" spans="1:21" ht="16.5" customHeight="1">
      <c r="A52" s="829"/>
      <c r="B52" s="34" t="s">
        <v>98</v>
      </c>
      <c r="C52" s="299" t="s">
        <v>304</v>
      </c>
      <c r="D52" s="300" t="s">
        <v>305</v>
      </c>
      <c r="E52" s="35">
        <v>8</v>
      </c>
      <c r="F52" s="117">
        <v>141</v>
      </c>
      <c r="G52" s="36">
        <v>21.1</v>
      </c>
      <c r="H52" s="183">
        <v>1.1</v>
      </c>
      <c r="I52" s="286" t="s">
        <v>2</v>
      </c>
      <c r="J52" s="234">
        <v>2.774</v>
      </c>
      <c r="K52" s="277">
        <v>0</v>
      </c>
      <c r="L52" s="279">
        <v>0.5999999999999943</v>
      </c>
      <c r="M52" s="279">
        <v>54.9</v>
      </c>
      <c r="N52" s="279">
        <v>41.7</v>
      </c>
      <c r="O52" s="279">
        <v>0.4</v>
      </c>
      <c r="P52" s="184">
        <v>2.4</v>
      </c>
      <c r="Q52" s="239">
        <v>0.27</v>
      </c>
      <c r="R52" s="247">
        <v>2</v>
      </c>
      <c r="S52" s="294">
        <v>4</v>
      </c>
      <c r="T52" s="292">
        <v>10</v>
      </c>
      <c r="U52" s="47" t="s">
        <v>35</v>
      </c>
    </row>
    <row r="53" spans="1:21" ht="16.5" customHeight="1">
      <c r="A53" s="832" t="s">
        <v>139</v>
      </c>
      <c r="B53" s="30" t="s">
        <v>150</v>
      </c>
      <c r="C53" s="297" t="s">
        <v>306</v>
      </c>
      <c r="D53" s="297" t="s">
        <v>307</v>
      </c>
      <c r="E53" s="212">
        <v>7.7</v>
      </c>
      <c r="F53" s="114">
        <v>220</v>
      </c>
      <c r="G53" s="23">
        <v>27.3</v>
      </c>
      <c r="H53" s="212">
        <v>1.9</v>
      </c>
      <c r="I53" s="163" t="s">
        <v>2</v>
      </c>
      <c r="J53" s="213">
        <v>2.798</v>
      </c>
      <c r="K53" s="214">
        <v>0</v>
      </c>
      <c r="L53" s="256">
        <v>0</v>
      </c>
      <c r="M53" s="215">
        <v>2.5</v>
      </c>
      <c r="N53" s="215">
        <v>92.4</v>
      </c>
      <c r="O53" s="227">
        <v>2.4</v>
      </c>
      <c r="P53" s="248">
        <v>2.7</v>
      </c>
      <c r="Q53" s="217">
        <v>0.15</v>
      </c>
      <c r="R53" s="721">
        <v>0.85</v>
      </c>
      <c r="S53" s="289">
        <v>220</v>
      </c>
      <c r="T53" s="289">
        <v>460</v>
      </c>
      <c r="U53" s="41" t="s">
        <v>1</v>
      </c>
    </row>
    <row r="54" spans="1:21" ht="16.5" customHeight="1">
      <c r="A54" s="863"/>
      <c r="B54" s="38" t="s">
        <v>151</v>
      </c>
      <c r="C54" s="298" t="s">
        <v>308</v>
      </c>
      <c r="D54" s="298" t="s">
        <v>309</v>
      </c>
      <c r="E54" s="27">
        <v>7.8</v>
      </c>
      <c r="F54" s="105">
        <v>216</v>
      </c>
      <c r="G54" s="26">
        <v>27</v>
      </c>
      <c r="H54" s="27">
        <v>2.2</v>
      </c>
      <c r="I54" s="108">
        <v>1.1</v>
      </c>
      <c r="J54" s="223">
        <v>2.814</v>
      </c>
      <c r="K54" s="251">
        <v>0</v>
      </c>
      <c r="L54" s="287">
        <v>0</v>
      </c>
      <c r="M54" s="220">
        <v>3.2</v>
      </c>
      <c r="N54" s="220">
        <v>90.8</v>
      </c>
      <c r="O54" s="229">
        <v>0.5</v>
      </c>
      <c r="P54" s="230">
        <v>5.5</v>
      </c>
      <c r="Q54" s="106">
        <v>0.15</v>
      </c>
      <c r="R54" s="224">
        <v>0.85</v>
      </c>
      <c r="S54" s="290">
        <v>70</v>
      </c>
      <c r="T54" s="290">
        <v>140</v>
      </c>
      <c r="U54" s="45" t="s">
        <v>545</v>
      </c>
    </row>
    <row r="55" spans="1:21" ht="16.5" customHeight="1">
      <c r="A55" s="829"/>
      <c r="B55" s="98" t="s">
        <v>152</v>
      </c>
      <c r="C55" s="299" t="s">
        <v>310</v>
      </c>
      <c r="D55" s="299" t="s">
        <v>311</v>
      </c>
      <c r="E55" s="183">
        <v>7.8</v>
      </c>
      <c r="F55" s="117">
        <v>220</v>
      </c>
      <c r="G55" s="36">
        <v>25.6</v>
      </c>
      <c r="H55" s="183">
        <v>2.2</v>
      </c>
      <c r="I55" s="109">
        <v>1.5</v>
      </c>
      <c r="J55" s="234">
        <v>2.769</v>
      </c>
      <c r="K55" s="235">
        <v>0.9</v>
      </c>
      <c r="L55" s="236">
        <v>1.3999999999999915</v>
      </c>
      <c r="M55" s="236">
        <v>3.6000000000000085</v>
      </c>
      <c r="N55" s="236">
        <v>90.1</v>
      </c>
      <c r="O55" s="237">
        <v>1</v>
      </c>
      <c r="P55" s="254">
        <v>3</v>
      </c>
      <c r="Q55" s="239">
        <v>0.16</v>
      </c>
      <c r="R55" s="258">
        <v>4.75</v>
      </c>
      <c r="S55" s="292">
        <v>50</v>
      </c>
      <c r="T55" s="293">
        <v>110</v>
      </c>
      <c r="U55" s="47" t="s">
        <v>1</v>
      </c>
    </row>
    <row r="56" spans="1:5" ht="16.5" customHeight="1">
      <c r="A56" s="132" t="s">
        <v>553</v>
      </c>
      <c r="E56" s="165"/>
    </row>
    <row r="57" spans="1:5" ht="13.5" customHeight="1">
      <c r="A57" s="145"/>
      <c r="B57" s="48"/>
      <c r="E57" s="165"/>
    </row>
    <row r="58" spans="1:16" ht="13.5">
      <c r="A58" s="145"/>
      <c r="B58" s="48"/>
      <c r="E58" s="165"/>
      <c r="P58" s="168"/>
    </row>
    <row r="61" spans="1:8" ht="13.5">
      <c r="A61" s="173"/>
      <c r="B61" s="4"/>
      <c r="E61" s="169"/>
      <c r="F61" s="170"/>
      <c r="G61" s="50"/>
      <c r="H61" s="50"/>
    </row>
    <row r="62" spans="1:8" ht="13.5">
      <c r="A62" s="173"/>
      <c r="B62" s="4"/>
      <c r="E62" s="169"/>
      <c r="F62" s="170"/>
      <c r="G62" s="50"/>
      <c r="H62" s="50"/>
    </row>
    <row r="63" spans="1:8" ht="13.5">
      <c r="A63" s="173"/>
      <c r="B63" s="4"/>
      <c r="E63" s="169"/>
      <c r="F63" s="170"/>
      <c r="G63" s="50"/>
      <c r="H63" s="50"/>
    </row>
    <row r="64" spans="1:8" ht="13.5">
      <c r="A64" s="173"/>
      <c r="B64" s="4"/>
      <c r="E64" s="169"/>
      <c r="F64" s="170"/>
      <c r="G64" s="50"/>
      <c r="H64" s="50"/>
    </row>
    <row r="65" spans="1:8" ht="13.5">
      <c r="A65" s="173"/>
      <c r="B65" s="4"/>
      <c r="E65" s="169"/>
      <c r="F65" s="170"/>
      <c r="G65" s="50"/>
      <c r="H65" s="50"/>
    </row>
    <row r="66" spans="1:8" ht="13.5">
      <c r="A66" s="173"/>
      <c r="B66" s="4"/>
      <c r="E66" s="169"/>
      <c r="F66" s="170"/>
      <c r="G66" s="50"/>
      <c r="H66" s="50"/>
    </row>
    <row r="67" spans="1:8" ht="13.5">
      <c r="A67" s="173"/>
      <c r="B67" s="4"/>
      <c r="E67" s="169"/>
      <c r="F67" s="170"/>
      <c r="G67" s="50"/>
      <c r="H67" s="50"/>
    </row>
    <row r="68" spans="1:8" ht="13.5">
      <c r="A68" s="173"/>
      <c r="B68" s="4"/>
      <c r="E68" s="169"/>
      <c r="F68" s="170"/>
      <c r="G68" s="50"/>
      <c r="H68" s="50"/>
    </row>
    <row r="69" spans="1:8" ht="13.5">
      <c r="A69" s="173"/>
      <c r="B69" s="4"/>
      <c r="E69" s="169"/>
      <c r="F69" s="170"/>
      <c r="G69" s="50"/>
      <c r="H69" s="50"/>
    </row>
    <row r="70" spans="1:8" ht="13.5">
      <c r="A70" s="173"/>
      <c r="B70" s="4"/>
      <c r="E70" s="169"/>
      <c r="F70" s="170"/>
      <c r="G70" s="50"/>
      <c r="H70" s="50"/>
    </row>
    <row r="71" spans="1:8" ht="13.5">
      <c r="A71" s="173"/>
      <c r="B71" s="4"/>
      <c r="E71" s="169"/>
      <c r="F71" s="170"/>
      <c r="G71" s="50"/>
      <c r="H71" s="50"/>
    </row>
    <row r="72" spans="1:8" ht="13.5">
      <c r="A72" s="173"/>
      <c r="B72" s="4"/>
      <c r="E72" s="169"/>
      <c r="F72" s="170"/>
      <c r="G72" s="50"/>
      <c r="H72" s="50"/>
    </row>
    <row r="73" spans="1:8" ht="13.5">
      <c r="A73" s="173"/>
      <c r="B73" s="4"/>
      <c r="E73" s="169"/>
      <c r="F73" s="170"/>
      <c r="G73" s="50"/>
      <c r="H73" s="50"/>
    </row>
    <row r="74" spans="1:8" ht="13.5">
      <c r="A74" s="173"/>
      <c r="B74" s="4"/>
      <c r="E74" s="169"/>
      <c r="F74" s="170"/>
      <c r="G74" s="50"/>
      <c r="H74" s="50"/>
    </row>
    <row r="75" spans="1:8" ht="13.5">
      <c r="A75" s="173"/>
      <c r="B75" s="4"/>
      <c r="E75" s="169"/>
      <c r="F75" s="170"/>
      <c r="G75" s="50"/>
      <c r="H75" s="50"/>
    </row>
    <row r="76" spans="1:8" ht="13.5">
      <c r="A76" s="173"/>
      <c r="B76" s="4"/>
      <c r="E76" s="169"/>
      <c r="F76" s="170"/>
      <c r="G76" s="50"/>
      <c r="H76" s="50"/>
    </row>
    <row r="77" spans="1:8" ht="13.5">
      <c r="A77" s="173"/>
      <c r="B77" s="4"/>
      <c r="E77" s="169"/>
      <c r="F77" s="170"/>
      <c r="G77" s="50"/>
      <c r="H77" s="50"/>
    </row>
    <row r="78" spans="1:8" ht="13.5">
      <c r="A78" s="173"/>
      <c r="B78" s="4"/>
      <c r="E78" s="169"/>
      <c r="F78" s="170"/>
      <c r="G78" s="50"/>
      <c r="H78" s="50"/>
    </row>
    <row r="79" spans="1:8" ht="13.5">
      <c r="A79" s="173"/>
      <c r="B79" s="4"/>
      <c r="E79" s="169"/>
      <c r="F79" s="170"/>
      <c r="G79" s="50"/>
      <c r="H79" s="50"/>
    </row>
    <row r="80" spans="1:8" ht="13.5">
      <c r="A80" s="173"/>
      <c r="B80" s="4"/>
      <c r="E80" s="169"/>
      <c r="F80" s="170"/>
      <c r="G80" s="50"/>
      <c r="H80" s="50"/>
    </row>
    <row r="81" spans="1:8" ht="13.5">
      <c r="A81" s="173"/>
      <c r="B81" s="4"/>
      <c r="E81" s="169"/>
      <c r="F81" s="170"/>
      <c r="G81" s="50"/>
      <c r="H81" s="50"/>
    </row>
    <row r="82" spans="1:8" ht="13.5">
      <c r="A82" s="173"/>
      <c r="B82" s="4"/>
      <c r="E82" s="169"/>
      <c r="F82" s="170"/>
      <c r="G82" s="50"/>
      <c r="H82" s="50"/>
    </row>
    <row r="83" spans="1:8" ht="13.5">
      <c r="A83" s="173"/>
      <c r="B83" s="4"/>
      <c r="E83" s="169"/>
      <c r="F83" s="170"/>
      <c r="G83" s="50"/>
      <c r="H83" s="50"/>
    </row>
    <row r="84" spans="1:8" ht="13.5">
      <c r="A84" s="173"/>
      <c r="B84" s="4"/>
      <c r="E84" s="169"/>
      <c r="F84" s="170"/>
      <c r="G84" s="50"/>
      <c r="H84" s="50"/>
    </row>
    <row r="85" spans="1:8" ht="13.5">
      <c r="A85" s="173"/>
      <c r="B85" s="4"/>
      <c r="E85" s="169"/>
      <c r="F85" s="170"/>
      <c r="G85" s="50"/>
      <c r="H85" s="50"/>
    </row>
    <row r="86" spans="1:8" ht="13.5">
      <c r="A86" s="173"/>
      <c r="B86" s="4"/>
      <c r="E86" s="169"/>
      <c r="F86" s="170"/>
      <c r="G86" s="50"/>
      <c r="H86" s="50"/>
    </row>
    <row r="87" spans="1:8" ht="13.5">
      <c r="A87" s="173"/>
      <c r="B87" s="4"/>
      <c r="E87" s="169"/>
      <c r="F87" s="170"/>
      <c r="G87" s="50"/>
      <c r="H87" s="50"/>
    </row>
    <row r="88" spans="1:8" ht="13.5">
      <c r="A88" s="173"/>
      <c r="B88" s="4"/>
      <c r="E88" s="169"/>
      <c r="F88" s="170"/>
      <c r="G88" s="50"/>
      <c r="H88" s="50"/>
    </row>
    <row r="89" spans="1:8" ht="13.5">
      <c r="A89" s="173"/>
      <c r="B89" s="4"/>
      <c r="E89" s="169"/>
      <c r="F89" s="170"/>
      <c r="G89" s="50"/>
      <c r="H89" s="50"/>
    </row>
    <row r="90" spans="1:8" ht="13.5">
      <c r="A90" s="173"/>
      <c r="B90" s="4"/>
      <c r="E90" s="169"/>
      <c r="F90" s="170"/>
      <c r="G90" s="50"/>
      <c r="H90" s="50"/>
    </row>
    <row r="91" spans="1:8" ht="13.5">
      <c r="A91" s="173"/>
      <c r="B91" s="4"/>
      <c r="E91" s="169"/>
      <c r="F91" s="170"/>
      <c r="G91" s="50"/>
      <c r="H91" s="50"/>
    </row>
    <row r="92" spans="1:8" ht="13.5">
      <c r="A92" s="173"/>
      <c r="B92" s="4"/>
      <c r="E92" s="169"/>
      <c r="F92" s="170"/>
      <c r="G92" s="50"/>
      <c r="H92" s="50"/>
    </row>
    <row r="93" spans="1:8" ht="13.5">
      <c r="A93" s="173"/>
      <c r="B93" s="4"/>
      <c r="E93" s="169"/>
      <c r="F93" s="170"/>
      <c r="G93" s="50"/>
      <c r="H93" s="50"/>
    </row>
    <row r="94" spans="1:8" ht="13.5">
      <c r="A94" s="173"/>
      <c r="B94" s="4"/>
      <c r="E94" s="169"/>
      <c r="F94" s="170"/>
      <c r="G94" s="50"/>
      <c r="H94" s="50"/>
    </row>
    <row r="95" spans="1:8" ht="13.5">
      <c r="A95" s="173"/>
      <c r="B95" s="4"/>
      <c r="E95" s="169"/>
      <c r="F95" s="170"/>
      <c r="G95" s="50"/>
      <c r="H95" s="50"/>
    </row>
    <row r="96" spans="1:8" ht="13.5">
      <c r="A96" s="173"/>
      <c r="B96" s="4"/>
      <c r="E96" s="169"/>
      <c r="F96" s="170"/>
      <c r="G96" s="50"/>
      <c r="H96" s="50"/>
    </row>
    <row r="97" spans="1:7" ht="13.5">
      <c r="A97" s="860"/>
      <c r="B97" s="48"/>
      <c r="E97" s="165"/>
      <c r="F97" s="165"/>
      <c r="G97" s="51"/>
    </row>
    <row r="98" spans="1:8" ht="13.5">
      <c r="A98" s="860"/>
      <c r="B98" s="48"/>
      <c r="E98" s="165"/>
      <c r="F98" s="165"/>
      <c r="G98" s="51"/>
      <c r="H98" s="112"/>
    </row>
    <row r="99" spans="1:8" ht="13.5">
      <c r="A99" s="860"/>
      <c r="B99" s="48"/>
      <c r="E99" s="165"/>
      <c r="F99" s="165"/>
      <c r="G99" s="51"/>
      <c r="H99" s="112"/>
    </row>
    <row r="100" spans="1:8" ht="13.5">
      <c r="A100" s="860"/>
      <c r="B100" s="48"/>
      <c r="E100" s="165"/>
      <c r="F100" s="165"/>
      <c r="G100" s="51"/>
      <c r="H100" s="112"/>
    </row>
    <row r="101" spans="1:8" ht="13.5">
      <c r="A101" s="860"/>
      <c r="B101" s="48"/>
      <c r="E101" s="165"/>
      <c r="F101" s="165"/>
      <c r="G101" s="51"/>
      <c r="H101" s="112"/>
    </row>
    <row r="102" spans="1:8" ht="13.5">
      <c r="A102" s="860"/>
      <c r="B102" s="48"/>
      <c r="E102" s="165"/>
      <c r="F102" s="165"/>
      <c r="G102" s="51"/>
      <c r="H102" s="112"/>
    </row>
    <row r="103" spans="1:7" ht="13.5">
      <c r="A103" s="860"/>
      <c r="B103" s="48"/>
      <c r="E103" s="165"/>
      <c r="F103" s="165"/>
      <c r="G103" s="51"/>
    </row>
    <row r="104" spans="1:7" ht="13.5">
      <c r="A104" s="860"/>
      <c r="B104" s="48"/>
      <c r="E104" s="165"/>
      <c r="F104" s="165"/>
      <c r="G104" s="51"/>
    </row>
    <row r="105" spans="1:7" ht="13.5">
      <c r="A105" s="860"/>
      <c r="B105" s="48"/>
      <c r="E105" s="165"/>
      <c r="F105" s="165"/>
      <c r="G105" s="51"/>
    </row>
    <row r="106" spans="1:7" ht="13.5">
      <c r="A106" s="860"/>
      <c r="B106" s="48"/>
      <c r="E106" s="165"/>
      <c r="F106" s="165"/>
      <c r="G106" s="51"/>
    </row>
    <row r="107" spans="1:7" ht="13.5">
      <c r="A107" s="145"/>
      <c r="B107" s="52"/>
      <c r="E107" s="165"/>
      <c r="F107" s="171"/>
      <c r="G107" s="53"/>
    </row>
    <row r="108" spans="1:7" ht="13.5">
      <c r="A108" s="145"/>
      <c r="B108" s="52"/>
      <c r="E108" s="165"/>
      <c r="F108" s="171"/>
      <c r="G108" s="53"/>
    </row>
    <row r="109" spans="1:7" ht="13.5">
      <c r="A109" s="145"/>
      <c r="B109" s="52"/>
      <c r="E109" s="165"/>
      <c r="F109" s="171"/>
      <c r="G109" s="53"/>
    </row>
    <row r="110" spans="1:7" ht="13.5">
      <c r="A110" s="145"/>
      <c r="B110" s="52"/>
      <c r="E110" s="165"/>
      <c r="F110" s="171"/>
      <c r="G110" s="53"/>
    </row>
    <row r="111" spans="1:7" ht="13.5">
      <c r="A111" s="145"/>
      <c r="B111" s="52"/>
      <c r="E111" s="165"/>
      <c r="F111" s="171"/>
      <c r="G111" s="53"/>
    </row>
    <row r="112" spans="1:7" ht="13.5">
      <c r="A112" s="145"/>
      <c r="B112" s="52"/>
      <c r="E112" s="165"/>
      <c r="F112" s="171"/>
      <c r="G112" s="53"/>
    </row>
    <row r="113" spans="1:7" ht="13.5">
      <c r="A113" s="145"/>
      <c r="B113" s="52"/>
      <c r="E113" s="165"/>
      <c r="F113" s="171"/>
      <c r="G113" s="53"/>
    </row>
    <row r="114" spans="1:7" ht="13.5">
      <c r="A114" s="145"/>
      <c r="B114" s="52"/>
      <c r="E114" s="165"/>
      <c r="F114" s="171"/>
      <c r="G114" s="53"/>
    </row>
    <row r="115" spans="1:7" ht="13.5">
      <c r="A115" s="145"/>
      <c r="B115" s="52"/>
      <c r="E115" s="165"/>
      <c r="F115" s="171"/>
      <c r="G115" s="53"/>
    </row>
    <row r="116" spans="1:7" ht="13.5">
      <c r="A116" s="145"/>
      <c r="B116" s="52"/>
      <c r="E116" s="165"/>
      <c r="F116" s="171"/>
      <c r="G116" s="53"/>
    </row>
    <row r="117" spans="1:7" ht="13.5">
      <c r="A117" s="145"/>
      <c r="B117" s="52"/>
      <c r="E117" s="165"/>
      <c r="F117" s="171"/>
      <c r="G117" s="53"/>
    </row>
    <row r="118" spans="1:7" ht="13.5">
      <c r="A118" s="145"/>
      <c r="B118" s="52"/>
      <c r="E118" s="165"/>
      <c r="F118" s="171"/>
      <c r="G118" s="53"/>
    </row>
    <row r="119" spans="1:7" ht="13.5">
      <c r="A119" s="145"/>
      <c r="B119" s="52"/>
      <c r="E119" s="165"/>
      <c r="F119" s="171"/>
      <c r="G119" s="53"/>
    </row>
  </sheetData>
  <sheetProtection/>
  <mergeCells count="18">
    <mergeCell ref="A2:D2"/>
    <mergeCell ref="A3:B6"/>
    <mergeCell ref="E2:U2"/>
    <mergeCell ref="A50:A52"/>
    <mergeCell ref="A47:A49"/>
    <mergeCell ref="A22:A26"/>
    <mergeCell ref="A17:A21"/>
    <mergeCell ref="A27:A31"/>
    <mergeCell ref="A12:A16"/>
    <mergeCell ref="K3:R3"/>
    <mergeCell ref="A7:A11"/>
    <mergeCell ref="C3:C6"/>
    <mergeCell ref="D3:D6"/>
    <mergeCell ref="A97:A106"/>
    <mergeCell ref="A37:A41"/>
    <mergeCell ref="A42:A46"/>
    <mergeCell ref="A32:A36"/>
    <mergeCell ref="A53:A5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T285"/>
  <sheetViews>
    <sheetView tabSelected="1" view="pageBreakPreview" zoomScaleSheetLayoutView="100" zoomScalePageLayoutView="0" workbookViewId="0" topLeftCell="G1">
      <selection activeCell="M278" sqref="M278"/>
    </sheetView>
  </sheetViews>
  <sheetFormatPr defaultColWidth="9.00390625" defaultRowHeight="13.5"/>
  <cols>
    <col min="1" max="1" width="2.875" style="120" customWidth="1"/>
    <col min="2" max="2" width="16.75390625" style="120" customWidth="1"/>
    <col min="3" max="3" width="9.125" style="121" customWidth="1"/>
    <col min="4" max="5" width="9.00390625" style="400" customWidth="1"/>
    <col min="6" max="7" width="11.625" style="54" customWidth="1"/>
    <col min="8" max="8" width="26.625" style="122" customWidth="1"/>
    <col min="9" max="9" width="18.125" style="122" customWidth="1"/>
    <col min="10" max="10" width="8.625" style="123" customWidth="1"/>
    <col min="11" max="11" width="11.125" style="0" customWidth="1"/>
    <col min="12" max="12" width="11.125" style="124" customWidth="1"/>
    <col min="13" max="13" width="26.75390625" style="125" customWidth="1"/>
    <col min="14" max="14" width="11.125" style="122" customWidth="1"/>
    <col min="15" max="16" width="11.125" style="0" customWidth="1"/>
    <col min="17" max="17" width="12.375" style="0" customWidth="1"/>
  </cols>
  <sheetData>
    <row r="1" spans="1:17" s="54" customFormat="1" ht="18" customHeight="1">
      <c r="A1" s="903" t="s">
        <v>3</v>
      </c>
      <c r="B1" s="904"/>
      <c r="C1" s="883" t="s">
        <v>313</v>
      </c>
      <c r="D1" s="908" t="s">
        <v>488</v>
      </c>
      <c r="E1" s="1038" t="s">
        <v>489</v>
      </c>
      <c r="F1" s="1040" t="s">
        <v>490</v>
      </c>
      <c r="G1" s="1040" t="s">
        <v>491</v>
      </c>
      <c r="H1" s="1029" t="s">
        <v>492</v>
      </c>
      <c r="I1" s="1029" t="s">
        <v>493</v>
      </c>
      <c r="J1" s="1030" t="s">
        <v>314</v>
      </c>
      <c r="K1" s="1032" t="s">
        <v>315</v>
      </c>
      <c r="L1" s="1034" t="s">
        <v>494</v>
      </c>
      <c r="M1" s="1034"/>
      <c r="N1" s="900" t="s">
        <v>317</v>
      </c>
      <c r="O1" s="1035"/>
      <c r="P1" s="1036"/>
      <c r="Q1" s="1018" t="s">
        <v>495</v>
      </c>
    </row>
    <row r="2" spans="1:20" s="54" customFormat="1" ht="18" customHeight="1">
      <c r="A2" s="905"/>
      <c r="B2" s="906"/>
      <c r="C2" s="907"/>
      <c r="D2" s="1037"/>
      <c r="E2" s="1039"/>
      <c r="F2" s="1041"/>
      <c r="G2" s="1041"/>
      <c r="H2" s="1019"/>
      <c r="I2" s="1019"/>
      <c r="J2" s="1031"/>
      <c r="K2" s="1033"/>
      <c r="L2" s="530" t="s">
        <v>316</v>
      </c>
      <c r="M2" s="529" t="s">
        <v>318</v>
      </c>
      <c r="N2" s="531" t="s">
        <v>319</v>
      </c>
      <c r="O2" s="618" t="s">
        <v>20</v>
      </c>
      <c r="P2" s="605" t="s">
        <v>21</v>
      </c>
      <c r="Q2" s="1019"/>
      <c r="S2" s="532"/>
      <c r="T2" s="532"/>
    </row>
    <row r="3" spans="1:17" s="54" customFormat="1" ht="18" customHeight="1">
      <c r="A3" s="1012" t="s">
        <v>60</v>
      </c>
      <c r="B3" s="876" t="s">
        <v>505</v>
      </c>
      <c r="C3" s="1022">
        <v>41465</v>
      </c>
      <c r="D3" s="543" t="s">
        <v>320</v>
      </c>
      <c r="E3" s="789" t="s">
        <v>35</v>
      </c>
      <c r="F3" s="789" t="s">
        <v>35</v>
      </c>
      <c r="G3" s="819" t="s">
        <v>35</v>
      </c>
      <c r="H3" s="317" t="s">
        <v>35</v>
      </c>
      <c r="I3" s="318" t="s">
        <v>321</v>
      </c>
      <c r="J3" s="319" t="s">
        <v>35</v>
      </c>
      <c r="K3" s="320">
        <f>44.14/1000</f>
        <v>0.04414</v>
      </c>
      <c r="L3" s="321" t="s">
        <v>35</v>
      </c>
      <c r="M3" s="323" t="s">
        <v>35</v>
      </c>
      <c r="N3" s="322">
        <f aca="true" t="shared" si="0" ref="N3:N30">SUM(O3,P3)</f>
        <v>730</v>
      </c>
      <c r="O3" s="619">
        <v>230</v>
      </c>
      <c r="P3" s="612">
        <v>500</v>
      </c>
      <c r="Q3" s="578" t="s">
        <v>35</v>
      </c>
    </row>
    <row r="4" spans="1:17" s="54" customFormat="1" ht="18" customHeight="1">
      <c r="A4" s="1020"/>
      <c r="B4" s="928"/>
      <c r="C4" s="931"/>
      <c r="D4" s="550" t="s">
        <v>496</v>
      </c>
      <c r="E4" s="551" t="s">
        <v>497</v>
      </c>
      <c r="F4" s="552" t="s">
        <v>720</v>
      </c>
      <c r="G4" s="533" t="s">
        <v>721</v>
      </c>
      <c r="H4" s="324" t="s">
        <v>322</v>
      </c>
      <c r="I4" s="325" t="s">
        <v>721</v>
      </c>
      <c r="J4" s="326">
        <v>103</v>
      </c>
      <c r="K4" s="327">
        <f>28.9/1000</f>
        <v>0.0289</v>
      </c>
      <c r="L4" s="328" t="s">
        <v>323</v>
      </c>
      <c r="M4" s="330" t="s">
        <v>35</v>
      </c>
      <c r="N4" s="329">
        <f t="shared" si="0"/>
        <v>202</v>
      </c>
      <c r="O4" s="620">
        <v>62</v>
      </c>
      <c r="P4" s="613">
        <v>140</v>
      </c>
      <c r="Q4" s="579" t="s">
        <v>35</v>
      </c>
    </row>
    <row r="5" spans="1:17" s="54" customFormat="1" ht="18" customHeight="1">
      <c r="A5" s="1020"/>
      <c r="B5" s="928"/>
      <c r="C5" s="931"/>
      <c r="D5" s="550" t="s">
        <v>496</v>
      </c>
      <c r="E5" s="551" t="s">
        <v>497</v>
      </c>
      <c r="F5" s="552" t="s">
        <v>729</v>
      </c>
      <c r="G5" s="533" t="s">
        <v>730</v>
      </c>
      <c r="H5" s="324" t="s">
        <v>329</v>
      </c>
      <c r="I5" s="325" t="s">
        <v>752</v>
      </c>
      <c r="J5" s="971">
        <v>244</v>
      </c>
      <c r="K5" s="1024">
        <f>124.3/1000</f>
        <v>0.1243</v>
      </c>
      <c r="L5" s="975" t="s">
        <v>323</v>
      </c>
      <c r="M5" s="969" t="s">
        <v>35</v>
      </c>
      <c r="N5" s="1026">
        <f t="shared" si="0"/>
        <v>39</v>
      </c>
      <c r="O5" s="1027">
        <v>13</v>
      </c>
      <c r="P5" s="1015">
        <v>26</v>
      </c>
      <c r="Q5" s="1017" t="s">
        <v>35</v>
      </c>
    </row>
    <row r="6" spans="1:17" s="54" customFormat="1" ht="18" customHeight="1">
      <c r="A6" s="1020"/>
      <c r="B6" s="928"/>
      <c r="C6" s="931"/>
      <c r="D6" s="550" t="s">
        <v>496</v>
      </c>
      <c r="E6" s="551" t="s">
        <v>497</v>
      </c>
      <c r="F6" s="552" t="s">
        <v>729</v>
      </c>
      <c r="G6" s="533" t="s">
        <v>732</v>
      </c>
      <c r="H6" s="324" t="s">
        <v>328</v>
      </c>
      <c r="I6" s="325" t="s">
        <v>732</v>
      </c>
      <c r="J6" s="971"/>
      <c r="K6" s="1024"/>
      <c r="L6" s="975"/>
      <c r="M6" s="969"/>
      <c r="N6" s="1026"/>
      <c r="O6" s="1027"/>
      <c r="P6" s="1015"/>
      <c r="Q6" s="1017"/>
    </row>
    <row r="7" spans="1:17" s="54" customFormat="1" ht="18" customHeight="1">
      <c r="A7" s="1020"/>
      <c r="B7" s="928"/>
      <c r="C7" s="931"/>
      <c r="D7" s="546" t="s">
        <v>496</v>
      </c>
      <c r="E7" s="547" t="s">
        <v>497</v>
      </c>
      <c r="F7" s="548" t="s">
        <v>729</v>
      </c>
      <c r="G7" s="549" t="s">
        <v>734</v>
      </c>
      <c r="H7" s="544" t="s">
        <v>324</v>
      </c>
      <c r="I7" s="545" t="s">
        <v>753</v>
      </c>
      <c r="J7" s="971"/>
      <c r="K7" s="1024"/>
      <c r="L7" s="975"/>
      <c r="M7" s="969"/>
      <c r="N7" s="1026"/>
      <c r="O7" s="1027"/>
      <c r="P7" s="1015"/>
      <c r="Q7" s="1017"/>
    </row>
    <row r="8" spans="1:17" s="54" customFormat="1" ht="18" customHeight="1">
      <c r="A8" s="1020"/>
      <c r="B8" s="928"/>
      <c r="C8" s="931"/>
      <c r="D8" s="550" t="s">
        <v>496</v>
      </c>
      <c r="E8" s="551" t="s">
        <v>497</v>
      </c>
      <c r="F8" s="552" t="s">
        <v>729</v>
      </c>
      <c r="G8" s="533" t="s">
        <v>734</v>
      </c>
      <c r="H8" s="324" t="s">
        <v>738</v>
      </c>
      <c r="I8" s="325" t="s">
        <v>788</v>
      </c>
      <c r="J8" s="1023"/>
      <c r="K8" s="1025"/>
      <c r="L8" s="1010"/>
      <c r="M8" s="1006"/>
      <c r="N8" s="1007">
        <f t="shared" si="0"/>
        <v>0</v>
      </c>
      <c r="O8" s="1028"/>
      <c r="P8" s="1016"/>
      <c r="Q8" s="854"/>
    </row>
    <row r="9" spans="1:17" s="54" customFormat="1" ht="18" customHeight="1">
      <c r="A9" s="1020"/>
      <c r="B9" s="928"/>
      <c r="C9" s="931"/>
      <c r="D9" s="550" t="s">
        <v>496</v>
      </c>
      <c r="E9" s="551" t="s">
        <v>497</v>
      </c>
      <c r="F9" s="552" t="s">
        <v>729</v>
      </c>
      <c r="G9" s="533" t="s">
        <v>734</v>
      </c>
      <c r="H9" s="324" t="s">
        <v>325</v>
      </c>
      <c r="I9" s="325" t="s">
        <v>768</v>
      </c>
      <c r="J9" s="1023"/>
      <c r="K9" s="1025"/>
      <c r="L9" s="1010"/>
      <c r="M9" s="1006"/>
      <c r="N9" s="1007">
        <f t="shared" si="0"/>
        <v>0</v>
      </c>
      <c r="O9" s="1028"/>
      <c r="P9" s="1016"/>
      <c r="Q9" s="854"/>
    </row>
    <row r="10" spans="1:17" s="54" customFormat="1" ht="18" customHeight="1">
      <c r="A10" s="1020"/>
      <c r="B10" s="928"/>
      <c r="C10" s="931"/>
      <c r="D10" s="550" t="s">
        <v>496</v>
      </c>
      <c r="E10" s="551" t="s">
        <v>497</v>
      </c>
      <c r="F10" s="552" t="s">
        <v>729</v>
      </c>
      <c r="G10" s="533" t="s">
        <v>734</v>
      </c>
      <c r="H10" s="324" t="s">
        <v>326</v>
      </c>
      <c r="I10" s="325" t="s">
        <v>755</v>
      </c>
      <c r="J10" s="1023"/>
      <c r="K10" s="1025"/>
      <c r="L10" s="1010"/>
      <c r="M10" s="1006"/>
      <c r="N10" s="1007">
        <f t="shared" si="0"/>
        <v>0</v>
      </c>
      <c r="O10" s="1028"/>
      <c r="P10" s="1016"/>
      <c r="Q10" s="854"/>
    </row>
    <row r="11" spans="1:17" s="54" customFormat="1" ht="18" customHeight="1">
      <c r="A11" s="1020"/>
      <c r="B11" s="928"/>
      <c r="C11" s="931"/>
      <c r="D11" s="550" t="s">
        <v>496</v>
      </c>
      <c r="E11" s="551" t="s">
        <v>497</v>
      </c>
      <c r="F11" s="552" t="s">
        <v>729</v>
      </c>
      <c r="G11" s="533" t="s">
        <v>734</v>
      </c>
      <c r="H11" s="324" t="s">
        <v>327</v>
      </c>
      <c r="I11" s="331" t="s">
        <v>756</v>
      </c>
      <c r="J11" s="1023"/>
      <c r="K11" s="1025"/>
      <c r="L11" s="1010"/>
      <c r="M11" s="1006"/>
      <c r="N11" s="1007">
        <f t="shared" si="0"/>
        <v>0</v>
      </c>
      <c r="O11" s="1028"/>
      <c r="P11" s="1016"/>
      <c r="Q11" s="854"/>
    </row>
    <row r="12" spans="1:17" s="54" customFormat="1" ht="18" customHeight="1">
      <c r="A12" s="1020"/>
      <c r="B12" s="928"/>
      <c r="C12" s="931"/>
      <c r="D12" s="550" t="s">
        <v>496</v>
      </c>
      <c r="E12" s="551" t="s">
        <v>497</v>
      </c>
      <c r="F12" s="552" t="s">
        <v>729</v>
      </c>
      <c r="G12" s="533" t="s">
        <v>729</v>
      </c>
      <c r="H12" s="324" t="s">
        <v>330</v>
      </c>
      <c r="I12" s="325" t="s">
        <v>789</v>
      </c>
      <c r="J12" s="1023"/>
      <c r="K12" s="1025"/>
      <c r="L12" s="1010"/>
      <c r="M12" s="1006"/>
      <c r="N12" s="1007">
        <f t="shared" si="0"/>
        <v>0</v>
      </c>
      <c r="O12" s="1028"/>
      <c r="P12" s="1016"/>
      <c r="Q12" s="854"/>
    </row>
    <row r="13" spans="1:17" s="54" customFormat="1" ht="18" customHeight="1">
      <c r="A13" s="1020"/>
      <c r="B13" s="928"/>
      <c r="C13" s="931"/>
      <c r="D13" s="550" t="s">
        <v>496</v>
      </c>
      <c r="E13" s="551" t="s">
        <v>497</v>
      </c>
      <c r="F13" s="552" t="s">
        <v>729</v>
      </c>
      <c r="G13" s="533" t="s">
        <v>729</v>
      </c>
      <c r="H13" s="324" t="s">
        <v>745</v>
      </c>
      <c r="I13" s="325" t="s">
        <v>331</v>
      </c>
      <c r="J13" s="1023"/>
      <c r="K13" s="1025"/>
      <c r="L13" s="1010"/>
      <c r="M13" s="1006"/>
      <c r="N13" s="1007">
        <f t="shared" si="0"/>
        <v>0</v>
      </c>
      <c r="O13" s="1028"/>
      <c r="P13" s="1016"/>
      <c r="Q13" s="969"/>
    </row>
    <row r="14" spans="1:17" s="54" customFormat="1" ht="18" customHeight="1">
      <c r="A14" s="1020"/>
      <c r="B14" s="928"/>
      <c r="C14" s="931"/>
      <c r="D14" s="553" t="s">
        <v>496</v>
      </c>
      <c r="E14" s="562" t="s">
        <v>503</v>
      </c>
      <c r="F14" s="752" t="s">
        <v>504</v>
      </c>
      <c r="G14" s="775" t="s">
        <v>746</v>
      </c>
      <c r="H14" s="332" t="s">
        <v>790</v>
      </c>
      <c r="I14" s="333" t="s">
        <v>332</v>
      </c>
      <c r="J14" s="334">
        <v>998</v>
      </c>
      <c r="K14" s="335">
        <f>149.6/1000</f>
        <v>0.14959999999999998</v>
      </c>
      <c r="L14" s="336" t="s">
        <v>333</v>
      </c>
      <c r="M14" s="33" t="s">
        <v>35</v>
      </c>
      <c r="N14" s="337">
        <f t="shared" si="0"/>
        <v>76</v>
      </c>
      <c r="O14" s="614">
        <v>24</v>
      </c>
      <c r="P14" s="609">
        <v>52</v>
      </c>
      <c r="Q14" s="580" t="s">
        <v>35</v>
      </c>
    </row>
    <row r="15" spans="1:17" s="54" customFormat="1" ht="18" customHeight="1">
      <c r="A15" s="1020"/>
      <c r="B15" s="928"/>
      <c r="C15" s="931"/>
      <c r="D15" s="553" t="s">
        <v>510</v>
      </c>
      <c r="E15" s="562" t="s">
        <v>507</v>
      </c>
      <c r="F15" s="752" t="s">
        <v>508</v>
      </c>
      <c r="G15" s="775" t="s">
        <v>689</v>
      </c>
      <c r="H15" s="332" t="s">
        <v>690</v>
      </c>
      <c r="I15" s="333" t="s">
        <v>689</v>
      </c>
      <c r="J15" s="334">
        <v>39</v>
      </c>
      <c r="K15" s="338">
        <f>56.3/1000</f>
        <v>0.056299999999999996</v>
      </c>
      <c r="L15" s="336" t="s">
        <v>333</v>
      </c>
      <c r="M15" s="33" t="s">
        <v>35</v>
      </c>
      <c r="N15" s="337">
        <f t="shared" si="0"/>
        <v>27.5</v>
      </c>
      <c r="O15" s="615">
        <v>8.5</v>
      </c>
      <c r="P15" s="609">
        <v>19</v>
      </c>
      <c r="Q15" s="580" t="s">
        <v>35</v>
      </c>
    </row>
    <row r="16" spans="1:17" s="54" customFormat="1" ht="18" customHeight="1">
      <c r="A16" s="1020"/>
      <c r="B16" s="928"/>
      <c r="C16" s="931"/>
      <c r="D16" s="553" t="s">
        <v>499</v>
      </c>
      <c r="E16" s="562" t="s">
        <v>500</v>
      </c>
      <c r="F16" s="752" t="s">
        <v>635</v>
      </c>
      <c r="G16" s="775" t="s">
        <v>635</v>
      </c>
      <c r="H16" s="332" t="s">
        <v>691</v>
      </c>
      <c r="I16" s="339" t="s">
        <v>791</v>
      </c>
      <c r="J16" s="334">
        <v>101</v>
      </c>
      <c r="K16" s="335">
        <f>455.6/1000</f>
        <v>0.4556</v>
      </c>
      <c r="L16" s="336" t="s">
        <v>336</v>
      </c>
      <c r="M16" s="33" t="s">
        <v>35</v>
      </c>
      <c r="N16" s="337">
        <f t="shared" si="0"/>
        <v>37</v>
      </c>
      <c r="O16" s="614">
        <v>13</v>
      </c>
      <c r="P16" s="609">
        <v>24</v>
      </c>
      <c r="Q16" s="580" t="s">
        <v>35</v>
      </c>
    </row>
    <row r="17" spans="1:17" s="54" customFormat="1" ht="18" customHeight="1">
      <c r="A17" s="1020"/>
      <c r="B17" s="928"/>
      <c r="C17" s="931"/>
      <c r="D17" s="553" t="s">
        <v>499</v>
      </c>
      <c r="E17" s="562" t="s">
        <v>500</v>
      </c>
      <c r="F17" s="752" t="s">
        <v>635</v>
      </c>
      <c r="G17" s="775" t="s">
        <v>635</v>
      </c>
      <c r="H17" s="332" t="s">
        <v>337</v>
      </c>
      <c r="I17" s="333" t="s">
        <v>338</v>
      </c>
      <c r="J17" s="334">
        <v>11</v>
      </c>
      <c r="K17" s="335">
        <f>128.9/1000</f>
        <v>0.12890000000000001</v>
      </c>
      <c r="L17" s="340" t="s">
        <v>339</v>
      </c>
      <c r="M17" s="33" t="s">
        <v>35</v>
      </c>
      <c r="N17" s="337">
        <f t="shared" si="0"/>
        <v>42</v>
      </c>
      <c r="O17" s="614">
        <v>14</v>
      </c>
      <c r="P17" s="609">
        <v>28</v>
      </c>
      <c r="Q17" s="580" t="s">
        <v>35</v>
      </c>
    </row>
    <row r="18" spans="1:17" s="54" customFormat="1" ht="18" customHeight="1">
      <c r="A18" s="1020"/>
      <c r="B18" s="928"/>
      <c r="C18" s="931"/>
      <c r="D18" s="553" t="s">
        <v>499</v>
      </c>
      <c r="E18" s="562" t="s">
        <v>500</v>
      </c>
      <c r="F18" s="752" t="s">
        <v>635</v>
      </c>
      <c r="G18" s="775" t="s">
        <v>665</v>
      </c>
      <c r="H18" s="332" t="s">
        <v>334</v>
      </c>
      <c r="I18" s="333" t="s">
        <v>335</v>
      </c>
      <c r="J18" s="334">
        <v>63</v>
      </c>
      <c r="K18" s="338">
        <f>75.5/1000</f>
        <v>0.0755</v>
      </c>
      <c r="L18" s="336" t="s">
        <v>336</v>
      </c>
      <c r="M18" s="33" t="s">
        <v>35</v>
      </c>
      <c r="N18" s="337">
        <f>SUM(O18,P18)</f>
        <v>32</v>
      </c>
      <c r="O18" s="614">
        <v>11</v>
      </c>
      <c r="P18" s="609">
        <v>21</v>
      </c>
      <c r="Q18" s="580" t="s">
        <v>35</v>
      </c>
    </row>
    <row r="19" spans="1:17" s="54" customFormat="1" ht="18" customHeight="1">
      <c r="A19" s="1020"/>
      <c r="B19" s="928"/>
      <c r="C19" s="931"/>
      <c r="D19" s="554" t="s">
        <v>499</v>
      </c>
      <c r="E19" s="783" t="s">
        <v>498</v>
      </c>
      <c r="F19" s="796" t="s">
        <v>501</v>
      </c>
      <c r="G19" s="797" t="s">
        <v>670</v>
      </c>
      <c r="H19" s="348" t="s">
        <v>343</v>
      </c>
      <c r="I19" s="342" t="s">
        <v>344</v>
      </c>
      <c r="J19" s="343">
        <v>19</v>
      </c>
      <c r="K19" s="344">
        <f>114.1/1000</f>
        <v>0.1141</v>
      </c>
      <c r="L19" s="345" t="s">
        <v>333</v>
      </c>
      <c r="M19" s="347" t="s">
        <v>35</v>
      </c>
      <c r="N19" s="346">
        <f t="shared" si="0"/>
        <v>49</v>
      </c>
      <c r="O19" s="616">
        <v>16</v>
      </c>
      <c r="P19" s="610">
        <v>33</v>
      </c>
      <c r="Q19" s="581" t="s">
        <v>35</v>
      </c>
    </row>
    <row r="20" spans="1:17" s="54" customFormat="1" ht="18" customHeight="1">
      <c r="A20" s="1020"/>
      <c r="B20" s="928"/>
      <c r="C20" s="931"/>
      <c r="D20" s="554" t="s">
        <v>499</v>
      </c>
      <c r="E20" s="783" t="s">
        <v>498</v>
      </c>
      <c r="F20" s="796" t="s">
        <v>501</v>
      </c>
      <c r="G20" s="820" t="s">
        <v>35</v>
      </c>
      <c r="H20" s="341" t="s">
        <v>35</v>
      </c>
      <c r="I20" s="342" t="s">
        <v>341</v>
      </c>
      <c r="J20" s="343">
        <v>156</v>
      </c>
      <c r="K20" s="344">
        <f>151.5/1000</f>
        <v>0.1515</v>
      </c>
      <c r="L20" s="345" t="s">
        <v>342</v>
      </c>
      <c r="M20" s="347" t="s">
        <v>35</v>
      </c>
      <c r="N20" s="346">
        <f>SUM(O20,P20)</f>
        <v>330</v>
      </c>
      <c r="O20" s="616">
        <v>110</v>
      </c>
      <c r="P20" s="610">
        <v>220</v>
      </c>
      <c r="Q20" s="581" t="s">
        <v>35</v>
      </c>
    </row>
    <row r="21" spans="1:17" s="54" customFormat="1" ht="18" customHeight="1">
      <c r="A21" s="1020"/>
      <c r="B21" s="928"/>
      <c r="C21" s="931"/>
      <c r="D21" s="554" t="s">
        <v>499</v>
      </c>
      <c r="E21" s="783" t="s">
        <v>498</v>
      </c>
      <c r="F21" s="796" t="s">
        <v>502</v>
      </c>
      <c r="G21" s="797" t="s">
        <v>710</v>
      </c>
      <c r="H21" s="348" t="s">
        <v>711</v>
      </c>
      <c r="I21" s="342" t="s">
        <v>345</v>
      </c>
      <c r="J21" s="343">
        <v>4</v>
      </c>
      <c r="K21" s="349">
        <f>34.6/1000</f>
        <v>0.0346</v>
      </c>
      <c r="L21" s="345" t="s">
        <v>333</v>
      </c>
      <c r="M21" s="347" t="s">
        <v>35</v>
      </c>
      <c r="N21" s="346">
        <f t="shared" si="0"/>
        <v>67</v>
      </c>
      <c r="O21" s="616">
        <v>22</v>
      </c>
      <c r="P21" s="610">
        <v>45</v>
      </c>
      <c r="Q21" s="581" t="s">
        <v>35</v>
      </c>
    </row>
    <row r="22" spans="1:17" s="54" customFormat="1" ht="18" customHeight="1">
      <c r="A22" s="1021"/>
      <c r="B22" s="893"/>
      <c r="C22" s="907"/>
      <c r="D22" s="692" t="s">
        <v>547</v>
      </c>
      <c r="E22" s="807" t="s">
        <v>35</v>
      </c>
      <c r="F22" s="809" t="s">
        <v>35</v>
      </c>
      <c r="G22" s="810" t="s">
        <v>35</v>
      </c>
      <c r="H22" s="350" t="s">
        <v>35</v>
      </c>
      <c r="I22" s="351" t="s">
        <v>346</v>
      </c>
      <c r="J22" s="352" t="s">
        <v>35</v>
      </c>
      <c r="K22" s="353">
        <f>732.2/1000</f>
        <v>0.7322000000000001</v>
      </c>
      <c r="L22" s="354" t="s">
        <v>35</v>
      </c>
      <c r="M22" s="356" t="s">
        <v>35</v>
      </c>
      <c r="N22" s="355">
        <f t="shared" si="0"/>
        <v>830</v>
      </c>
      <c r="O22" s="617">
        <v>270</v>
      </c>
      <c r="P22" s="611">
        <v>560</v>
      </c>
      <c r="Q22" s="582" t="s">
        <v>35</v>
      </c>
    </row>
    <row r="23" spans="1:17" s="421" customFormat="1" ht="18" customHeight="1">
      <c r="A23" s="541"/>
      <c r="B23" s="48"/>
      <c r="C23" s="312"/>
      <c r="D23" s="416"/>
      <c r="E23" s="536"/>
      <c r="F23" s="536"/>
      <c r="G23" s="536"/>
      <c r="H23" s="416"/>
      <c r="I23" s="542"/>
      <c r="J23" s="417"/>
      <c r="K23" s="418"/>
      <c r="L23" s="416"/>
      <c r="M23" s="48"/>
      <c r="N23" s="397"/>
      <c r="O23" s="397"/>
      <c r="P23" s="397"/>
      <c r="Q23" s="398"/>
    </row>
    <row r="24" spans="1:17" s="54" customFormat="1" ht="18" customHeight="1">
      <c r="A24" s="903" t="s">
        <v>3</v>
      </c>
      <c r="B24" s="904"/>
      <c r="C24" s="883" t="s">
        <v>313</v>
      </c>
      <c r="D24" s="908" t="s">
        <v>488</v>
      </c>
      <c r="E24" s="910" t="s">
        <v>489</v>
      </c>
      <c r="F24" s="912" t="s">
        <v>490</v>
      </c>
      <c r="G24" s="914" t="s">
        <v>491</v>
      </c>
      <c r="H24" s="852" t="s">
        <v>492</v>
      </c>
      <c r="I24" s="852" t="s">
        <v>493</v>
      </c>
      <c r="J24" s="894" t="s">
        <v>314</v>
      </c>
      <c r="K24" s="896" t="s">
        <v>315</v>
      </c>
      <c r="L24" s="898" t="s">
        <v>494</v>
      </c>
      <c r="M24" s="899"/>
      <c r="N24" s="900" t="s">
        <v>317</v>
      </c>
      <c r="O24" s="901"/>
      <c r="P24" s="902"/>
      <c r="Q24" s="876" t="s">
        <v>495</v>
      </c>
    </row>
    <row r="25" spans="1:20" s="54" customFormat="1" ht="18" customHeight="1">
      <c r="A25" s="905"/>
      <c r="B25" s="906"/>
      <c r="C25" s="907"/>
      <c r="D25" s="909"/>
      <c r="E25" s="911"/>
      <c r="F25" s="913"/>
      <c r="G25" s="915"/>
      <c r="H25" s="893"/>
      <c r="I25" s="893"/>
      <c r="J25" s="895"/>
      <c r="K25" s="897"/>
      <c r="L25" s="530" t="s">
        <v>316</v>
      </c>
      <c r="M25" s="529" t="s">
        <v>318</v>
      </c>
      <c r="N25" s="531" t="s">
        <v>319</v>
      </c>
      <c r="O25" s="618" t="s">
        <v>20</v>
      </c>
      <c r="P25" s="605" t="s">
        <v>21</v>
      </c>
      <c r="Q25" s="877"/>
      <c r="S25" s="532"/>
      <c r="T25" s="532"/>
    </row>
    <row r="26" spans="1:17" s="54" customFormat="1" ht="18" customHeight="1">
      <c r="A26" s="1012" t="s">
        <v>60</v>
      </c>
      <c r="B26" s="876" t="s">
        <v>65</v>
      </c>
      <c r="C26" s="1013">
        <v>41466</v>
      </c>
      <c r="D26" s="697" t="s">
        <v>499</v>
      </c>
      <c r="E26" s="815" t="s">
        <v>509</v>
      </c>
      <c r="F26" s="816" t="s">
        <v>647</v>
      </c>
      <c r="G26" s="727" t="s">
        <v>781</v>
      </c>
      <c r="H26" s="555" t="s">
        <v>782</v>
      </c>
      <c r="I26" s="380" t="s">
        <v>369</v>
      </c>
      <c r="J26" s="381">
        <v>2</v>
      </c>
      <c r="K26" s="382">
        <f>4136.4/1000</f>
        <v>4.1364</v>
      </c>
      <c r="L26" s="383" t="s">
        <v>370</v>
      </c>
      <c r="M26" s="385" t="s">
        <v>371</v>
      </c>
      <c r="N26" s="384">
        <f>SUM(O26,P26)</f>
        <v>108</v>
      </c>
      <c r="O26" s="626">
        <v>33</v>
      </c>
      <c r="P26" s="622">
        <v>75</v>
      </c>
      <c r="Q26" s="583">
        <v>0.25</v>
      </c>
    </row>
    <row r="27" spans="1:17" s="54" customFormat="1" ht="18" customHeight="1">
      <c r="A27" s="929"/>
      <c r="B27" s="881"/>
      <c r="C27" s="1014"/>
      <c r="D27" s="698" t="s">
        <v>499</v>
      </c>
      <c r="E27" s="562" t="s">
        <v>509</v>
      </c>
      <c r="F27" s="746" t="s">
        <v>647</v>
      </c>
      <c r="G27" s="449" t="s">
        <v>647</v>
      </c>
      <c r="H27" s="369" t="s">
        <v>372</v>
      </c>
      <c r="I27" s="387" t="s">
        <v>373</v>
      </c>
      <c r="J27" s="371">
        <v>1</v>
      </c>
      <c r="K27" s="388">
        <f>1125/1000</f>
        <v>1.125</v>
      </c>
      <c r="L27" s="375" t="s">
        <v>363</v>
      </c>
      <c r="M27" s="377" t="s">
        <v>374</v>
      </c>
      <c r="N27" s="337">
        <f>SUM(O27,P27)</f>
        <v>274</v>
      </c>
      <c r="O27" s="614">
        <v>84</v>
      </c>
      <c r="P27" s="609">
        <v>190</v>
      </c>
      <c r="Q27" s="580" t="s">
        <v>35</v>
      </c>
    </row>
    <row r="28" spans="1:17" s="54" customFormat="1" ht="18" customHeight="1">
      <c r="A28" s="929"/>
      <c r="B28" s="881"/>
      <c r="C28" s="556">
        <v>41469</v>
      </c>
      <c r="D28" s="698" t="s">
        <v>499</v>
      </c>
      <c r="E28" s="562" t="s">
        <v>509</v>
      </c>
      <c r="F28" s="746" t="s">
        <v>676</v>
      </c>
      <c r="G28" s="449" t="s">
        <v>676</v>
      </c>
      <c r="H28" s="479" t="s">
        <v>366</v>
      </c>
      <c r="I28" s="387" t="s">
        <v>367</v>
      </c>
      <c r="J28" s="371">
        <v>33</v>
      </c>
      <c r="K28" s="388">
        <f>1110.1/1000</f>
        <v>1.1100999999999999</v>
      </c>
      <c r="L28" s="373" t="s">
        <v>375</v>
      </c>
      <c r="M28" s="390" t="s">
        <v>376</v>
      </c>
      <c r="N28" s="337">
        <f>SUM(O28,P28)</f>
        <v>53</v>
      </c>
      <c r="O28" s="614">
        <v>18</v>
      </c>
      <c r="P28" s="609">
        <v>35</v>
      </c>
      <c r="Q28" s="580" t="s">
        <v>35</v>
      </c>
    </row>
    <row r="29" spans="1:17" s="54" customFormat="1" ht="18" customHeight="1">
      <c r="A29" s="929"/>
      <c r="B29" s="882"/>
      <c r="C29" s="557">
        <v>41475</v>
      </c>
      <c r="D29" s="699" t="s">
        <v>499</v>
      </c>
      <c r="E29" s="756" t="s">
        <v>509</v>
      </c>
      <c r="F29" s="757" t="s">
        <v>647</v>
      </c>
      <c r="G29" s="728" t="s">
        <v>781</v>
      </c>
      <c r="H29" s="391" t="s">
        <v>377</v>
      </c>
      <c r="I29" s="392" t="s">
        <v>378</v>
      </c>
      <c r="J29" s="393">
        <v>4</v>
      </c>
      <c r="K29" s="394">
        <f>276.9/1000</f>
        <v>0.2769</v>
      </c>
      <c r="L29" s="395" t="s">
        <v>365</v>
      </c>
      <c r="M29" s="396" t="s">
        <v>379</v>
      </c>
      <c r="N29" s="293">
        <f>SUM(O29,P29)</f>
        <v>16.3</v>
      </c>
      <c r="O29" s="627">
        <v>5.3</v>
      </c>
      <c r="P29" s="623">
        <v>11</v>
      </c>
      <c r="Q29" s="584" t="s">
        <v>35</v>
      </c>
    </row>
    <row r="30" spans="1:17" s="54" customFormat="1" ht="18" customHeight="1">
      <c r="A30" s="929"/>
      <c r="B30" s="876" t="s">
        <v>506</v>
      </c>
      <c r="C30" s="883">
        <v>41464</v>
      </c>
      <c r="D30" s="543" t="s">
        <v>320</v>
      </c>
      <c r="E30" s="789" t="s">
        <v>35</v>
      </c>
      <c r="F30" s="730" t="s">
        <v>35</v>
      </c>
      <c r="G30" s="779" t="s">
        <v>35</v>
      </c>
      <c r="H30" s="537" t="s">
        <v>35</v>
      </c>
      <c r="I30" s="538" t="s">
        <v>321</v>
      </c>
      <c r="J30" s="494" t="s">
        <v>35</v>
      </c>
      <c r="K30" s="495">
        <f>52.19/1000</f>
        <v>0.05219</v>
      </c>
      <c r="L30" s="539" t="s">
        <v>35</v>
      </c>
      <c r="M30" s="497" t="s">
        <v>35</v>
      </c>
      <c r="N30" s="540">
        <f t="shared" si="0"/>
        <v>450</v>
      </c>
      <c r="O30" s="628">
        <v>140</v>
      </c>
      <c r="P30" s="624">
        <v>310</v>
      </c>
      <c r="Q30" s="585" t="s">
        <v>35</v>
      </c>
    </row>
    <row r="31" spans="1:17" s="54" customFormat="1" ht="18" customHeight="1">
      <c r="A31" s="929"/>
      <c r="B31" s="881"/>
      <c r="C31" s="931"/>
      <c r="D31" s="710" t="s">
        <v>511</v>
      </c>
      <c r="E31" s="791" t="s">
        <v>512</v>
      </c>
      <c r="F31" s="737" t="s">
        <v>715</v>
      </c>
      <c r="G31" s="802" t="s">
        <v>715</v>
      </c>
      <c r="H31" s="358" t="s">
        <v>783</v>
      </c>
      <c r="I31" s="359" t="s">
        <v>347</v>
      </c>
      <c r="J31" s="360" t="s">
        <v>35</v>
      </c>
      <c r="K31" s="361">
        <f>28.5/1000</f>
        <v>0.0285</v>
      </c>
      <c r="L31" s="362" t="s">
        <v>1</v>
      </c>
      <c r="M31" s="364" t="s">
        <v>35</v>
      </c>
      <c r="N31" s="363" t="s">
        <v>784</v>
      </c>
      <c r="O31" s="629" t="s">
        <v>785</v>
      </c>
      <c r="P31" s="625" t="s">
        <v>786</v>
      </c>
      <c r="Q31" s="586" t="s">
        <v>35</v>
      </c>
    </row>
    <row r="32" spans="1:17" s="54" customFormat="1" ht="18" customHeight="1">
      <c r="A32" s="929"/>
      <c r="B32" s="881"/>
      <c r="C32" s="931"/>
      <c r="D32" s="550" t="s">
        <v>496</v>
      </c>
      <c r="E32" s="551" t="s">
        <v>497</v>
      </c>
      <c r="F32" s="552" t="s">
        <v>720</v>
      </c>
      <c r="G32" s="533" t="s">
        <v>721</v>
      </c>
      <c r="H32" s="324" t="s">
        <v>322</v>
      </c>
      <c r="I32" s="365" t="s">
        <v>348</v>
      </c>
      <c r="J32" s="326">
        <v>295</v>
      </c>
      <c r="K32" s="366">
        <f>7.775/1000</f>
        <v>0.007775000000000001</v>
      </c>
      <c r="L32" s="328" t="s">
        <v>349</v>
      </c>
      <c r="M32" s="330" t="s">
        <v>35</v>
      </c>
      <c r="N32" s="329">
        <f>SUM(O32,P32)</f>
        <v>198</v>
      </c>
      <c r="O32" s="620">
        <v>68</v>
      </c>
      <c r="P32" s="613">
        <v>130</v>
      </c>
      <c r="Q32" s="579" t="s">
        <v>35</v>
      </c>
    </row>
    <row r="33" spans="1:17" s="54" customFormat="1" ht="18" customHeight="1">
      <c r="A33" s="929"/>
      <c r="B33" s="881"/>
      <c r="C33" s="931"/>
      <c r="D33" s="550" t="s">
        <v>496</v>
      </c>
      <c r="E33" s="551" t="s">
        <v>497</v>
      </c>
      <c r="F33" s="552" t="s">
        <v>720</v>
      </c>
      <c r="G33" s="533" t="s">
        <v>721</v>
      </c>
      <c r="H33" s="324" t="s">
        <v>322</v>
      </c>
      <c r="I33" s="365" t="s">
        <v>348</v>
      </c>
      <c r="J33" s="326">
        <v>621</v>
      </c>
      <c r="K33" s="367">
        <f>208.9/1000</f>
        <v>0.2089</v>
      </c>
      <c r="L33" s="328" t="s">
        <v>350</v>
      </c>
      <c r="M33" s="330" t="s">
        <v>35</v>
      </c>
      <c r="N33" s="329">
        <f>SUM(O33,P33)</f>
        <v>132</v>
      </c>
      <c r="O33" s="620">
        <v>44</v>
      </c>
      <c r="P33" s="613">
        <v>88</v>
      </c>
      <c r="Q33" s="579" t="s">
        <v>35</v>
      </c>
    </row>
    <row r="34" spans="1:17" s="54" customFormat="1" ht="18" customHeight="1">
      <c r="A34" s="929"/>
      <c r="B34" s="881"/>
      <c r="C34" s="931"/>
      <c r="D34" s="550" t="s">
        <v>496</v>
      </c>
      <c r="E34" s="551" t="s">
        <v>497</v>
      </c>
      <c r="F34" s="534" t="s">
        <v>723</v>
      </c>
      <c r="G34" s="558" t="s">
        <v>723</v>
      </c>
      <c r="H34" s="408" t="s">
        <v>724</v>
      </c>
      <c r="I34" s="365" t="s">
        <v>353</v>
      </c>
      <c r="J34" s="1003">
        <v>95</v>
      </c>
      <c r="K34" s="1004">
        <f>67.8/1000</f>
        <v>0.0678</v>
      </c>
      <c r="L34" s="1010" t="s">
        <v>323</v>
      </c>
      <c r="M34" s="1006" t="s">
        <v>35</v>
      </c>
      <c r="N34" s="1011">
        <f>SUM(O34,P34)</f>
        <v>15.4</v>
      </c>
      <c r="O34" s="1008">
        <v>4.4</v>
      </c>
      <c r="P34" s="1000">
        <v>11</v>
      </c>
      <c r="Q34" s="1001" t="s">
        <v>35</v>
      </c>
    </row>
    <row r="35" spans="1:17" s="54" customFormat="1" ht="18" customHeight="1">
      <c r="A35" s="929"/>
      <c r="B35" s="881"/>
      <c r="C35" s="931"/>
      <c r="D35" s="550" t="s">
        <v>496</v>
      </c>
      <c r="E35" s="551" t="s">
        <v>497</v>
      </c>
      <c r="F35" s="534" t="s">
        <v>723</v>
      </c>
      <c r="G35" s="559" t="s">
        <v>723</v>
      </c>
      <c r="H35" s="408" t="s">
        <v>351</v>
      </c>
      <c r="I35" s="368" t="s">
        <v>352</v>
      </c>
      <c r="J35" s="1003"/>
      <c r="K35" s="1004"/>
      <c r="L35" s="1010"/>
      <c r="M35" s="1006"/>
      <c r="N35" s="1011"/>
      <c r="O35" s="1008"/>
      <c r="P35" s="1000"/>
      <c r="Q35" s="1002"/>
    </row>
    <row r="36" spans="1:17" s="54" customFormat="1" ht="18" customHeight="1">
      <c r="A36" s="929"/>
      <c r="B36" s="881"/>
      <c r="C36" s="931"/>
      <c r="D36" s="550" t="s">
        <v>496</v>
      </c>
      <c r="E36" s="551" t="s">
        <v>497</v>
      </c>
      <c r="F36" s="552" t="s">
        <v>729</v>
      </c>
      <c r="G36" s="533" t="s">
        <v>730</v>
      </c>
      <c r="H36" s="324" t="s">
        <v>329</v>
      </c>
      <c r="I36" s="365" t="s">
        <v>752</v>
      </c>
      <c r="J36" s="1003">
        <v>77</v>
      </c>
      <c r="K36" s="1004">
        <f>37.1/1000</f>
        <v>0.0371</v>
      </c>
      <c r="L36" s="1005" t="s">
        <v>323</v>
      </c>
      <c r="M36" s="1006" t="s">
        <v>35</v>
      </c>
      <c r="N36" s="1007">
        <f aca="true" t="shared" si="1" ref="N36:N53">SUM(O36,P36)</f>
        <v>22.8</v>
      </c>
      <c r="O36" s="1008">
        <v>7.8</v>
      </c>
      <c r="P36" s="1000">
        <v>15</v>
      </c>
      <c r="Q36" s="1001" t="s">
        <v>35</v>
      </c>
    </row>
    <row r="37" spans="1:17" s="54" customFormat="1" ht="18" customHeight="1">
      <c r="A37" s="929"/>
      <c r="B37" s="881"/>
      <c r="C37" s="931"/>
      <c r="D37" s="550" t="s">
        <v>496</v>
      </c>
      <c r="E37" s="551" t="s">
        <v>497</v>
      </c>
      <c r="F37" s="552" t="s">
        <v>729</v>
      </c>
      <c r="G37" s="533" t="s">
        <v>732</v>
      </c>
      <c r="H37" s="324" t="s">
        <v>328</v>
      </c>
      <c r="I37" s="365" t="s">
        <v>732</v>
      </c>
      <c r="J37" s="1003"/>
      <c r="K37" s="1004"/>
      <c r="L37" s="1005"/>
      <c r="M37" s="1006"/>
      <c r="N37" s="1007"/>
      <c r="O37" s="1008"/>
      <c r="P37" s="1000"/>
      <c r="Q37" s="1002"/>
    </row>
    <row r="38" spans="1:17" s="54" customFormat="1" ht="18" customHeight="1">
      <c r="A38" s="929"/>
      <c r="B38" s="881"/>
      <c r="C38" s="931"/>
      <c r="D38" s="550" t="s">
        <v>496</v>
      </c>
      <c r="E38" s="551" t="s">
        <v>497</v>
      </c>
      <c r="F38" s="552" t="s">
        <v>729</v>
      </c>
      <c r="G38" s="533" t="s">
        <v>734</v>
      </c>
      <c r="H38" s="324" t="s">
        <v>354</v>
      </c>
      <c r="I38" s="365" t="s">
        <v>787</v>
      </c>
      <c r="J38" s="1003"/>
      <c r="K38" s="1004"/>
      <c r="L38" s="1005"/>
      <c r="M38" s="1006"/>
      <c r="N38" s="1007"/>
      <c r="O38" s="1008"/>
      <c r="P38" s="1000"/>
      <c r="Q38" s="1002"/>
    </row>
    <row r="39" spans="1:17" s="54" customFormat="1" ht="18" customHeight="1">
      <c r="A39" s="929"/>
      <c r="B39" s="881"/>
      <c r="C39" s="931"/>
      <c r="D39" s="550" t="s">
        <v>496</v>
      </c>
      <c r="E39" s="551" t="s">
        <v>497</v>
      </c>
      <c r="F39" s="552" t="s">
        <v>729</v>
      </c>
      <c r="G39" s="533" t="s">
        <v>734</v>
      </c>
      <c r="H39" s="324" t="s">
        <v>738</v>
      </c>
      <c r="I39" s="365" t="s">
        <v>788</v>
      </c>
      <c r="J39" s="1003"/>
      <c r="K39" s="1004"/>
      <c r="L39" s="1005"/>
      <c r="M39" s="1006"/>
      <c r="N39" s="1007">
        <f t="shared" si="1"/>
        <v>0</v>
      </c>
      <c r="O39" s="1008"/>
      <c r="P39" s="1000"/>
      <c r="Q39" s="1002"/>
    </row>
    <row r="40" spans="1:17" s="54" customFormat="1" ht="18" customHeight="1">
      <c r="A40" s="929"/>
      <c r="B40" s="881"/>
      <c r="C40" s="931"/>
      <c r="D40" s="550" t="s">
        <v>496</v>
      </c>
      <c r="E40" s="551" t="s">
        <v>497</v>
      </c>
      <c r="F40" s="552" t="s">
        <v>729</v>
      </c>
      <c r="G40" s="533" t="s">
        <v>734</v>
      </c>
      <c r="H40" s="324" t="s">
        <v>326</v>
      </c>
      <c r="I40" s="365" t="s">
        <v>755</v>
      </c>
      <c r="J40" s="1003"/>
      <c r="K40" s="1004"/>
      <c r="L40" s="1005"/>
      <c r="M40" s="1006"/>
      <c r="N40" s="1007">
        <f t="shared" si="1"/>
        <v>0</v>
      </c>
      <c r="O40" s="1008"/>
      <c r="P40" s="1000"/>
      <c r="Q40" s="1002"/>
    </row>
    <row r="41" spans="1:17" s="54" customFormat="1" ht="18" customHeight="1">
      <c r="A41" s="929"/>
      <c r="B41" s="881"/>
      <c r="C41" s="931"/>
      <c r="D41" s="550" t="s">
        <v>496</v>
      </c>
      <c r="E41" s="551" t="s">
        <v>497</v>
      </c>
      <c r="F41" s="552" t="s">
        <v>729</v>
      </c>
      <c r="G41" s="533" t="s">
        <v>734</v>
      </c>
      <c r="H41" s="324" t="s">
        <v>327</v>
      </c>
      <c r="I41" s="368" t="s">
        <v>756</v>
      </c>
      <c r="J41" s="1003"/>
      <c r="K41" s="1004"/>
      <c r="L41" s="1005"/>
      <c r="M41" s="1006"/>
      <c r="N41" s="1007">
        <f t="shared" si="1"/>
        <v>0</v>
      </c>
      <c r="O41" s="1008"/>
      <c r="P41" s="1000"/>
      <c r="Q41" s="1002"/>
    </row>
    <row r="42" spans="1:17" s="54" customFormat="1" ht="18" customHeight="1">
      <c r="A42" s="929"/>
      <c r="B42" s="881"/>
      <c r="C42" s="931"/>
      <c r="D42" s="550" t="s">
        <v>496</v>
      </c>
      <c r="E42" s="551" t="s">
        <v>497</v>
      </c>
      <c r="F42" s="552" t="s">
        <v>729</v>
      </c>
      <c r="G42" s="533" t="s">
        <v>729</v>
      </c>
      <c r="H42" s="324" t="s">
        <v>330</v>
      </c>
      <c r="I42" s="365" t="s">
        <v>789</v>
      </c>
      <c r="J42" s="1003"/>
      <c r="K42" s="1004"/>
      <c r="L42" s="1005"/>
      <c r="M42" s="1006"/>
      <c r="N42" s="1007">
        <f t="shared" si="1"/>
        <v>0</v>
      </c>
      <c r="O42" s="1008"/>
      <c r="P42" s="1000"/>
      <c r="Q42" s="1009"/>
    </row>
    <row r="43" spans="1:17" s="54" customFormat="1" ht="18" customHeight="1">
      <c r="A43" s="929"/>
      <c r="B43" s="881"/>
      <c r="C43" s="931"/>
      <c r="D43" s="700" t="s">
        <v>496</v>
      </c>
      <c r="E43" s="562" t="s">
        <v>503</v>
      </c>
      <c r="F43" s="746" t="s">
        <v>504</v>
      </c>
      <c r="G43" s="449" t="s">
        <v>747</v>
      </c>
      <c r="H43" s="369" t="s">
        <v>355</v>
      </c>
      <c r="I43" s="370" t="s">
        <v>356</v>
      </c>
      <c r="J43" s="371">
        <v>21</v>
      </c>
      <c r="K43" s="372">
        <f>371.1/1000</f>
        <v>0.37110000000000004</v>
      </c>
      <c r="L43" s="373" t="s">
        <v>333</v>
      </c>
      <c r="M43" s="24" t="s">
        <v>35</v>
      </c>
      <c r="N43" s="337">
        <f t="shared" si="1"/>
        <v>62</v>
      </c>
      <c r="O43" s="614">
        <v>20</v>
      </c>
      <c r="P43" s="609">
        <v>42</v>
      </c>
      <c r="Q43" s="580" t="s">
        <v>35</v>
      </c>
    </row>
    <row r="44" spans="1:17" s="54" customFormat="1" ht="18" customHeight="1">
      <c r="A44" s="929"/>
      <c r="B44" s="881"/>
      <c r="C44" s="931"/>
      <c r="D44" s="553" t="s">
        <v>510</v>
      </c>
      <c r="E44" s="562" t="s">
        <v>507</v>
      </c>
      <c r="F44" s="752" t="s">
        <v>508</v>
      </c>
      <c r="G44" s="775" t="s">
        <v>689</v>
      </c>
      <c r="H44" s="332" t="s">
        <v>690</v>
      </c>
      <c r="I44" s="333" t="s">
        <v>689</v>
      </c>
      <c r="J44" s="371">
        <v>142</v>
      </c>
      <c r="K44" s="374">
        <f>57.6/1000</f>
        <v>0.0576</v>
      </c>
      <c r="L44" s="373" t="s">
        <v>333</v>
      </c>
      <c r="M44" s="24" t="s">
        <v>35</v>
      </c>
      <c r="N44" s="337">
        <f t="shared" si="1"/>
        <v>120</v>
      </c>
      <c r="O44" s="614">
        <v>39</v>
      </c>
      <c r="P44" s="609">
        <v>81</v>
      </c>
      <c r="Q44" s="580" t="s">
        <v>35</v>
      </c>
    </row>
    <row r="45" spans="1:17" s="54" customFormat="1" ht="18" customHeight="1">
      <c r="A45" s="929"/>
      <c r="B45" s="881"/>
      <c r="C45" s="931"/>
      <c r="D45" s="698" t="s">
        <v>499</v>
      </c>
      <c r="E45" s="562" t="s">
        <v>500</v>
      </c>
      <c r="F45" s="787" t="s">
        <v>676</v>
      </c>
      <c r="G45" s="753" t="s">
        <v>676</v>
      </c>
      <c r="H45" s="386" t="s">
        <v>366</v>
      </c>
      <c r="I45" s="370" t="s">
        <v>367</v>
      </c>
      <c r="J45" s="371">
        <v>7</v>
      </c>
      <c r="K45" s="372">
        <f>137.5/1000</f>
        <v>0.1375</v>
      </c>
      <c r="L45" s="373" t="s">
        <v>363</v>
      </c>
      <c r="M45" s="24" t="s">
        <v>35</v>
      </c>
      <c r="N45" s="337">
        <f>SUM(O45,P45)</f>
        <v>38</v>
      </c>
      <c r="O45" s="614">
        <v>12</v>
      </c>
      <c r="P45" s="609">
        <v>26</v>
      </c>
      <c r="Q45" s="580" t="s">
        <v>35</v>
      </c>
    </row>
    <row r="46" spans="1:17" s="54" customFormat="1" ht="18" customHeight="1">
      <c r="A46" s="929"/>
      <c r="B46" s="881"/>
      <c r="C46" s="931"/>
      <c r="D46" s="701" t="s">
        <v>499</v>
      </c>
      <c r="E46" s="741" t="s">
        <v>500</v>
      </c>
      <c r="F46" s="752" t="s">
        <v>635</v>
      </c>
      <c r="G46" s="775" t="s">
        <v>635</v>
      </c>
      <c r="H46" s="386" t="s">
        <v>337</v>
      </c>
      <c r="I46" s="370" t="s">
        <v>338</v>
      </c>
      <c r="J46" s="371">
        <v>25</v>
      </c>
      <c r="K46" s="372">
        <f>216.6/1000</f>
        <v>0.2166</v>
      </c>
      <c r="L46" s="375" t="s">
        <v>357</v>
      </c>
      <c r="M46" s="24" t="s">
        <v>35</v>
      </c>
      <c r="N46" s="337">
        <f>SUM(O46,P46)</f>
        <v>43</v>
      </c>
      <c r="O46" s="614">
        <v>14</v>
      </c>
      <c r="P46" s="609">
        <v>29</v>
      </c>
      <c r="Q46" s="580" t="s">
        <v>35</v>
      </c>
    </row>
    <row r="47" spans="1:17" s="54" customFormat="1" ht="18" customHeight="1">
      <c r="A47" s="929"/>
      <c r="B47" s="881"/>
      <c r="C47" s="931"/>
      <c r="D47" s="701" t="s">
        <v>499</v>
      </c>
      <c r="E47" s="741" t="s">
        <v>500</v>
      </c>
      <c r="F47" s="752" t="s">
        <v>635</v>
      </c>
      <c r="G47" s="775" t="s">
        <v>665</v>
      </c>
      <c r="H47" s="369" t="s">
        <v>334</v>
      </c>
      <c r="I47" s="370" t="s">
        <v>335</v>
      </c>
      <c r="J47" s="371">
        <v>14</v>
      </c>
      <c r="K47" s="374">
        <f>66.2/1000</f>
        <v>0.06620000000000001</v>
      </c>
      <c r="L47" s="373" t="s">
        <v>336</v>
      </c>
      <c r="M47" s="24" t="s">
        <v>35</v>
      </c>
      <c r="N47" s="337">
        <f t="shared" si="1"/>
        <v>46</v>
      </c>
      <c r="O47" s="614">
        <v>15</v>
      </c>
      <c r="P47" s="609">
        <v>31</v>
      </c>
      <c r="Q47" s="580" t="s">
        <v>35</v>
      </c>
    </row>
    <row r="48" spans="1:17" s="54" customFormat="1" ht="18" customHeight="1">
      <c r="A48" s="929"/>
      <c r="B48" s="881"/>
      <c r="C48" s="931"/>
      <c r="D48" s="701" t="s">
        <v>499</v>
      </c>
      <c r="E48" s="741" t="s">
        <v>500</v>
      </c>
      <c r="F48" s="754" t="s">
        <v>639</v>
      </c>
      <c r="G48" s="449" t="s">
        <v>639</v>
      </c>
      <c r="H48" s="386" t="s">
        <v>358</v>
      </c>
      <c r="I48" s="370" t="s">
        <v>359</v>
      </c>
      <c r="J48" s="371">
        <v>3</v>
      </c>
      <c r="K48" s="376">
        <f>963.1/1000</f>
        <v>0.9631000000000001</v>
      </c>
      <c r="L48" s="375" t="s">
        <v>339</v>
      </c>
      <c r="M48" s="377" t="s">
        <v>360</v>
      </c>
      <c r="N48" s="337">
        <f t="shared" si="1"/>
        <v>17.5</v>
      </c>
      <c r="O48" s="615">
        <v>5.5</v>
      </c>
      <c r="P48" s="609">
        <v>12</v>
      </c>
      <c r="Q48" s="580" t="s">
        <v>35</v>
      </c>
    </row>
    <row r="49" spans="1:17" s="54" customFormat="1" ht="18" customHeight="1">
      <c r="A49" s="929"/>
      <c r="B49" s="881"/>
      <c r="C49" s="931"/>
      <c r="D49" s="701" t="s">
        <v>499</v>
      </c>
      <c r="E49" s="741" t="s">
        <v>500</v>
      </c>
      <c r="F49" s="754" t="s">
        <v>639</v>
      </c>
      <c r="G49" s="449" t="s">
        <v>639</v>
      </c>
      <c r="H49" s="386" t="s">
        <v>361</v>
      </c>
      <c r="I49" s="378" t="s">
        <v>362</v>
      </c>
      <c r="J49" s="371">
        <v>12</v>
      </c>
      <c r="K49" s="372">
        <f>160/1000</f>
        <v>0.16</v>
      </c>
      <c r="L49" s="375" t="s">
        <v>363</v>
      </c>
      <c r="M49" s="377" t="s">
        <v>360</v>
      </c>
      <c r="N49" s="337">
        <f t="shared" si="1"/>
        <v>16.3</v>
      </c>
      <c r="O49" s="615">
        <v>5.3</v>
      </c>
      <c r="P49" s="609">
        <v>11</v>
      </c>
      <c r="Q49" s="580" t="s">
        <v>35</v>
      </c>
    </row>
    <row r="50" spans="1:17" s="54" customFormat="1" ht="18" customHeight="1">
      <c r="A50" s="929"/>
      <c r="B50" s="881"/>
      <c r="C50" s="931"/>
      <c r="D50" s="701" t="s">
        <v>499</v>
      </c>
      <c r="E50" s="741" t="s">
        <v>500</v>
      </c>
      <c r="F50" s="754" t="s">
        <v>639</v>
      </c>
      <c r="G50" s="449" t="s">
        <v>639</v>
      </c>
      <c r="H50" s="386" t="s">
        <v>361</v>
      </c>
      <c r="I50" s="378" t="s">
        <v>364</v>
      </c>
      <c r="J50" s="371">
        <v>2</v>
      </c>
      <c r="K50" s="374">
        <f>72.1/1000</f>
        <v>0.0721</v>
      </c>
      <c r="L50" s="375" t="s">
        <v>365</v>
      </c>
      <c r="M50" s="377" t="s">
        <v>360</v>
      </c>
      <c r="N50" s="337">
        <f t="shared" si="1"/>
        <v>14.3</v>
      </c>
      <c r="O50" s="615">
        <v>4.4</v>
      </c>
      <c r="P50" s="621">
        <v>9.9</v>
      </c>
      <c r="Q50" s="580" t="s">
        <v>35</v>
      </c>
    </row>
    <row r="51" spans="1:17" s="54" customFormat="1" ht="18" customHeight="1">
      <c r="A51" s="929"/>
      <c r="B51" s="881"/>
      <c r="C51" s="931"/>
      <c r="D51" s="554" t="s">
        <v>499</v>
      </c>
      <c r="E51" s="783" t="s">
        <v>498</v>
      </c>
      <c r="F51" s="796" t="s">
        <v>501</v>
      </c>
      <c r="G51" s="785" t="s">
        <v>670</v>
      </c>
      <c r="H51" s="348" t="s">
        <v>671</v>
      </c>
      <c r="I51" s="342" t="s">
        <v>368</v>
      </c>
      <c r="J51" s="343">
        <v>12</v>
      </c>
      <c r="K51" s="349">
        <f>34.5/1000</f>
        <v>0.0345</v>
      </c>
      <c r="L51" s="345" t="s">
        <v>333</v>
      </c>
      <c r="M51" s="347" t="s">
        <v>35</v>
      </c>
      <c r="N51" s="346">
        <f t="shared" si="1"/>
        <v>49</v>
      </c>
      <c r="O51" s="616">
        <v>16</v>
      </c>
      <c r="P51" s="610">
        <v>33</v>
      </c>
      <c r="Q51" s="581" t="s">
        <v>35</v>
      </c>
    </row>
    <row r="52" spans="1:17" s="54" customFormat="1" ht="18" customHeight="1">
      <c r="A52" s="929"/>
      <c r="B52" s="881"/>
      <c r="C52" s="931"/>
      <c r="D52" s="554" t="s">
        <v>499</v>
      </c>
      <c r="E52" s="783" t="s">
        <v>498</v>
      </c>
      <c r="F52" s="796" t="s">
        <v>501</v>
      </c>
      <c r="G52" s="813" t="s">
        <v>35</v>
      </c>
      <c r="H52" s="341" t="s">
        <v>35</v>
      </c>
      <c r="I52" s="342" t="s">
        <v>341</v>
      </c>
      <c r="J52" s="343">
        <v>7</v>
      </c>
      <c r="K52" s="349">
        <f>10.8/1000</f>
        <v>0.0108</v>
      </c>
      <c r="L52" s="345" t="s">
        <v>342</v>
      </c>
      <c r="M52" s="347" t="s">
        <v>35</v>
      </c>
      <c r="N52" s="346">
        <f>SUM(O52,P52)</f>
        <v>550</v>
      </c>
      <c r="O52" s="616">
        <v>180</v>
      </c>
      <c r="P52" s="610">
        <v>370</v>
      </c>
      <c r="Q52" s="581" t="s">
        <v>35</v>
      </c>
    </row>
    <row r="53" spans="1:17" s="54" customFormat="1" ht="18" customHeight="1">
      <c r="A53" s="930"/>
      <c r="B53" s="882"/>
      <c r="C53" s="907"/>
      <c r="D53" s="692" t="s">
        <v>547</v>
      </c>
      <c r="E53" s="807" t="s">
        <v>35</v>
      </c>
      <c r="F53" s="817" t="s">
        <v>35</v>
      </c>
      <c r="G53" s="818" t="s">
        <v>35</v>
      </c>
      <c r="H53" s="350" t="s">
        <v>35</v>
      </c>
      <c r="I53" s="351" t="s">
        <v>346</v>
      </c>
      <c r="J53" s="352" t="s">
        <v>35</v>
      </c>
      <c r="K53" s="353">
        <f>256.3/1000</f>
        <v>0.25630000000000003</v>
      </c>
      <c r="L53" s="354" t="s">
        <v>35</v>
      </c>
      <c r="M53" s="356" t="s">
        <v>35</v>
      </c>
      <c r="N53" s="355">
        <f t="shared" si="1"/>
        <v>165</v>
      </c>
      <c r="O53" s="617">
        <v>55</v>
      </c>
      <c r="P53" s="611">
        <v>110</v>
      </c>
      <c r="Q53" s="582" t="s">
        <v>35</v>
      </c>
    </row>
    <row r="54" spans="2:16" s="54" customFormat="1" ht="18" customHeight="1">
      <c r="B54" s="399"/>
      <c r="C54" s="121"/>
      <c r="D54" s="702"/>
      <c r="E54" s="400"/>
      <c r="F54" s="400"/>
      <c r="G54" s="400"/>
      <c r="H54" s="400"/>
      <c r="I54" s="400"/>
      <c r="J54" s="401"/>
      <c r="L54" s="402"/>
      <c r="N54" s="403"/>
      <c r="O54" s="404"/>
      <c r="P54" s="404"/>
    </row>
    <row r="55" spans="1:17" s="54" customFormat="1" ht="18" customHeight="1">
      <c r="A55" s="903" t="s">
        <v>3</v>
      </c>
      <c r="B55" s="904"/>
      <c r="C55" s="883" t="s">
        <v>313</v>
      </c>
      <c r="D55" s="908" t="s">
        <v>488</v>
      </c>
      <c r="E55" s="910" t="s">
        <v>489</v>
      </c>
      <c r="F55" s="912" t="s">
        <v>490</v>
      </c>
      <c r="G55" s="914" t="s">
        <v>491</v>
      </c>
      <c r="H55" s="852" t="s">
        <v>492</v>
      </c>
      <c r="I55" s="852" t="s">
        <v>493</v>
      </c>
      <c r="J55" s="894" t="s">
        <v>314</v>
      </c>
      <c r="K55" s="896" t="s">
        <v>315</v>
      </c>
      <c r="L55" s="898" t="s">
        <v>494</v>
      </c>
      <c r="M55" s="899"/>
      <c r="N55" s="900" t="s">
        <v>317</v>
      </c>
      <c r="O55" s="901"/>
      <c r="P55" s="902"/>
      <c r="Q55" s="876" t="s">
        <v>495</v>
      </c>
    </row>
    <row r="56" spans="1:20" s="54" customFormat="1" ht="18" customHeight="1">
      <c r="A56" s="905"/>
      <c r="B56" s="906"/>
      <c r="C56" s="907"/>
      <c r="D56" s="909"/>
      <c r="E56" s="911"/>
      <c r="F56" s="913"/>
      <c r="G56" s="915"/>
      <c r="H56" s="893"/>
      <c r="I56" s="893"/>
      <c r="J56" s="895"/>
      <c r="K56" s="897"/>
      <c r="L56" s="530" t="s">
        <v>316</v>
      </c>
      <c r="M56" s="529" t="s">
        <v>318</v>
      </c>
      <c r="N56" s="531" t="s">
        <v>319</v>
      </c>
      <c r="O56" s="618" t="s">
        <v>20</v>
      </c>
      <c r="P56" s="605" t="s">
        <v>21</v>
      </c>
      <c r="Q56" s="877"/>
      <c r="S56" s="532"/>
      <c r="T56" s="532"/>
    </row>
    <row r="57" spans="1:17" s="54" customFormat="1" ht="18" customHeight="1">
      <c r="A57" s="997" t="s">
        <v>416</v>
      </c>
      <c r="B57" s="852" t="s">
        <v>531</v>
      </c>
      <c r="C57" s="883">
        <v>41469</v>
      </c>
      <c r="D57" s="543" t="s">
        <v>320</v>
      </c>
      <c r="E57" s="789" t="s">
        <v>35</v>
      </c>
      <c r="F57" s="730" t="s">
        <v>35</v>
      </c>
      <c r="G57" s="779" t="s">
        <v>35</v>
      </c>
      <c r="H57" s="317" t="s">
        <v>35</v>
      </c>
      <c r="I57" s="357" t="s">
        <v>417</v>
      </c>
      <c r="J57" s="319" t="s">
        <v>35</v>
      </c>
      <c r="K57" s="320">
        <f>76.54/1000</f>
        <v>0.07654000000000001</v>
      </c>
      <c r="L57" s="448" t="s">
        <v>1</v>
      </c>
      <c r="M57" s="323" t="s">
        <v>1</v>
      </c>
      <c r="N57" s="405">
        <f>SUM(O57,P57)</f>
        <v>520</v>
      </c>
      <c r="O57" s="640">
        <v>170</v>
      </c>
      <c r="P57" s="607">
        <v>350</v>
      </c>
      <c r="Q57" s="323" t="s">
        <v>1</v>
      </c>
    </row>
    <row r="58" spans="1:17" s="54" customFormat="1" ht="18" customHeight="1">
      <c r="A58" s="998"/>
      <c r="B58" s="881"/>
      <c r="C58" s="931"/>
      <c r="D58" s="550" t="s">
        <v>496</v>
      </c>
      <c r="E58" s="551" t="s">
        <v>497</v>
      </c>
      <c r="F58" s="551" t="s">
        <v>720</v>
      </c>
      <c r="G58" s="533" t="s">
        <v>721</v>
      </c>
      <c r="H58" s="408" t="s">
        <v>322</v>
      </c>
      <c r="I58" s="331" t="s">
        <v>348</v>
      </c>
      <c r="J58" s="970">
        <v>283</v>
      </c>
      <c r="K58" s="972">
        <f>51/1000</f>
        <v>0.051</v>
      </c>
      <c r="L58" s="974" t="s">
        <v>323</v>
      </c>
      <c r="M58" s="968" t="s">
        <v>1</v>
      </c>
      <c r="N58" s="963">
        <v>283</v>
      </c>
      <c r="O58" s="965">
        <v>67</v>
      </c>
      <c r="P58" s="959">
        <v>150</v>
      </c>
      <c r="Q58" s="961" t="s">
        <v>1</v>
      </c>
    </row>
    <row r="59" spans="1:17" s="54" customFormat="1" ht="18" customHeight="1">
      <c r="A59" s="998"/>
      <c r="B59" s="881"/>
      <c r="C59" s="931"/>
      <c r="D59" s="550" t="s">
        <v>496</v>
      </c>
      <c r="E59" s="551" t="s">
        <v>497</v>
      </c>
      <c r="F59" s="552" t="s">
        <v>720</v>
      </c>
      <c r="G59" s="533" t="s">
        <v>721</v>
      </c>
      <c r="H59" s="408" t="s">
        <v>381</v>
      </c>
      <c r="I59" s="325" t="s">
        <v>722</v>
      </c>
      <c r="J59" s="971"/>
      <c r="K59" s="973"/>
      <c r="L59" s="975"/>
      <c r="M59" s="964"/>
      <c r="N59" s="976"/>
      <c r="O59" s="977"/>
      <c r="P59" s="960"/>
      <c r="Q59" s="962"/>
    </row>
    <row r="60" spans="1:17" s="54" customFormat="1" ht="18" customHeight="1">
      <c r="A60" s="998"/>
      <c r="B60" s="881"/>
      <c r="C60" s="931"/>
      <c r="D60" s="550" t="s">
        <v>496</v>
      </c>
      <c r="E60" s="551" t="s">
        <v>497</v>
      </c>
      <c r="F60" s="534" t="s">
        <v>723</v>
      </c>
      <c r="G60" s="558" t="s">
        <v>723</v>
      </c>
      <c r="H60" s="408" t="s">
        <v>724</v>
      </c>
      <c r="I60" s="365" t="s">
        <v>353</v>
      </c>
      <c r="J60" s="970">
        <v>59</v>
      </c>
      <c r="K60" s="972">
        <f>23.9/1000</f>
        <v>0.023899999999999998</v>
      </c>
      <c r="L60" s="974" t="s">
        <v>323</v>
      </c>
      <c r="M60" s="968" t="s">
        <v>1</v>
      </c>
      <c r="N60" s="963">
        <v>59</v>
      </c>
      <c r="O60" s="965">
        <v>18</v>
      </c>
      <c r="P60" s="959">
        <v>40</v>
      </c>
      <c r="Q60" s="961" t="s">
        <v>1</v>
      </c>
    </row>
    <row r="61" spans="1:17" s="54" customFormat="1" ht="18" customHeight="1">
      <c r="A61" s="998"/>
      <c r="B61" s="881"/>
      <c r="C61" s="931"/>
      <c r="D61" s="550" t="s">
        <v>496</v>
      </c>
      <c r="E61" s="551" t="s">
        <v>497</v>
      </c>
      <c r="F61" s="534" t="s">
        <v>723</v>
      </c>
      <c r="G61" s="559" t="s">
        <v>723</v>
      </c>
      <c r="H61" s="408" t="s">
        <v>351</v>
      </c>
      <c r="I61" s="368" t="s">
        <v>352</v>
      </c>
      <c r="J61" s="971"/>
      <c r="K61" s="973"/>
      <c r="L61" s="975"/>
      <c r="M61" s="964"/>
      <c r="N61" s="976"/>
      <c r="O61" s="977"/>
      <c r="P61" s="960"/>
      <c r="Q61" s="962"/>
    </row>
    <row r="62" spans="1:17" s="54" customFormat="1" ht="18" customHeight="1">
      <c r="A62" s="998"/>
      <c r="B62" s="881"/>
      <c r="C62" s="931"/>
      <c r="D62" s="550" t="s">
        <v>496</v>
      </c>
      <c r="E62" s="551" t="s">
        <v>497</v>
      </c>
      <c r="F62" s="552" t="s">
        <v>729</v>
      </c>
      <c r="G62" s="533" t="s">
        <v>730</v>
      </c>
      <c r="H62" s="408" t="s">
        <v>329</v>
      </c>
      <c r="I62" s="331" t="s">
        <v>731</v>
      </c>
      <c r="J62" s="970">
        <v>231</v>
      </c>
      <c r="K62" s="980">
        <f>59.2/1000</f>
        <v>0.0592</v>
      </c>
      <c r="L62" s="974" t="s">
        <v>406</v>
      </c>
      <c r="M62" s="968" t="s">
        <v>1</v>
      </c>
      <c r="N62" s="963">
        <f>SUM(O62,P62)</f>
        <v>21.2</v>
      </c>
      <c r="O62" s="995">
        <v>7.2</v>
      </c>
      <c r="P62" s="959">
        <v>14</v>
      </c>
      <c r="Q62" s="968" t="s">
        <v>1</v>
      </c>
    </row>
    <row r="63" spans="1:17" s="54" customFormat="1" ht="18" customHeight="1">
      <c r="A63" s="998"/>
      <c r="B63" s="881"/>
      <c r="C63" s="931"/>
      <c r="D63" s="550" t="s">
        <v>496</v>
      </c>
      <c r="E63" s="551" t="s">
        <v>497</v>
      </c>
      <c r="F63" s="552" t="s">
        <v>729</v>
      </c>
      <c r="G63" s="533" t="s">
        <v>732</v>
      </c>
      <c r="H63" s="408" t="s">
        <v>328</v>
      </c>
      <c r="I63" s="325" t="s">
        <v>733</v>
      </c>
      <c r="J63" s="983"/>
      <c r="K63" s="984"/>
      <c r="L63" s="986"/>
      <c r="M63" s="854"/>
      <c r="N63" s="987"/>
      <c r="O63" s="996"/>
      <c r="P63" s="990"/>
      <c r="Q63" s="854"/>
    </row>
    <row r="64" spans="1:17" s="54" customFormat="1" ht="18" customHeight="1">
      <c r="A64" s="998"/>
      <c r="B64" s="881"/>
      <c r="C64" s="931"/>
      <c r="D64" s="550" t="s">
        <v>496</v>
      </c>
      <c r="E64" s="551" t="s">
        <v>497</v>
      </c>
      <c r="F64" s="552" t="s">
        <v>729</v>
      </c>
      <c r="G64" s="533" t="s">
        <v>734</v>
      </c>
      <c r="H64" s="408" t="s">
        <v>324</v>
      </c>
      <c r="I64" s="325" t="s">
        <v>736</v>
      </c>
      <c r="J64" s="983"/>
      <c r="K64" s="984"/>
      <c r="L64" s="986"/>
      <c r="M64" s="854"/>
      <c r="N64" s="987"/>
      <c r="O64" s="996"/>
      <c r="P64" s="990"/>
      <c r="Q64" s="854"/>
    </row>
    <row r="65" spans="1:17" s="54" customFormat="1" ht="18" customHeight="1">
      <c r="A65" s="998"/>
      <c r="B65" s="881"/>
      <c r="C65" s="931"/>
      <c r="D65" s="550" t="s">
        <v>496</v>
      </c>
      <c r="E65" s="551" t="s">
        <v>497</v>
      </c>
      <c r="F65" s="552" t="s">
        <v>729</v>
      </c>
      <c r="G65" s="533" t="s">
        <v>734</v>
      </c>
      <c r="H65" s="408" t="s">
        <v>398</v>
      </c>
      <c r="I65" s="325" t="s">
        <v>737</v>
      </c>
      <c r="J65" s="983"/>
      <c r="K65" s="984"/>
      <c r="L65" s="986"/>
      <c r="M65" s="854"/>
      <c r="N65" s="988"/>
      <c r="O65" s="996"/>
      <c r="P65" s="990"/>
      <c r="Q65" s="988"/>
    </row>
    <row r="66" spans="1:17" s="54" customFormat="1" ht="18" customHeight="1">
      <c r="A66" s="998"/>
      <c r="B66" s="881"/>
      <c r="C66" s="931"/>
      <c r="D66" s="550" t="s">
        <v>496</v>
      </c>
      <c r="E66" s="551" t="s">
        <v>497</v>
      </c>
      <c r="F66" s="552" t="s">
        <v>729</v>
      </c>
      <c r="G66" s="533" t="s">
        <v>734</v>
      </c>
      <c r="H66" s="408" t="s">
        <v>772</v>
      </c>
      <c r="I66" s="325" t="s">
        <v>407</v>
      </c>
      <c r="J66" s="983"/>
      <c r="K66" s="984"/>
      <c r="L66" s="986"/>
      <c r="M66" s="854"/>
      <c r="N66" s="988"/>
      <c r="O66" s="996"/>
      <c r="P66" s="990"/>
      <c r="Q66" s="988"/>
    </row>
    <row r="67" spans="1:17" s="54" customFormat="1" ht="18" customHeight="1">
      <c r="A67" s="998"/>
      <c r="B67" s="881"/>
      <c r="C67" s="931"/>
      <c r="D67" s="550" t="s">
        <v>496</v>
      </c>
      <c r="E67" s="551" t="s">
        <v>497</v>
      </c>
      <c r="F67" s="552" t="s">
        <v>729</v>
      </c>
      <c r="G67" s="533" t="s">
        <v>734</v>
      </c>
      <c r="H67" s="408" t="s">
        <v>325</v>
      </c>
      <c r="I67" s="325" t="s">
        <v>739</v>
      </c>
      <c r="J67" s="983"/>
      <c r="K67" s="984"/>
      <c r="L67" s="986"/>
      <c r="M67" s="854"/>
      <c r="N67" s="988"/>
      <c r="O67" s="996"/>
      <c r="P67" s="990"/>
      <c r="Q67" s="988"/>
    </row>
    <row r="68" spans="1:17" s="54" customFormat="1" ht="18" customHeight="1">
      <c r="A68" s="998"/>
      <c r="B68" s="881"/>
      <c r="C68" s="931"/>
      <c r="D68" s="550" t="s">
        <v>496</v>
      </c>
      <c r="E68" s="551" t="s">
        <v>497</v>
      </c>
      <c r="F68" s="552" t="s">
        <v>729</v>
      </c>
      <c r="G68" s="533" t="s">
        <v>734</v>
      </c>
      <c r="H68" s="408" t="s">
        <v>326</v>
      </c>
      <c r="I68" s="325" t="s">
        <v>740</v>
      </c>
      <c r="J68" s="983"/>
      <c r="K68" s="984"/>
      <c r="L68" s="986"/>
      <c r="M68" s="854"/>
      <c r="N68" s="988"/>
      <c r="O68" s="996"/>
      <c r="P68" s="990"/>
      <c r="Q68" s="988"/>
    </row>
    <row r="69" spans="1:17" s="54" customFormat="1" ht="18" customHeight="1">
      <c r="A69" s="998"/>
      <c r="B69" s="881"/>
      <c r="C69" s="931"/>
      <c r="D69" s="550" t="s">
        <v>496</v>
      </c>
      <c r="E69" s="551" t="s">
        <v>497</v>
      </c>
      <c r="F69" s="552" t="s">
        <v>729</v>
      </c>
      <c r="G69" s="533" t="s">
        <v>734</v>
      </c>
      <c r="H69" s="408" t="s">
        <v>327</v>
      </c>
      <c r="I69" s="331" t="s">
        <v>741</v>
      </c>
      <c r="J69" s="983"/>
      <c r="K69" s="984"/>
      <c r="L69" s="986"/>
      <c r="M69" s="854"/>
      <c r="N69" s="988"/>
      <c r="O69" s="996"/>
      <c r="P69" s="990"/>
      <c r="Q69" s="988"/>
    </row>
    <row r="70" spans="1:17" s="54" customFormat="1" ht="18" customHeight="1">
      <c r="A70" s="998"/>
      <c r="B70" s="881"/>
      <c r="C70" s="931"/>
      <c r="D70" s="550" t="s">
        <v>496</v>
      </c>
      <c r="E70" s="551" t="s">
        <v>497</v>
      </c>
      <c r="F70" s="552" t="s">
        <v>729</v>
      </c>
      <c r="G70" s="533" t="s">
        <v>734</v>
      </c>
      <c r="H70" s="408" t="s">
        <v>408</v>
      </c>
      <c r="I70" s="325" t="s">
        <v>742</v>
      </c>
      <c r="J70" s="983"/>
      <c r="K70" s="984"/>
      <c r="L70" s="986"/>
      <c r="M70" s="854"/>
      <c r="N70" s="988"/>
      <c r="O70" s="996"/>
      <c r="P70" s="990"/>
      <c r="Q70" s="988"/>
    </row>
    <row r="71" spans="1:17" s="54" customFormat="1" ht="18" customHeight="1">
      <c r="A71" s="998"/>
      <c r="B71" s="881"/>
      <c r="C71" s="931"/>
      <c r="D71" s="700" t="s">
        <v>496</v>
      </c>
      <c r="E71" s="562" t="s">
        <v>503</v>
      </c>
      <c r="F71" s="746" t="s">
        <v>504</v>
      </c>
      <c r="G71" s="449" t="s">
        <v>747</v>
      </c>
      <c r="H71" s="369" t="s">
        <v>355</v>
      </c>
      <c r="I71" s="370" t="s">
        <v>356</v>
      </c>
      <c r="J71" s="371">
        <v>8</v>
      </c>
      <c r="K71" s="433">
        <f>114.6/1000</f>
        <v>0.1146</v>
      </c>
      <c r="L71" s="373" t="s">
        <v>418</v>
      </c>
      <c r="M71" s="24" t="s">
        <v>1</v>
      </c>
      <c r="N71" s="410">
        <f aca="true" t="shared" si="2" ref="N71:N79">SUM(O71,P71)</f>
        <v>29</v>
      </c>
      <c r="O71" s="635">
        <v>9</v>
      </c>
      <c r="P71" s="630">
        <v>20</v>
      </c>
      <c r="Q71" s="24" t="s">
        <v>1</v>
      </c>
    </row>
    <row r="72" spans="1:17" s="54" customFormat="1" ht="18" customHeight="1">
      <c r="A72" s="998"/>
      <c r="B72" s="881"/>
      <c r="C72" s="931"/>
      <c r="D72" s="700" t="s">
        <v>496</v>
      </c>
      <c r="E72" s="562" t="s">
        <v>503</v>
      </c>
      <c r="F72" s="746" t="s">
        <v>504</v>
      </c>
      <c r="G72" s="750" t="s">
        <v>570</v>
      </c>
      <c r="H72" s="441" t="s">
        <v>773</v>
      </c>
      <c r="I72" s="449" t="s">
        <v>570</v>
      </c>
      <c r="J72" s="371">
        <v>7</v>
      </c>
      <c r="K72" s="335">
        <f>223/1000</f>
        <v>0.223</v>
      </c>
      <c r="L72" s="373" t="s">
        <v>418</v>
      </c>
      <c r="M72" s="24" t="s">
        <v>1</v>
      </c>
      <c r="N72" s="410">
        <f t="shared" si="2"/>
        <v>55</v>
      </c>
      <c r="O72" s="636">
        <v>16</v>
      </c>
      <c r="P72" s="631">
        <v>39</v>
      </c>
      <c r="Q72" s="24" t="s">
        <v>1</v>
      </c>
    </row>
    <row r="73" spans="1:17" s="54" customFormat="1" ht="18" customHeight="1">
      <c r="A73" s="998"/>
      <c r="B73" s="881"/>
      <c r="C73" s="931"/>
      <c r="D73" s="553" t="s">
        <v>496</v>
      </c>
      <c r="E73" s="781" t="s">
        <v>503</v>
      </c>
      <c r="F73" s="782" t="s">
        <v>504</v>
      </c>
      <c r="G73" s="806" t="s">
        <v>746</v>
      </c>
      <c r="H73" s="387" t="s">
        <v>385</v>
      </c>
      <c r="I73" s="387" t="s">
        <v>386</v>
      </c>
      <c r="J73" s="371">
        <v>233</v>
      </c>
      <c r="K73" s="374">
        <f>48.6/1000</f>
        <v>0.048600000000000004</v>
      </c>
      <c r="L73" s="373" t="s">
        <v>418</v>
      </c>
      <c r="M73" s="24" t="s">
        <v>1</v>
      </c>
      <c r="N73" s="410">
        <f>SUM(O73,P73)</f>
        <v>43</v>
      </c>
      <c r="O73" s="637">
        <v>14</v>
      </c>
      <c r="P73" s="631">
        <v>29</v>
      </c>
      <c r="Q73" s="24" t="s">
        <v>1</v>
      </c>
    </row>
    <row r="74" spans="1:17" s="54" customFormat="1" ht="18" customHeight="1">
      <c r="A74" s="998"/>
      <c r="B74" s="953"/>
      <c r="C74" s="999"/>
      <c r="D74" s="698" t="s">
        <v>499</v>
      </c>
      <c r="E74" s="562" t="s">
        <v>509</v>
      </c>
      <c r="F74" s="752" t="s">
        <v>635</v>
      </c>
      <c r="G74" s="775" t="s">
        <v>635</v>
      </c>
      <c r="H74" s="450" t="s">
        <v>774</v>
      </c>
      <c r="I74" s="387" t="s">
        <v>775</v>
      </c>
      <c r="J74" s="371">
        <v>12</v>
      </c>
      <c r="K74" s="372">
        <f>132.1/1000</f>
        <v>0.1321</v>
      </c>
      <c r="L74" s="373" t="s">
        <v>419</v>
      </c>
      <c r="M74" s="24" t="s">
        <v>1</v>
      </c>
      <c r="N74" s="410">
        <f t="shared" si="2"/>
        <v>45</v>
      </c>
      <c r="O74" s="637">
        <v>15</v>
      </c>
      <c r="P74" s="631">
        <v>30</v>
      </c>
      <c r="Q74" s="24" t="s">
        <v>1</v>
      </c>
    </row>
    <row r="75" spans="1:17" s="54" customFormat="1" ht="18" customHeight="1">
      <c r="A75" s="998"/>
      <c r="B75" s="953"/>
      <c r="C75" s="999"/>
      <c r="D75" s="698" t="s">
        <v>499</v>
      </c>
      <c r="E75" s="562" t="s">
        <v>509</v>
      </c>
      <c r="F75" s="752" t="s">
        <v>635</v>
      </c>
      <c r="G75" s="775" t="s">
        <v>635</v>
      </c>
      <c r="H75" s="386" t="s">
        <v>636</v>
      </c>
      <c r="I75" s="387" t="s">
        <v>637</v>
      </c>
      <c r="J75" s="371">
        <v>3</v>
      </c>
      <c r="K75" s="374">
        <f>78.4/1000</f>
        <v>0.07840000000000001</v>
      </c>
      <c r="L75" s="375" t="s">
        <v>414</v>
      </c>
      <c r="M75" s="377" t="s">
        <v>376</v>
      </c>
      <c r="N75" s="410">
        <f t="shared" si="2"/>
        <v>86</v>
      </c>
      <c r="O75" s="637">
        <v>30</v>
      </c>
      <c r="P75" s="631">
        <v>56</v>
      </c>
      <c r="Q75" s="24" t="s">
        <v>1</v>
      </c>
    </row>
    <row r="76" spans="1:17" s="54" customFormat="1" ht="18" customHeight="1">
      <c r="A76" s="998"/>
      <c r="B76" s="953"/>
      <c r="C76" s="999"/>
      <c r="D76" s="698" t="s">
        <v>499</v>
      </c>
      <c r="E76" s="562" t="s">
        <v>509</v>
      </c>
      <c r="F76" s="754" t="s">
        <v>582</v>
      </c>
      <c r="G76" s="449" t="s">
        <v>583</v>
      </c>
      <c r="H76" s="386" t="s">
        <v>750</v>
      </c>
      <c r="I76" s="387" t="s">
        <v>751</v>
      </c>
      <c r="J76" s="371">
        <v>24</v>
      </c>
      <c r="K76" s="374">
        <f>97.5/1000</f>
        <v>0.0975</v>
      </c>
      <c r="L76" s="373" t="s">
        <v>412</v>
      </c>
      <c r="M76" s="24" t="s">
        <v>1</v>
      </c>
      <c r="N76" s="410">
        <f>SUM(O76,P76)</f>
        <v>141</v>
      </c>
      <c r="O76" s="637">
        <v>42</v>
      </c>
      <c r="P76" s="631">
        <v>99</v>
      </c>
      <c r="Q76" s="24" t="s">
        <v>1</v>
      </c>
    </row>
    <row r="77" spans="1:17" s="54" customFormat="1" ht="18" customHeight="1">
      <c r="A77" s="998"/>
      <c r="B77" s="953"/>
      <c r="C77" s="999"/>
      <c r="D77" s="554" t="s">
        <v>499</v>
      </c>
      <c r="E77" s="783" t="s">
        <v>498</v>
      </c>
      <c r="F77" s="796" t="s">
        <v>501</v>
      </c>
      <c r="G77" s="785" t="s">
        <v>670</v>
      </c>
      <c r="H77" s="452" t="s">
        <v>776</v>
      </c>
      <c r="I77" s="435" t="s">
        <v>777</v>
      </c>
      <c r="J77" s="343">
        <v>20</v>
      </c>
      <c r="K77" s="349">
        <f>31.1/1000</f>
        <v>0.031100000000000003</v>
      </c>
      <c r="L77" s="345" t="s">
        <v>418</v>
      </c>
      <c r="M77" s="347" t="s">
        <v>1</v>
      </c>
      <c r="N77" s="437">
        <f>SUM(O77,P77)</f>
        <v>11.7</v>
      </c>
      <c r="O77" s="638">
        <v>3.3</v>
      </c>
      <c r="P77" s="632">
        <v>8.4</v>
      </c>
      <c r="Q77" s="347" t="s">
        <v>1</v>
      </c>
    </row>
    <row r="78" spans="1:17" s="54" customFormat="1" ht="18" customHeight="1">
      <c r="A78" s="998"/>
      <c r="B78" s="953"/>
      <c r="C78" s="999"/>
      <c r="D78" s="554" t="s">
        <v>499</v>
      </c>
      <c r="E78" s="783" t="s">
        <v>498</v>
      </c>
      <c r="F78" s="796" t="s">
        <v>501</v>
      </c>
      <c r="G78" s="814" t="s">
        <v>778</v>
      </c>
      <c r="H78" s="451" t="s">
        <v>779</v>
      </c>
      <c r="I78" s="435" t="s">
        <v>780</v>
      </c>
      <c r="J78" s="343">
        <v>42</v>
      </c>
      <c r="K78" s="349">
        <f>20.7/1000</f>
        <v>0.0207</v>
      </c>
      <c r="L78" s="345" t="s">
        <v>418</v>
      </c>
      <c r="M78" s="347" t="s">
        <v>1</v>
      </c>
      <c r="N78" s="437">
        <f t="shared" si="2"/>
        <v>15.5</v>
      </c>
      <c r="O78" s="638">
        <v>4.5</v>
      </c>
      <c r="P78" s="633">
        <v>11</v>
      </c>
      <c r="Q78" s="347" t="s">
        <v>1</v>
      </c>
    </row>
    <row r="79" spans="1:17" s="54" customFormat="1" ht="18" customHeight="1">
      <c r="A79" s="998"/>
      <c r="B79" s="954"/>
      <c r="C79" s="954"/>
      <c r="D79" s="693" t="s">
        <v>547</v>
      </c>
      <c r="E79" s="809" t="s">
        <v>35</v>
      </c>
      <c r="F79" s="809" t="s">
        <v>35</v>
      </c>
      <c r="G79" s="811" t="s">
        <v>35</v>
      </c>
      <c r="H79" s="354" t="s">
        <v>35</v>
      </c>
      <c r="I79" s="411" t="s">
        <v>346</v>
      </c>
      <c r="J79" s="352" t="s">
        <v>35</v>
      </c>
      <c r="K79" s="353">
        <f>910.2/1000</f>
        <v>0.9102</v>
      </c>
      <c r="L79" s="354" t="s">
        <v>35</v>
      </c>
      <c r="M79" s="356" t="s">
        <v>35</v>
      </c>
      <c r="N79" s="412">
        <f t="shared" si="2"/>
        <v>205</v>
      </c>
      <c r="O79" s="639">
        <v>65</v>
      </c>
      <c r="P79" s="634">
        <v>140</v>
      </c>
      <c r="Q79" s="356" t="s">
        <v>1</v>
      </c>
    </row>
    <row r="80" spans="1:17" s="420" customFormat="1" ht="18" customHeight="1">
      <c r="A80" s="413"/>
      <c r="B80" s="414"/>
      <c r="C80" s="312"/>
      <c r="D80" s="703"/>
      <c r="E80" s="415"/>
      <c r="F80" s="415"/>
      <c r="G80" s="415"/>
      <c r="H80" s="416"/>
      <c r="I80" s="313"/>
      <c r="J80" s="417"/>
      <c r="K80" s="418"/>
      <c r="L80" s="416"/>
      <c r="M80" s="48"/>
      <c r="N80" s="419"/>
      <c r="O80" s="113"/>
      <c r="P80" s="113"/>
      <c r="Q80" s="48"/>
    </row>
    <row r="81" spans="1:17" s="54" customFormat="1" ht="18" customHeight="1">
      <c r="A81" s="903" t="s">
        <v>3</v>
      </c>
      <c r="B81" s="904"/>
      <c r="C81" s="883" t="s">
        <v>313</v>
      </c>
      <c r="D81" s="908" t="s">
        <v>488</v>
      </c>
      <c r="E81" s="910" t="s">
        <v>489</v>
      </c>
      <c r="F81" s="912" t="s">
        <v>490</v>
      </c>
      <c r="G81" s="914" t="s">
        <v>491</v>
      </c>
      <c r="H81" s="852" t="s">
        <v>492</v>
      </c>
      <c r="I81" s="852" t="s">
        <v>493</v>
      </c>
      <c r="J81" s="894" t="s">
        <v>314</v>
      </c>
      <c r="K81" s="896" t="s">
        <v>315</v>
      </c>
      <c r="L81" s="898" t="s">
        <v>494</v>
      </c>
      <c r="M81" s="899"/>
      <c r="N81" s="900" t="s">
        <v>317</v>
      </c>
      <c r="O81" s="901"/>
      <c r="P81" s="902"/>
      <c r="Q81" s="876" t="s">
        <v>495</v>
      </c>
    </row>
    <row r="82" spans="1:20" s="54" customFormat="1" ht="18" customHeight="1">
      <c r="A82" s="905"/>
      <c r="B82" s="906"/>
      <c r="C82" s="907"/>
      <c r="D82" s="909"/>
      <c r="E82" s="911"/>
      <c r="F82" s="913"/>
      <c r="G82" s="915"/>
      <c r="H82" s="893"/>
      <c r="I82" s="893"/>
      <c r="J82" s="895"/>
      <c r="K82" s="897"/>
      <c r="L82" s="530" t="s">
        <v>316</v>
      </c>
      <c r="M82" s="529" t="s">
        <v>318</v>
      </c>
      <c r="N82" s="531" t="s">
        <v>319</v>
      </c>
      <c r="O82" s="618" t="s">
        <v>20</v>
      </c>
      <c r="P82" s="605" t="s">
        <v>21</v>
      </c>
      <c r="Q82" s="877"/>
      <c r="S82" s="532"/>
      <c r="T82" s="532"/>
    </row>
    <row r="83" spans="1:20" s="54" customFormat="1" ht="18" customHeight="1">
      <c r="A83" s="878" t="s">
        <v>393</v>
      </c>
      <c r="B83" s="876" t="s">
        <v>530</v>
      </c>
      <c r="C83" s="883">
        <v>41471</v>
      </c>
      <c r="D83" s="701" t="s">
        <v>499</v>
      </c>
      <c r="E83" s="741" t="s">
        <v>500</v>
      </c>
      <c r="F83" s="754" t="s">
        <v>676</v>
      </c>
      <c r="G83" s="747" t="s">
        <v>676</v>
      </c>
      <c r="H83" s="386" t="s">
        <v>366</v>
      </c>
      <c r="I83" s="387" t="s">
        <v>402</v>
      </c>
      <c r="J83" s="371">
        <v>42</v>
      </c>
      <c r="K83" s="388">
        <f>1475.2/1000</f>
        <v>1.4752</v>
      </c>
      <c r="L83" s="373" t="s">
        <v>363</v>
      </c>
      <c r="M83" s="24" t="s">
        <v>1</v>
      </c>
      <c r="N83" s="337">
        <f>SUM(O83,P83)</f>
        <v>5.9</v>
      </c>
      <c r="O83" s="647">
        <v>1.4</v>
      </c>
      <c r="P83" s="641">
        <v>4.5</v>
      </c>
      <c r="Q83" s="580" t="s">
        <v>1</v>
      </c>
      <c r="S83" s="532"/>
      <c r="T83" s="532"/>
    </row>
    <row r="84" spans="1:20" s="54" customFormat="1" ht="18" customHeight="1">
      <c r="A84" s="929"/>
      <c r="B84" s="881"/>
      <c r="C84" s="931"/>
      <c r="D84" s="701" t="s">
        <v>499</v>
      </c>
      <c r="E84" s="741" t="s">
        <v>500</v>
      </c>
      <c r="F84" s="742" t="s">
        <v>676</v>
      </c>
      <c r="G84" s="745" t="s">
        <v>676</v>
      </c>
      <c r="H84" s="386" t="s">
        <v>366</v>
      </c>
      <c r="I84" s="387" t="s">
        <v>403</v>
      </c>
      <c r="J84" s="371">
        <v>106</v>
      </c>
      <c r="K84" s="388">
        <f>1132.1/1000</f>
        <v>1.1320999999999999</v>
      </c>
      <c r="L84" s="373" t="s">
        <v>363</v>
      </c>
      <c r="M84" s="24" t="s">
        <v>1</v>
      </c>
      <c r="N84" s="337">
        <f>SUM(O84,P84)</f>
        <v>77</v>
      </c>
      <c r="O84" s="614">
        <v>26</v>
      </c>
      <c r="P84" s="609">
        <v>51</v>
      </c>
      <c r="Q84" s="580" t="s">
        <v>1</v>
      </c>
      <c r="S84" s="532"/>
      <c r="T84" s="532"/>
    </row>
    <row r="85" spans="1:20" s="54" customFormat="1" ht="18" customHeight="1">
      <c r="A85" s="929"/>
      <c r="B85" s="881"/>
      <c r="C85" s="931"/>
      <c r="D85" s="698" t="s">
        <v>499</v>
      </c>
      <c r="E85" s="562" t="s">
        <v>500</v>
      </c>
      <c r="F85" s="754" t="s">
        <v>635</v>
      </c>
      <c r="G85" s="747" t="s">
        <v>635</v>
      </c>
      <c r="H85" s="441" t="s">
        <v>400</v>
      </c>
      <c r="I85" s="387" t="s">
        <v>635</v>
      </c>
      <c r="J85" s="371">
        <v>1</v>
      </c>
      <c r="K85" s="388">
        <f>1050/1000</f>
        <v>1.05</v>
      </c>
      <c r="L85" s="375" t="s">
        <v>401</v>
      </c>
      <c r="M85" s="24" t="s">
        <v>1</v>
      </c>
      <c r="N85" s="337">
        <f aca="true" t="shared" si="3" ref="N85:N92">SUM(O85,P85)</f>
        <v>30.3</v>
      </c>
      <c r="O85" s="647">
        <v>9.3</v>
      </c>
      <c r="P85" s="609">
        <v>21</v>
      </c>
      <c r="Q85" s="580" t="s">
        <v>1</v>
      </c>
      <c r="S85" s="532"/>
      <c r="T85" s="532"/>
    </row>
    <row r="86" spans="1:20" s="54" customFormat="1" ht="18" customHeight="1">
      <c r="A86" s="929"/>
      <c r="B86" s="881"/>
      <c r="C86" s="931"/>
      <c r="D86" s="712" t="s">
        <v>499</v>
      </c>
      <c r="E86" s="761" t="s">
        <v>500</v>
      </c>
      <c r="F86" s="787" t="s">
        <v>635</v>
      </c>
      <c r="G86" s="750" t="s">
        <v>635</v>
      </c>
      <c r="H86" s="520" t="s">
        <v>762</v>
      </c>
      <c r="I86" s="480" t="s">
        <v>763</v>
      </c>
      <c r="J86" s="507">
        <v>3</v>
      </c>
      <c r="K86" s="722">
        <f>52.7/1000</f>
        <v>0.052700000000000004</v>
      </c>
      <c r="L86" s="573" t="s">
        <v>375</v>
      </c>
      <c r="M86" s="20" t="s">
        <v>1</v>
      </c>
      <c r="N86" s="723">
        <f>SUM(O86,P86)</f>
        <v>29.6</v>
      </c>
      <c r="O86" s="724">
        <v>9.6</v>
      </c>
      <c r="P86" s="725">
        <v>20</v>
      </c>
      <c r="Q86" s="726" t="s">
        <v>1</v>
      </c>
      <c r="S86" s="532"/>
      <c r="T86" s="532"/>
    </row>
    <row r="87" spans="1:20" s="54" customFormat="1" ht="18" customHeight="1">
      <c r="A87" s="929"/>
      <c r="B87" s="881"/>
      <c r="C87" s="931"/>
      <c r="D87" s="701" t="s">
        <v>499</v>
      </c>
      <c r="E87" s="741" t="s">
        <v>500</v>
      </c>
      <c r="F87" s="754" t="s">
        <v>635</v>
      </c>
      <c r="G87" s="747" t="s">
        <v>635</v>
      </c>
      <c r="H87" s="386" t="s">
        <v>337</v>
      </c>
      <c r="I87" s="387" t="s">
        <v>764</v>
      </c>
      <c r="J87" s="371">
        <v>1</v>
      </c>
      <c r="K87" s="434">
        <f>26.3/1000</f>
        <v>0.0263</v>
      </c>
      <c r="L87" s="373" t="s">
        <v>375</v>
      </c>
      <c r="M87" s="24" t="s">
        <v>1</v>
      </c>
      <c r="N87" s="337">
        <f>SUM(O87,P87)</f>
        <v>37</v>
      </c>
      <c r="O87" s="614">
        <v>13</v>
      </c>
      <c r="P87" s="609">
        <v>24</v>
      </c>
      <c r="Q87" s="580" t="s">
        <v>1</v>
      </c>
      <c r="S87" s="532"/>
      <c r="T87" s="532"/>
    </row>
    <row r="88" spans="1:20" s="54" customFormat="1" ht="18" customHeight="1">
      <c r="A88" s="929"/>
      <c r="B88" s="882"/>
      <c r="C88" s="907"/>
      <c r="D88" s="704" t="s">
        <v>340</v>
      </c>
      <c r="E88" s="783" t="s">
        <v>498</v>
      </c>
      <c r="F88" s="796" t="s">
        <v>501</v>
      </c>
      <c r="G88" s="812" t="s">
        <v>670</v>
      </c>
      <c r="H88" s="561" t="s">
        <v>765</v>
      </c>
      <c r="I88" s="442" t="s">
        <v>766</v>
      </c>
      <c r="J88" s="443">
        <v>5</v>
      </c>
      <c r="K88" s="444">
        <f>71.5/1000</f>
        <v>0.0715</v>
      </c>
      <c r="L88" s="445" t="s">
        <v>342</v>
      </c>
      <c r="M88" s="447" t="s">
        <v>1</v>
      </c>
      <c r="N88" s="446">
        <f t="shared" si="3"/>
        <v>420</v>
      </c>
      <c r="O88" s="648">
        <v>140</v>
      </c>
      <c r="P88" s="642">
        <v>280</v>
      </c>
      <c r="Q88" s="447" t="s">
        <v>1</v>
      </c>
      <c r="S88" s="532"/>
      <c r="T88" s="532"/>
    </row>
    <row r="89" spans="1:17" s="54" customFormat="1" ht="18" customHeight="1">
      <c r="A89" s="929"/>
      <c r="B89" s="876" t="s">
        <v>548</v>
      </c>
      <c r="C89" s="883">
        <v>41468</v>
      </c>
      <c r="D89" s="543" t="s">
        <v>320</v>
      </c>
      <c r="E89" s="789" t="s">
        <v>35</v>
      </c>
      <c r="F89" s="730" t="s">
        <v>35</v>
      </c>
      <c r="G89" s="779" t="s">
        <v>35</v>
      </c>
      <c r="H89" s="317" t="s">
        <v>35</v>
      </c>
      <c r="I89" s="357" t="s">
        <v>321</v>
      </c>
      <c r="J89" s="319" t="s">
        <v>1</v>
      </c>
      <c r="K89" s="320">
        <f>95.34/1000</f>
        <v>0.09534000000000001</v>
      </c>
      <c r="L89" s="319" t="s">
        <v>1</v>
      </c>
      <c r="M89" s="323" t="s">
        <v>1</v>
      </c>
      <c r="N89" s="405">
        <f t="shared" si="3"/>
        <v>1610</v>
      </c>
      <c r="O89" s="640">
        <v>510</v>
      </c>
      <c r="P89" s="607">
        <v>1100</v>
      </c>
      <c r="Q89" s="323" t="s">
        <v>1</v>
      </c>
    </row>
    <row r="90" spans="1:17" s="54" customFormat="1" ht="18" customHeight="1">
      <c r="A90" s="929"/>
      <c r="B90" s="881"/>
      <c r="C90" s="931"/>
      <c r="D90" s="710" t="s">
        <v>511</v>
      </c>
      <c r="E90" s="791" t="s">
        <v>512</v>
      </c>
      <c r="F90" s="737" t="s">
        <v>715</v>
      </c>
      <c r="G90" s="802" t="s">
        <v>715</v>
      </c>
      <c r="H90" s="429" t="s">
        <v>716</v>
      </c>
      <c r="I90" s="430" t="s">
        <v>394</v>
      </c>
      <c r="J90" s="360" t="s">
        <v>1</v>
      </c>
      <c r="K90" s="406">
        <f>387.3/1000</f>
        <v>0.38730000000000003</v>
      </c>
      <c r="L90" s="431" t="s">
        <v>1</v>
      </c>
      <c r="M90" s="364" t="s">
        <v>1</v>
      </c>
      <c r="N90" s="432">
        <f t="shared" si="3"/>
        <v>13.5</v>
      </c>
      <c r="O90" s="649">
        <v>4.4</v>
      </c>
      <c r="P90" s="643">
        <v>9.1</v>
      </c>
      <c r="Q90" s="364" t="s">
        <v>1</v>
      </c>
    </row>
    <row r="91" spans="1:17" s="54" customFormat="1" ht="18" customHeight="1">
      <c r="A91" s="929"/>
      <c r="B91" s="881"/>
      <c r="C91" s="931"/>
      <c r="D91" s="710" t="s">
        <v>513</v>
      </c>
      <c r="E91" s="736" t="s">
        <v>727</v>
      </c>
      <c r="F91" s="737" t="s">
        <v>727</v>
      </c>
      <c r="G91" s="766" t="s">
        <v>727</v>
      </c>
      <c r="H91" s="429" t="s">
        <v>728</v>
      </c>
      <c r="I91" s="430" t="s">
        <v>395</v>
      </c>
      <c r="J91" s="360" t="s">
        <v>1</v>
      </c>
      <c r="K91" s="406">
        <f>418.5/1000</f>
        <v>0.4185</v>
      </c>
      <c r="L91" s="431" t="s">
        <v>1</v>
      </c>
      <c r="M91" s="364" t="s">
        <v>1</v>
      </c>
      <c r="N91" s="432">
        <f t="shared" si="3"/>
        <v>350</v>
      </c>
      <c r="O91" s="650">
        <v>110</v>
      </c>
      <c r="P91" s="644">
        <v>240</v>
      </c>
      <c r="Q91" s="364" t="s">
        <v>1</v>
      </c>
    </row>
    <row r="92" spans="1:17" s="54" customFormat="1" ht="18" customHeight="1">
      <c r="A92" s="929"/>
      <c r="B92" s="881"/>
      <c r="C92" s="931"/>
      <c r="D92" s="550" t="s">
        <v>496</v>
      </c>
      <c r="E92" s="551" t="s">
        <v>497</v>
      </c>
      <c r="F92" s="551" t="s">
        <v>720</v>
      </c>
      <c r="G92" s="533" t="s">
        <v>721</v>
      </c>
      <c r="H92" s="408" t="s">
        <v>322</v>
      </c>
      <c r="I92" s="331" t="s">
        <v>348</v>
      </c>
      <c r="J92" s="970">
        <v>432</v>
      </c>
      <c r="K92" s="993">
        <f>114.6/1000</f>
        <v>0.1146</v>
      </c>
      <c r="L92" s="974" t="s">
        <v>323</v>
      </c>
      <c r="M92" s="968" t="s">
        <v>1</v>
      </c>
      <c r="N92" s="963">
        <f t="shared" si="3"/>
        <v>222</v>
      </c>
      <c r="O92" s="965">
        <v>72</v>
      </c>
      <c r="P92" s="959">
        <v>150</v>
      </c>
      <c r="Q92" s="961" t="s">
        <v>1</v>
      </c>
    </row>
    <row r="93" spans="1:17" s="54" customFormat="1" ht="18" customHeight="1">
      <c r="A93" s="929"/>
      <c r="B93" s="881"/>
      <c r="C93" s="931"/>
      <c r="D93" s="550" t="s">
        <v>496</v>
      </c>
      <c r="E93" s="551" t="s">
        <v>497</v>
      </c>
      <c r="F93" s="552" t="s">
        <v>720</v>
      </c>
      <c r="G93" s="533" t="s">
        <v>721</v>
      </c>
      <c r="H93" s="408" t="s">
        <v>381</v>
      </c>
      <c r="I93" s="325" t="s">
        <v>722</v>
      </c>
      <c r="J93" s="971"/>
      <c r="K93" s="994"/>
      <c r="L93" s="975"/>
      <c r="M93" s="964"/>
      <c r="N93" s="976"/>
      <c r="O93" s="977"/>
      <c r="P93" s="960"/>
      <c r="Q93" s="962"/>
    </row>
    <row r="94" spans="1:17" s="54" customFormat="1" ht="18" customHeight="1">
      <c r="A94" s="929"/>
      <c r="B94" s="881"/>
      <c r="C94" s="931"/>
      <c r="D94" s="550" t="s">
        <v>496</v>
      </c>
      <c r="E94" s="551" t="s">
        <v>497</v>
      </c>
      <c r="F94" s="534" t="s">
        <v>723</v>
      </c>
      <c r="G94" s="558" t="s">
        <v>723</v>
      </c>
      <c r="H94" s="408" t="s">
        <v>724</v>
      </c>
      <c r="I94" s="365" t="s">
        <v>353</v>
      </c>
      <c r="J94" s="970">
        <v>150</v>
      </c>
      <c r="K94" s="980">
        <f>87.3/1000</f>
        <v>0.0873</v>
      </c>
      <c r="L94" s="974" t="s">
        <v>323</v>
      </c>
      <c r="M94" s="968" t="s">
        <v>1</v>
      </c>
      <c r="N94" s="963">
        <v>150</v>
      </c>
      <c r="O94" s="965">
        <v>15</v>
      </c>
      <c r="P94" s="959">
        <v>29</v>
      </c>
      <c r="Q94" s="961" t="s">
        <v>1</v>
      </c>
    </row>
    <row r="95" spans="1:17" s="54" customFormat="1" ht="18" customHeight="1">
      <c r="A95" s="929"/>
      <c r="B95" s="881"/>
      <c r="C95" s="931"/>
      <c r="D95" s="550" t="s">
        <v>496</v>
      </c>
      <c r="E95" s="551" t="s">
        <v>497</v>
      </c>
      <c r="F95" s="534" t="s">
        <v>723</v>
      </c>
      <c r="G95" s="559" t="s">
        <v>723</v>
      </c>
      <c r="H95" s="408" t="s">
        <v>351</v>
      </c>
      <c r="I95" s="368" t="s">
        <v>352</v>
      </c>
      <c r="J95" s="971"/>
      <c r="K95" s="985"/>
      <c r="L95" s="975"/>
      <c r="M95" s="964"/>
      <c r="N95" s="976"/>
      <c r="O95" s="977"/>
      <c r="P95" s="960"/>
      <c r="Q95" s="962"/>
    </row>
    <row r="96" spans="1:17" s="54" customFormat="1" ht="18" customHeight="1">
      <c r="A96" s="929"/>
      <c r="B96" s="881"/>
      <c r="C96" s="931"/>
      <c r="D96" s="550" t="s">
        <v>496</v>
      </c>
      <c r="E96" s="551" t="s">
        <v>497</v>
      </c>
      <c r="F96" s="552" t="s">
        <v>729</v>
      </c>
      <c r="G96" s="533" t="s">
        <v>730</v>
      </c>
      <c r="H96" s="408" t="s">
        <v>329</v>
      </c>
      <c r="I96" s="331" t="s">
        <v>752</v>
      </c>
      <c r="J96" s="970">
        <v>104</v>
      </c>
      <c r="K96" s="980">
        <f>34.302/1000</f>
        <v>0.034302</v>
      </c>
      <c r="L96" s="974" t="s">
        <v>323</v>
      </c>
      <c r="M96" s="968" t="s">
        <v>1</v>
      </c>
      <c r="N96" s="963">
        <f>SUM(O96,P96)</f>
        <v>59</v>
      </c>
      <c r="O96" s="965">
        <v>20</v>
      </c>
      <c r="P96" s="959">
        <v>39</v>
      </c>
      <c r="Q96" s="961" t="s">
        <v>1</v>
      </c>
    </row>
    <row r="97" spans="1:17" s="54" customFormat="1" ht="18" customHeight="1">
      <c r="A97" s="929"/>
      <c r="B97" s="881"/>
      <c r="C97" s="931"/>
      <c r="D97" s="550" t="s">
        <v>496</v>
      </c>
      <c r="E97" s="551" t="s">
        <v>497</v>
      </c>
      <c r="F97" s="552" t="s">
        <v>729</v>
      </c>
      <c r="G97" s="533" t="s">
        <v>734</v>
      </c>
      <c r="H97" s="408" t="s">
        <v>398</v>
      </c>
      <c r="I97" s="325" t="s">
        <v>767</v>
      </c>
      <c r="J97" s="983"/>
      <c r="K97" s="984"/>
      <c r="L97" s="986"/>
      <c r="M97" s="854"/>
      <c r="N97" s="987"/>
      <c r="O97" s="989"/>
      <c r="P97" s="990"/>
      <c r="Q97" s="992"/>
    </row>
    <row r="98" spans="1:17" s="54" customFormat="1" ht="18" customHeight="1">
      <c r="A98" s="929"/>
      <c r="B98" s="881"/>
      <c r="C98" s="931"/>
      <c r="D98" s="550" t="s">
        <v>496</v>
      </c>
      <c r="E98" s="551" t="s">
        <v>497</v>
      </c>
      <c r="F98" s="552" t="s">
        <v>729</v>
      </c>
      <c r="G98" s="533" t="s">
        <v>734</v>
      </c>
      <c r="H98" s="408" t="s">
        <v>738</v>
      </c>
      <c r="I98" s="325" t="s">
        <v>382</v>
      </c>
      <c r="J98" s="983"/>
      <c r="K98" s="984"/>
      <c r="L98" s="986"/>
      <c r="M98" s="854"/>
      <c r="N98" s="987"/>
      <c r="O98" s="989"/>
      <c r="P98" s="990"/>
      <c r="Q98" s="992"/>
    </row>
    <row r="99" spans="1:17" s="54" customFormat="1" ht="18" customHeight="1">
      <c r="A99" s="929"/>
      <c r="B99" s="881"/>
      <c r="C99" s="931"/>
      <c r="D99" s="550" t="s">
        <v>496</v>
      </c>
      <c r="E99" s="551" t="s">
        <v>497</v>
      </c>
      <c r="F99" s="552" t="s">
        <v>729</v>
      </c>
      <c r="G99" s="533" t="s">
        <v>734</v>
      </c>
      <c r="H99" s="408" t="s">
        <v>325</v>
      </c>
      <c r="I99" s="325" t="s">
        <v>768</v>
      </c>
      <c r="J99" s="983"/>
      <c r="K99" s="984"/>
      <c r="L99" s="986"/>
      <c r="M99" s="854"/>
      <c r="N99" s="987"/>
      <c r="O99" s="989"/>
      <c r="P99" s="990"/>
      <c r="Q99" s="992"/>
    </row>
    <row r="100" spans="1:17" s="54" customFormat="1" ht="18" customHeight="1">
      <c r="A100" s="929"/>
      <c r="B100" s="881"/>
      <c r="C100" s="931"/>
      <c r="D100" s="550" t="s">
        <v>496</v>
      </c>
      <c r="E100" s="551" t="s">
        <v>497</v>
      </c>
      <c r="F100" s="552" t="s">
        <v>729</v>
      </c>
      <c r="G100" s="533" t="s">
        <v>734</v>
      </c>
      <c r="H100" s="408" t="s">
        <v>326</v>
      </c>
      <c r="I100" s="325" t="s">
        <v>755</v>
      </c>
      <c r="J100" s="983"/>
      <c r="K100" s="984"/>
      <c r="L100" s="986"/>
      <c r="M100" s="854"/>
      <c r="N100" s="987"/>
      <c r="O100" s="989"/>
      <c r="P100" s="990"/>
      <c r="Q100" s="992"/>
    </row>
    <row r="101" spans="1:17" s="54" customFormat="1" ht="18" customHeight="1">
      <c r="A101" s="929"/>
      <c r="B101" s="881"/>
      <c r="C101" s="931"/>
      <c r="D101" s="550" t="s">
        <v>496</v>
      </c>
      <c r="E101" s="551" t="s">
        <v>497</v>
      </c>
      <c r="F101" s="552" t="s">
        <v>729</v>
      </c>
      <c r="G101" s="533" t="s">
        <v>734</v>
      </c>
      <c r="H101" s="408" t="s">
        <v>327</v>
      </c>
      <c r="I101" s="331" t="s">
        <v>756</v>
      </c>
      <c r="J101" s="983"/>
      <c r="K101" s="984"/>
      <c r="L101" s="986"/>
      <c r="M101" s="854"/>
      <c r="N101" s="987"/>
      <c r="O101" s="989"/>
      <c r="P101" s="990"/>
      <c r="Q101" s="992"/>
    </row>
    <row r="102" spans="1:17" s="54" customFormat="1" ht="18" customHeight="1">
      <c r="A102" s="929"/>
      <c r="B102" s="881"/>
      <c r="C102" s="931"/>
      <c r="D102" s="550" t="s">
        <v>496</v>
      </c>
      <c r="E102" s="551" t="s">
        <v>497</v>
      </c>
      <c r="F102" s="552" t="s">
        <v>729</v>
      </c>
      <c r="G102" s="533" t="s">
        <v>729</v>
      </c>
      <c r="H102" s="408" t="s">
        <v>745</v>
      </c>
      <c r="I102" s="325" t="s">
        <v>331</v>
      </c>
      <c r="J102" s="983"/>
      <c r="K102" s="984"/>
      <c r="L102" s="986"/>
      <c r="M102" s="854"/>
      <c r="N102" s="987"/>
      <c r="O102" s="989"/>
      <c r="P102" s="990"/>
      <c r="Q102" s="992"/>
    </row>
    <row r="103" spans="1:17" s="54" customFormat="1" ht="18" customHeight="1">
      <c r="A103" s="929"/>
      <c r="B103" s="881"/>
      <c r="C103" s="931"/>
      <c r="D103" s="550" t="s">
        <v>496</v>
      </c>
      <c r="E103" s="551" t="s">
        <v>497</v>
      </c>
      <c r="F103" s="552" t="s">
        <v>729</v>
      </c>
      <c r="G103" s="560" t="s">
        <v>743</v>
      </c>
      <c r="H103" s="408" t="s">
        <v>396</v>
      </c>
      <c r="I103" s="325" t="s">
        <v>769</v>
      </c>
      <c r="J103" s="983"/>
      <c r="K103" s="984"/>
      <c r="L103" s="986"/>
      <c r="M103" s="854"/>
      <c r="N103" s="987"/>
      <c r="O103" s="989"/>
      <c r="P103" s="990"/>
      <c r="Q103" s="992"/>
    </row>
    <row r="104" spans="1:17" s="54" customFormat="1" ht="18" customHeight="1">
      <c r="A104" s="929"/>
      <c r="B104" s="881"/>
      <c r="C104" s="931"/>
      <c r="D104" s="550" t="s">
        <v>496</v>
      </c>
      <c r="E104" s="551" t="s">
        <v>497</v>
      </c>
      <c r="F104" s="552" t="s">
        <v>729</v>
      </c>
      <c r="G104" s="535" t="s">
        <v>743</v>
      </c>
      <c r="H104" s="408" t="s">
        <v>397</v>
      </c>
      <c r="I104" s="325" t="s">
        <v>770</v>
      </c>
      <c r="J104" s="983"/>
      <c r="K104" s="984"/>
      <c r="L104" s="986"/>
      <c r="M104" s="854"/>
      <c r="N104" s="987"/>
      <c r="O104" s="989"/>
      <c r="P104" s="990"/>
      <c r="Q104" s="992"/>
    </row>
    <row r="105" spans="1:17" s="54" customFormat="1" ht="18" customHeight="1">
      <c r="A105" s="929"/>
      <c r="B105" s="881"/>
      <c r="C105" s="931"/>
      <c r="D105" s="700" t="s">
        <v>496</v>
      </c>
      <c r="E105" s="781" t="s">
        <v>503</v>
      </c>
      <c r="F105" s="746" t="s">
        <v>504</v>
      </c>
      <c r="G105" s="449" t="s">
        <v>747</v>
      </c>
      <c r="H105" s="369" t="s">
        <v>355</v>
      </c>
      <c r="I105" s="370" t="s">
        <v>356</v>
      </c>
      <c r="J105" s="371">
        <v>17</v>
      </c>
      <c r="K105" s="433">
        <f>643.2/1000</f>
        <v>0.6432</v>
      </c>
      <c r="L105" s="373" t="s">
        <v>333</v>
      </c>
      <c r="M105" s="24" t="s">
        <v>1</v>
      </c>
      <c r="N105" s="410">
        <f>SUM(O105,P105)</f>
        <v>350</v>
      </c>
      <c r="O105" s="645">
        <v>110</v>
      </c>
      <c r="P105" s="630">
        <v>240</v>
      </c>
      <c r="Q105" s="24" t="s">
        <v>1</v>
      </c>
    </row>
    <row r="106" spans="1:17" s="54" customFormat="1" ht="18" customHeight="1">
      <c r="A106" s="929"/>
      <c r="B106" s="881"/>
      <c r="C106" s="931"/>
      <c r="D106" s="553" t="s">
        <v>496</v>
      </c>
      <c r="E106" s="781" t="s">
        <v>503</v>
      </c>
      <c r="F106" s="782" t="s">
        <v>504</v>
      </c>
      <c r="G106" s="806" t="s">
        <v>746</v>
      </c>
      <c r="H106" s="387" t="s">
        <v>385</v>
      </c>
      <c r="I106" s="387" t="s">
        <v>386</v>
      </c>
      <c r="J106" s="371">
        <v>414</v>
      </c>
      <c r="K106" s="374">
        <f>79.2/1000</f>
        <v>0.0792</v>
      </c>
      <c r="L106" s="373" t="s">
        <v>333</v>
      </c>
      <c r="M106" s="24" t="s">
        <v>1</v>
      </c>
      <c r="N106" s="410">
        <f aca="true" t="shared" si="4" ref="N106:N111">SUM(O106,P106)</f>
        <v>180</v>
      </c>
      <c r="O106" s="637">
        <v>60</v>
      </c>
      <c r="P106" s="631">
        <v>120</v>
      </c>
      <c r="Q106" s="24" t="s">
        <v>1</v>
      </c>
    </row>
    <row r="107" spans="1:17" s="54" customFormat="1" ht="18" customHeight="1">
      <c r="A107" s="929"/>
      <c r="B107" s="881"/>
      <c r="C107" s="931"/>
      <c r="D107" s="553" t="s">
        <v>510</v>
      </c>
      <c r="E107" s="562" t="s">
        <v>507</v>
      </c>
      <c r="F107" s="752" t="s">
        <v>508</v>
      </c>
      <c r="G107" s="775" t="s">
        <v>689</v>
      </c>
      <c r="H107" s="332" t="s">
        <v>690</v>
      </c>
      <c r="I107" s="333" t="s">
        <v>689</v>
      </c>
      <c r="J107" s="371">
        <v>51</v>
      </c>
      <c r="K107" s="434">
        <f>86.7/1000</f>
        <v>0.0867</v>
      </c>
      <c r="L107" s="373" t="s">
        <v>333</v>
      </c>
      <c r="M107" s="24" t="s">
        <v>1</v>
      </c>
      <c r="N107" s="337">
        <f t="shared" si="4"/>
        <v>99</v>
      </c>
      <c r="O107" s="614">
        <v>32</v>
      </c>
      <c r="P107" s="609">
        <v>67</v>
      </c>
      <c r="Q107" s="580" t="s">
        <v>1</v>
      </c>
    </row>
    <row r="108" spans="1:17" s="54" customFormat="1" ht="18" customHeight="1">
      <c r="A108" s="929"/>
      <c r="B108" s="881"/>
      <c r="C108" s="931"/>
      <c r="D108" s="701" t="s">
        <v>499</v>
      </c>
      <c r="E108" s="741" t="s">
        <v>500</v>
      </c>
      <c r="F108" s="754" t="s">
        <v>582</v>
      </c>
      <c r="G108" s="449" t="s">
        <v>583</v>
      </c>
      <c r="H108" s="386" t="s">
        <v>771</v>
      </c>
      <c r="I108" s="387" t="s">
        <v>389</v>
      </c>
      <c r="J108" s="371">
        <v>55</v>
      </c>
      <c r="K108" s="433">
        <f>127.5/1000</f>
        <v>0.1275</v>
      </c>
      <c r="L108" s="373" t="s">
        <v>390</v>
      </c>
      <c r="M108" s="24" t="s">
        <v>1</v>
      </c>
      <c r="N108" s="410">
        <f t="shared" si="4"/>
        <v>254</v>
      </c>
      <c r="O108" s="637">
        <v>84</v>
      </c>
      <c r="P108" s="631">
        <v>170</v>
      </c>
      <c r="Q108" s="24" t="s">
        <v>1</v>
      </c>
    </row>
    <row r="109" spans="1:17" s="54" customFormat="1" ht="18" customHeight="1">
      <c r="A109" s="929"/>
      <c r="B109" s="881"/>
      <c r="C109" s="931"/>
      <c r="D109" s="701" t="s">
        <v>499</v>
      </c>
      <c r="E109" s="741" t="s">
        <v>500</v>
      </c>
      <c r="F109" s="754" t="s">
        <v>639</v>
      </c>
      <c r="G109" s="449" t="s">
        <v>639</v>
      </c>
      <c r="H109" s="369" t="s">
        <v>699</v>
      </c>
      <c r="I109" s="370" t="s">
        <v>399</v>
      </c>
      <c r="J109" s="371">
        <v>1</v>
      </c>
      <c r="K109" s="434">
        <f>13.2/1000</f>
        <v>0.0132</v>
      </c>
      <c r="L109" s="375" t="s">
        <v>363</v>
      </c>
      <c r="M109" s="377" t="s">
        <v>376</v>
      </c>
      <c r="N109" s="410">
        <f t="shared" si="4"/>
        <v>99</v>
      </c>
      <c r="O109" s="637">
        <v>35</v>
      </c>
      <c r="P109" s="631">
        <v>64</v>
      </c>
      <c r="Q109" s="24" t="s">
        <v>1</v>
      </c>
    </row>
    <row r="110" spans="1:17" s="54" customFormat="1" ht="18" customHeight="1">
      <c r="A110" s="929"/>
      <c r="B110" s="881"/>
      <c r="C110" s="931"/>
      <c r="D110" s="554" t="s">
        <v>499</v>
      </c>
      <c r="E110" s="783" t="s">
        <v>498</v>
      </c>
      <c r="F110" s="796" t="s">
        <v>501</v>
      </c>
      <c r="G110" s="813" t="s">
        <v>35</v>
      </c>
      <c r="H110" s="345" t="s">
        <v>35</v>
      </c>
      <c r="I110" s="435" t="s">
        <v>341</v>
      </c>
      <c r="J110" s="343">
        <v>25</v>
      </c>
      <c r="K110" s="436">
        <f>8.7/1000</f>
        <v>0.0087</v>
      </c>
      <c r="L110" s="345" t="s">
        <v>342</v>
      </c>
      <c r="M110" s="347" t="s">
        <v>1</v>
      </c>
      <c r="N110" s="437">
        <f t="shared" si="4"/>
        <v>1100</v>
      </c>
      <c r="O110" s="646">
        <v>370</v>
      </c>
      <c r="P110" s="633">
        <v>730</v>
      </c>
      <c r="Q110" s="347" t="s">
        <v>1</v>
      </c>
    </row>
    <row r="111" spans="1:17" s="54" customFormat="1" ht="18" customHeight="1">
      <c r="A111" s="930"/>
      <c r="B111" s="882"/>
      <c r="C111" s="907"/>
      <c r="D111" s="692" t="s">
        <v>547</v>
      </c>
      <c r="E111" s="809" t="s">
        <v>35</v>
      </c>
      <c r="F111" s="809" t="s">
        <v>35</v>
      </c>
      <c r="G111" s="810" t="s">
        <v>35</v>
      </c>
      <c r="H111" s="350" t="s">
        <v>35</v>
      </c>
      <c r="I111" s="351" t="s">
        <v>346</v>
      </c>
      <c r="J111" s="352" t="s">
        <v>1</v>
      </c>
      <c r="K111" s="439">
        <f>1112/1000</f>
        <v>1.112</v>
      </c>
      <c r="L111" s="354" t="s">
        <v>1</v>
      </c>
      <c r="M111" s="356" t="s">
        <v>1</v>
      </c>
      <c r="N111" s="355">
        <f t="shared" si="4"/>
        <v>670</v>
      </c>
      <c r="O111" s="617">
        <v>220</v>
      </c>
      <c r="P111" s="611">
        <v>450</v>
      </c>
      <c r="Q111" s="582" t="s">
        <v>1</v>
      </c>
    </row>
    <row r="112" spans="1:17" s="420" customFormat="1" ht="18" customHeight="1">
      <c r="A112" s="413"/>
      <c r="B112" s="414"/>
      <c r="C112" s="312"/>
      <c r="D112" s="703"/>
      <c r="E112" s="415"/>
      <c r="F112" s="415"/>
      <c r="G112" s="415"/>
      <c r="H112" s="416"/>
      <c r="I112" s="313"/>
      <c r="J112" s="417"/>
      <c r="K112" s="418"/>
      <c r="L112" s="416"/>
      <c r="M112" s="48"/>
      <c r="N112" s="419"/>
      <c r="O112" s="113"/>
      <c r="P112" s="113"/>
      <c r="Q112" s="48"/>
    </row>
    <row r="113" spans="1:17" s="54" customFormat="1" ht="18" customHeight="1">
      <c r="A113" s="903" t="s">
        <v>3</v>
      </c>
      <c r="B113" s="904"/>
      <c r="C113" s="883" t="s">
        <v>313</v>
      </c>
      <c r="D113" s="908" t="s">
        <v>488</v>
      </c>
      <c r="E113" s="910" t="s">
        <v>489</v>
      </c>
      <c r="F113" s="912" t="s">
        <v>490</v>
      </c>
      <c r="G113" s="914" t="s">
        <v>491</v>
      </c>
      <c r="H113" s="852" t="s">
        <v>492</v>
      </c>
      <c r="I113" s="852" t="s">
        <v>493</v>
      </c>
      <c r="J113" s="894" t="s">
        <v>314</v>
      </c>
      <c r="K113" s="896" t="s">
        <v>315</v>
      </c>
      <c r="L113" s="898" t="s">
        <v>494</v>
      </c>
      <c r="M113" s="899"/>
      <c r="N113" s="900" t="s">
        <v>317</v>
      </c>
      <c r="O113" s="901"/>
      <c r="P113" s="902"/>
      <c r="Q113" s="876" t="s">
        <v>495</v>
      </c>
    </row>
    <row r="114" spans="1:20" s="54" customFormat="1" ht="18" customHeight="1">
      <c r="A114" s="905"/>
      <c r="B114" s="906"/>
      <c r="C114" s="907"/>
      <c r="D114" s="909"/>
      <c r="E114" s="911"/>
      <c r="F114" s="913"/>
      <c r="G114" s="915"/>
      <c r="H114" s="893"/>
      <c r="I114" s="893"/>
      <c r="J114" s="895"/>
      <c r="K114" s="897"/>
      <c r="L114" s="530" t="s">
        <v>316</v>
      </c>
      <c r="M114" s="529" t="s">
        <v>318</v>
      </c>
      <c r="N114" s="531" t="s">
        <v>319</v>
      </c>
      <c r="O114" s="618" t="s">
        <v>20</v>
      </c>
      <c r="P114" s="605" t="s">
        <v>21</v>
      </c>
      <c r="Q114" s="877"/>
      <c r="S114" s="532"/>
      <c r="T114" s="532"/>
    </row>
    <row r="115" spans="1:17" s="54" customFormat="1" ht="18" customHeight="1">
      <c r="A115" s="878" t="s">
        <v>380</v>
      </c>
      <c r="B115" s="991" t="s">
        <v>549</v>
      </c>
      <c r="C115" s="991">
        <v>41473</v>
      </c>
      <c r="D115" s="543" t="s">
        <v>320</v>
      </c>
      <c r="E115" s="789" t="s">
        <v>35</v>
      </c>
      <c r="F115" s="730" t="s">
        <v>35</v>
      </c>
      <c r="G115" s="779" t="s">
        <v>35</v>
      </c>
      <c r="H115" s="317" t="s">
        <v>35</v>
      </c>
      <c r="I115" s="357" t="s">
        <v>321</v>
      </c>
      <c r="J115" s="319" t="s">
        <v>1</v>
      </c>
      <c r="K115" s="320">
        <f>34.64/1000</f>
        <v>0.03464</v>
      </c>
      <c r="L115" s="319" t="s">
        <v>1</v>
      </c>
      <c r="M115" s="323" t="s">
        <v>1</v>
      </c>
      <c r="N115" s="405">
        <f>SUM(O115,P115)</f>
        <v>4000</v>
      </c>
      <c r="O115" s="640">
        <v>1300</v>
      </c>
      <c r="P115" s="607">
        <v>2700</v>
      </c>
      <c r="Q115" s="323" t="s">
        <v>1</v>
      </c>
    </row>
    <row r="116" spans="1:17" s="54" customFormat="1" ht="18" customHeight="1">
      <c r="A116" s="953"/>
      <c r="B116" s="881"/>
      <c r="C116" s="931"/>
      <c r="D116" s="710" t="s">
        <v>511</v>
      </c>
      <c r="E116" s="791" t="s">
        <v>512</v>
      </c>
      <c r="F116" s="737" t="s">
        <v>715</v>
      </c>
      <c r="G116" s="802" t="s">
        <v>715</v>
      </c>
      <c r="H116" s="358" t="s">
        <v>716</v>
      </c>
      <c r="I116" s="359" t="s">
        <v>347</v>
      </c>
      <c r="J116" s="360" t="s">
        <v>1</v>
      </c>
      <c r="K116" s="406">
        <f>147/1000</f>
        <v>0.147</v>
      </c>
      <c r="L116" s="360" t="s">
        <v>1</v>
      </c>
      <c r="M116" s="364" t="s">
        <v>1</v>
      </c>
      <c r="N116" s="407">
        <f>SUM(O116,P116)</f>
        <v>9.3</v>
      </c>
      <c r="O116" s="649">
        <v>3.5</v>
      </c>
      <c r="P116" s="643">
        <v>5.8</v>
      </c>
      <c r="Q116" s="364" t="s">
        <v>1</v>
      </c>
    </row>
    <row r="117" spans="1:17" s="54" customFormat="1" ht="18" customHeight="1">
      <c r="A117" s="953"/>
      <c r="B117" s="881"/>
      <c r="C117" s="931"/>
      <c r="D117" s="550" t="s">
        <v>496</v>
      </c>
      <c r="E117" s="551" t="s">
        <v>497</v>
      </c>
      <c r="F117" s="551" t="s">
        <v>720</v>
      </c>
      <c r="G117" s="533" t="s">
        <v>721</v>
      </c>
      <c r="H117" s="408" t="s">
        <v>322</v>
      </c>
      <c r="I117" s="331" t="s">
        <v>348</v>
      </c>
      <c r="J117" s="970">
        <v>232</v>
      </c>
      <c r="K117" s="980">
        <f>44.8/1000</f>
        <v>0.0448</v>
      </c>
      <c r="L117" s="974" t="s">
        <v>323</v>
      </c>
      <c r="M117" s="968" t="s">
        <v>1</v>
      </c>
      <c r="N117" s="963">
        <f>SUM(O117,P117)</f>
        <v>1500</v>
      </c>
      <c r="O117" s="965">
        <v>500</v>
      </c>
      <c r="P117" s="959">
        <v>1000</v>
      </c>
      <c r="Q117" s="968" t="s">
        <v>1</v>
      </c>
    </row>
    <row r="118" spans="1:17" s="54" customFormat="1" ht="18" customHeight="1">
      <c r="A118" s="953"/>
      <c r="B118" s="881"/>
      <c r="C118" s="931"/>
      <c r="D118" s="550" t="s">
        <v>496</v>
      </c>
      <c r="E118" s="551" t="s">
        <v>497</v>
      </c>
      <c r="F118" s="552" t="s">
        <v>720</v>
      </c>
      <c r="G118" s="533" t="s">
        <v>721</v>
      </c>
      <c r="H118" s="408" t="s">
        <v>381</v>
      </c>
      <c r="I118" s="325" t="s">
        <v>722</v>
      </c>
      <c r="J118" s="983"/>
      <c r="K118" s="984"/>
      <c r="L118" s="986"/>
      <c r="M118" s="854"/>
      <c r="N118" s="987"/>
      <c r="O118" s="989"/>
      <c r="P118" s="990"/>
      <c r="Q118" s="854"/>
    </row>
    <row r="119" spans="1:17" s="54" customFormat="1" ht="18" customHeight="1">
      <c r="A119" s="953"/>
      <c r="B119" s="881"/>
      <c r="C119" s="931"/>
      <c r="D119" s="550" t="s">
        <v>496</v>
      </c>
      <c r="E119" s="551" t="s">
        <v>497</v>
      </c>
      <c r="F119" s="552" t="s">
        <v>729</v>
      </c>
      <c r="G119" s="533" t="s">
        <v>730</v>
      </c>
      <c r="H119" s="408" t="s">
        <v>329</v>
      </c>
      <c r="I119" s="331" t="s">
        <v>752</v>
      </c>
      <c r="J119" s="970">
        <v>69</v>
      </c>
      <c r="K119" s="980">
        <f>22.7/1000</f>
        <v>0.022699999999999998</v>
      </c>
      <c r="L119" s="974" t="s">
        <v>323</v>
      </c>
      <c r="M119" s="968" t="s">
        <v>1</v>
      </c>
      <c r="N119" s="963">
        <f>SUM(O119,P119)</f>
        <v>270</v>
      </c>
      <c r="O119" s="965">
        <v>90</v>
      </c>
      <c r="P119" s="959">
        <v>180</v>
      </c>
      <c r="Q119" s="968" t="s">
        <v>1</v>
      </c>
    </row>
    <row r="120" spans="1:17" s="54" customFormat="1" ht="18" customHeight="1">
      <c r="A120" s="953"/>
      <c r="B120" s="881"/>
      <c r="C120" s="931"/>
      <c r="D120" s="550" t="s">
        <v>496</v>
      </c>
      <c r="E120" s="551" t="s">
        <v>497</v>
      </c>
      <c r="F120" s="552" t="s">
        <v>729</v>
      </c>
      <c r="G120" s="533" t="s">
        <v>732</v>
      </c>
      <c r="H120" s="408" t="s">
        <v>328</v>
      </c>
      <c r="I120" s="325" t="s">
        <v>732</v>
      </c>
      <c r="J120" s="983"/>
      <c r="K120" s="984"/>
      <c r="L120" s="986"/>
      <c r="M120" s="854"/>
      <c r="N120" s="987"/>
      <c r="O120" s="989"/>
      <c r="P120" s="990"/>
      <c r="Q120" s="854"/>
    </row>
    <row r="121" spans="1:17" s="54" customFormat="1" ht="18" customHeight="1">
      <c r="A121" s="953"/>
      <c r="B121" s="881"/>
      <c r="C121" s="931"/>
      <c r="D121" s="550" t="s">
        <v>496</v>
      </c>
      <c r="E121" s="551" t="s">
        <v>497</v>
      </c>
      <c r="F121" s="552" t="s">
        <v>729</v>
      </c>
      <c r="G121" s="533" t="s">
        <v>734</v>
      </c>
      <c r="H121" s="408" t="s">
        <v>324</v>
      </c>
      <c r="I121" s="325" t="s">
        <v>753</v>
      </c>
      <c r="J121" s="983"/>
      <c r="K121" s="984"/>
      <c r="L121" s="986"/>
      <c r="M121" s="854"/>
      <c r="N121" s="987"/>
      <c r="O121" s="989"/>
      <c r="P121" s="990"/>
      <c r="Q121" s="854"/>
    </row>
    <row r="122" spans="1:17" s="54" customFormat="1" ht="18" customHeight="1">
      <c r="A122" s="953"/>
      <c r="B122" s="881"/>
      <c r="C122" s="931"/>
      <c r="D122" s="550" t="s">
        <v>496</v>
      </c>
      <c r="E122" s="551" t="s">
        <v>497</v>
      </c>
      <c r="F122" s="552" t="s">
        <v>729</v>
      </c>
      <c r="G122" s="533" t="s">
        <v>734</v>
      </c>
      <c r="H122" s="408" t="s">
        <v>738</v>
      </c>
      <c r="I122" s="325" t="s">
        <v>382</v>
      </c>
      <c r="J122" s="983"/>
      <c r="K122" s="988"/>
      <c r="L122" s="986"/>
      <c r="M122" s="854"/>
      <c r="N122" s="987"/>
      <c r="O122" s="989"/>
      <c r="P122" s="990"/>
      <c r="Q122" s="854"/>
    </row>
    <row r="123" spans="1:17" s="54" customFormat="1" ht="18" customHeight="1">
      <c r="A123" s="953"/>
      <c r="B123" s="881"/>
      <c r="C123" s="931"/>
      <c r="D123" s="550" t="s">
        <v>496</v>
      </c>
      <c r="E123" s="551" t="s">
        <v>497</v>
      </c>
      <c r="F123" s="552" t="s">
        <v>729</v>
      </c>
      <c r="G123" s="533" t="s">
        <v>734</v>
      </c>
      <c r="H123" s="408" t="s">
        <v>383</v>
      </c>
      <c r="I123" s="325" t="s">
        <v>754</v>
      </c>
      <c r="J123" s="983"/>
      <c r="K123" s="988"/>
      <c r="L123" s="986"/>
      <c r="M123" s="854"/>
      <c r="N123" s="987"/>
      <c r="O123" s="989"/>
      <c r="P123" s="990"/>
      <c r="Q123" s="854"/>
    </row>
    <row r="124" spans="1:17" s="54" customFormat="1" ht="18" customHeight="1">
      <c r="A124" s="953"/>
      <c r="B124" s="881"/>
      <c r="C124" s="931"/>
      <c r="D124" s="550" t="s">
        <v>496</v>
      </c>
      <c r="E124" s="551" t="s">
        <v>497</v>
      </c>
      <c r="F124" s="552" t="s">
        <v>729</v>
      </c>
      <c r="G124" s="533" t="s">
        <v>734</v>
      </c>
      <c r="H124" s="408" t="s">
        <v>326</v>
      </c>
      <c r="I124" s="325" t="s">
        <v>755</v>
      </c>
      <c r="J124" s="983"/>
      <c r="K124" s="988"/>
      <c r="L124" s="986"/>
      <c r="M124" s="854"/>
      <c r="N124" s="987"/>
      <c r="O124" s="989"/>
      <c r="P124" s="990"/>
      <c r="Q124" s="854"/>
    </row>
    <row r="125" spans="1:17" s="54" customFormat="1" ht="18" customHeight="1">
      <c r="A125" s="953"/>
      <c r="B125" s="881"/>
      <c r="C125" s="931"/>
      <c r="D125" s="550" t="s">
        <v>496</v>
      </c>
      <c r="E125" s="551" t="s">
        <v>497</v>
      </c>
      <c r="F125" s="552" t="s">
        <v>729</v>
      </c>
      <c r="G125" s="533" t="s">
        <v>734</v>
      </c>
      <c r="H125" s="408" t="s">
        <v>327</v>
      </c>
      <c r="I125" s="331" t="s">
        <v>756</v>
      </c>
      <c r="J125" s="983"/>
      <c r="K125" s="988"/>
      <c r="L125" s="986"/>
      <c r="M125" s="854"/>
      <c r="N125" s="987"/>
      <c r="O125" s="989"/>
      <c r="P125" s="990"/>
      <c r="Q125" s="854"/>
    </row>
    <row r="126" spans="1:17" s="54" customFormat="1" ht="18" customHeight="1">
      <c r="A126" s="953"/>
      <c r="B126" s="881"/>
      <c r="C126" s="931"/>
      <c r="D126" s="550" t="s">
        <v>496</v>
      </c>
      <c r="E126" s="551" t="s">
        <v>497</v>
      </c>
      <c r="F126" s="552" t="s">
        <v>729</v>
      </c>
      <c r="G126" s="533" t="s">
        <v>734</v>
      </c>
      <c r="H126" s="408" t="s">
        <v>384</v>
      </c>
      <c r="I126" s="325" t="s">
        <v>757</v>
      </c>
      <c r="J126" s="983"/>
      <c r="K126" s="988"/>
      <c r="L126" s="986"/>
      <c r="M126" s="854"/>
      <c r="N126" s="987"/>
      <c r="O126" s="989"/>
      <c r="P126" s="990"/>
      <c r="Q126" s="854"/>
    </row>
    <row r="127" spans="1:17" s="54" customFormat="1" ht="18" customHeight="1">
      <c r="A127" s="953"/>
      <c r="B127" s="881"/>
      <c r="C127" s="931"/>
      <c r="D127" s="550" t="s">
        <v>496</v>
      </c>
      <c r="E127" s="551" t="s">
        <v>497</v>
      </c>
      <c r="F127" s="552" t="s">
        <v>729</v>
      </c>
      <c r="G127" s="533" t="s">
        <v>729</v>
      </c>
      <c r="H127" s="408" t="s">
        <v>745</v>
      </c>
      <c r="I127" s="325" t="s">
        <v>331</v>
      </c>
      <c r="J127" s="971"/>
      <c r="K127" s="964"/>
      <c r="L127" s="975"/>
      <c r="M127" s="969"/>
      <c r="N127" s="976"/>
      <c r="O127" s="977"/>
      <c r="P127" s="960"/>
      <c r="Q127" s="969"/>
    </row>
    <row r="128" spans="1:17" s="54" customFormat="1" ht="18" customHeight="1">
      <c r="A128" s="953"/>
      <c r="B128" s="881"/>
      <c r="C128" s="931"/>
      <c r="D128" s="553" t="s">
        <v>496</v>
      </c>
      <c r="E128" s="562" t="s">
        <v>503</v>
      </c>
      <c r="F128" s="752" t="s">
        <v>504</v>
      </c>
      <c r="G128" s="753" t="s">
        <v>570</v>
      </c>
      <c r="H128" s="386" t="s">
        <v>387</v>
      </c>
      <c r="I128" s="387" t="s">
        <v>388</v>
      </c>
      <c r="J128" s="371">
        <v>36</v>
      </c>
      <c r="K128" s="388">
        <f>1877.6/1000</f>
        <v>1.8776</v>
      </c>
      <c r="L128" s="373" t="s">
        <v>333</v>
      </c>
      <c r="M128" s="24" t="s">
        <v>35</v>
      </c>
      <c r="N128" s="410">
        <f aca="true" t="shared" si="5" ref="N128:N137">SUM(O128,P128)</f>
        <v>400</v>
      </c>
      <c r="O128" s="645">
        <v>130</v>
      </c>
      <c r="P128" s="630">
        <v>270</v>
      </c>
      <c r="Q128" s="24" t="s">
        <v>35</v>
      </c>
    </row>
    <row r="129" spans="1:17" s="54" customFormat="1" ht="18" customHeight="1">
      <c r="A129" s="953"/>
      <c r="B129" s="881"/>
      <c r="C129" s="931"/>
      <c r="D129" s="553" t="s">
        <v>496</v>
      </c>
      <c r="E129" s="562" t="s">
        <v>503</v>
      </c>
      <c r="F129" s="752" t="s">
        <v>504</v>
      </c>
      <c r="G129" s="775" t="s">
        <v>746</v>
      </c>
      <c r="H129" s="387" t="s">
        <v>385</v>
      </c>
      <c r="I129" s="387" t="s">
        <v>386</v>
      </c>
      <c r="J129" s="371">
        <v>48</v>
      </c>
      <c r="K129" s="409">
        <f>12.3/1000</f>
        <v>0.0123</v>
      </c>
      <c r="L129" s="373" t="s">
        <v>333</v>
      </c>
      <c r="M129" s="24" t="s">
        <v>35</v>
      </c>
      <c r="N129" s="410">
        <f t="shared" si="5"/>
        <v>740</v>
      </c>
      <c r="O129" s="645">
        <v>240</v>
      </c>
      <c r="P129" s="630">
        <v>500</v>
      </c>
      <c r="Q129" s="24" t="s">
        <v>35</v>
      </c>
    </row>
    <row r="130" spans="1:17" s="54" customFormat="1" ht="18" customHeight="1">
      <c r="A130" s="953"/>
      <c r="B130" s="881"/>
      <c r="C130" s="931"/>
      <c r="D130" s="698" t="s">
        <v>499</v>
      </c>
      <c r="E130" s="562" t="s">
        <v>509</v>
      </c>
      <c r="F130" s="746" t="s">
        <v>676</v>
      </c>
      <c r="G130" s="449" t="s">
        <v>676</v>
      </c>
      <c r="H130" s="386" t="s">
        <v>366</v>
      </c>
      <c r="I130" s="387" t="s">
        <v>367</v>
      </c>
      <c r="J130" s="371">
        <v>3</v>
      </c>
      <c r="K130" s="374">
        <f>96.4/1000</f>
        <v>0.0964</v>
      </c>
      <c r="L130" s="373" t="s">
        <v>363</v>
      </c>
      <c r="M130" s="377" t="s">
        <v>376</v>
      </c>
      <c r="N130" s="410">
        <f t="shared" si="5"/>
        <v>266</v>
      </c>
      <c r="O130" s="637">
        <v>86</v>
      </c>
      <c r="P130" s="631">
        <v>180</v>
      </c>
      <c r="Q130" s="24" t="s">
        <v>35</v>
      </c>
    </row>
    <row r="131" spans="1:17" s="54" customFormat="1" ht="18" customHeight="1">
      <c r="A131" s="953"/>
      <c r="B131" s="881"/>
      <c r="C131" s="931"/>
      <c r="D131" s="698" t="s">
        <v>499</v>
      </c>
      <c r="E131" s="562" t="s">
        <v>509</v>
      </c>
      <c r="F131" s="752" t="s">
        <v>635</v>
      </c>
      <c r="G131" s="775" t="s">
        <v>635</v>
      </c>
      <c r="H131" s="386" t="s">
        <v>337</v>
      </c>
      <c r="I131" s="387" t="s">
        <v>338</v>
      </c>
      <c r="J131" s="371">
        <v>7</v>
      </c>
      <c r="K131" s="409">
        <f>87.6/1000</f>
        <v>0.0876</v>
      </c>
      <c r="L131" s="375" t="s">
        <v>370</v>
      </c>
      <c r="M131" s="24" t="s">
        <v>35</v>
      </c>
      <c r="N131" s="410">
        <f t="shared" si="5"/>
        <v>266</v>
      </c>
      <c r="O131" s="645">
        <v>86</v>
      </c>
      <c r="P131" s="630">
        <v>180</v>
      </c>
      <c r="Q131" s="24" t="s">
        <v>35</v>
      </c>
    </row>
    <row r="132" spans="1:17" s="54" customFormat="1" ht="18" customHeight="1">
      <c r="A132" s="953"/>
      <c r="B132" s="881"/>
      <c r="C132" s="931"/>
      <c r="D132" s="698" t="s">
        <v>499</v>
      </c>
      <c r="E132" s="562" t="s">
        <v>509</v>
      </c>
      <c r="F132" s="752" t="s">
        <v>635</v>
      </c>
      <c r="G132" s="775" t="s">
        <v>635</v>
      </c>
      <c r="H132" s="386" t="s">
        <v>673</v>
      </c>
      <c r="I132" s="387" t="s">
        <v>392</v>
      </c>
      <c r="J132" s="371">
        <v>6</v>
      </c>
      <c r="K132" s="409">
        <f>26.5/1000</f>
        <v>0.0265</v>
      </c>
      <c r="L132" s="375" t="s">
        <v>339</v>
      </c>
      <c r="M132" s="24" t="s">
        <v>35</v>
      </c>
      <c r="N132" s="410">
        <f t="shared" si="5"/>
        <v>270</v>
      </c>
      <c r="O132" s="645">
        <v>90</v>
      </c>
      <c r="P132" s="630">
        <v>180</v>
      </c>
      <c r="Q132" s="24" t="s">
        <v>35</v>
      </c>
    </row>
    <row r="133" spans="1:17" s="54" customFormat="1" ht="18" customHeight="1">
      <c r="A133" s="953"/>
      <c r="B133" s="881"/>
      <c r="C133" s="931"/>
      <c r="D133" s="698" t="s">
        <v>499</v>
      </c>
      <c r="E133" s="562" t="s">
        <v>509</v>
      </c>
      <c r="F133" s="752" t="s">
        <v>635</v>
      </c>
      <c r="G133" s="775" t="s">
        <v>635</v>
      </c>
      <c r="H133" s="386" t="s">
        <v>758</v>
      </c>
      <c r="I133" s="387" t="s">
        <v>759</v>
      </c>
      <c r="J133" s="371">
        <v>15</v>
      </c>
      <c r="K133" s="409">
        <f>6.9/1000</f>
        <v>0.006900000000000001</v>
      </c>
      <c r="L133" s="373" t="s">
        <v>363</v>
      </c>
      <c r="M133" s="24" t="s">
        <v>35</v>
      </c>
      <c r="N133" s="410">
        <f t="shared" si="5"/>
        <v>198</v>
      </c>
      <c r="O133" s="645">
        <v>68</v>
      </c>
      <c r="P133" s="630">
        <v>130</v>
      </c>
      <c r="Q133" s="24" t="s">
        <v>35</v>
      </c>
    </row>
    <row r="134" spans="1:17" s="54" customFormat="1" ht="18" customHeight="1">
      <c r="A134" s="953"/>
      <c r="B134" s="881"/>
      <c r="C134" s="931"/>
      <c r="D134" s="698" t="s">
        <v>499</v>
      </c>
      <c r="E134" s="562" t="s">
        <v>509</v>
      </c>
      <c r="F134" s="752" t="s">
        <v>635</v>
      </c>
      <c r="G134" s="775" t="s">
        <v>635</v>
      </c>
      <c r="H134" s="386" t="s">
        <v>760</v>
      </c>
      <c r="I134" s="387" t="s">
        <v>391</v>
      </c>
      <c r="J134" s="371">
        <v>5</v>
      </c>
      <c r="K134" s="409">
        <f>42.8/1000</f>
        <v>0.0428</v>
      </c>
      <c r="L134" s="373" t="s">
        <v>390</v>
      </c>
      <c r="M134" s="377" t="s">
        <v>376</v>
      </c>
      <c r="N134" s="410">
        <f t="shared" si="5"/>
        <v>303</v>
      </c>
      <c r="O134" s="645">
        <v>93</v>
      </c>
      <c r="P134" s="630">
        <v>210</v>
      </c>
      <c r="Q134" s="24" t="s">
        <v>35</v>
      </c>
    </row>
    <row r="135" spans="1:17" s="54" customFormat="1" ht="18" customHeight="1">
      <c r="A135" s="953"/>
      <c r="B135" s="881"/>
      <c r="C135" s="931"/>
      <c r="D135" s="698" t="s">
        <v>499</v>
      </c>
      <c r="E135" s="562" t="s">
        <v>509</v>
      </c>
      <c r="F135" s="754" t="s">
        <v>582</v>
      </c>
      <c r="G135" s="449" t="s">
        <v>583</v>
      </c>
      <c r="H135" s="386" t="s">
        <v>761</v>
      </c>
      <c r="I135" s="387" t="s">
        <v>389</v>
      </c>
      <c r="J135" s="371">
        <v>10</v>
      </c>
      <c r="K135" s="409">
        <f>26.2/1000</f>
        <v>0.026199999999999998</v>
      </c>
      <c r="L135" s="373" t="s">
        <v>390</v>
      </c>
      <c r="M135" s="24" t="s">
        <v>35</v>
      </c>
      <c r="N135" s="410">
        <f t="shared" si="5"/>
        <v>460</v>
      </c>
      <c r="O135" s="645">
        <v>150</v>
      </c>
      <c r="P135" s="630">
        <v>310</v>
      </c>
      <c r="Q135" s="24" t="s">
        <v>35</v>
      </c>
    </row>
    <row r="136" spans="1:17" s="54" customFormat="1" ht="18" customHeight="1">
      <c r="A136" s="953"/>
      <c r="B136" s="881"/>
      <c r="C136" s="931"/>
      <c r="D136" s="698" t="s">
        <v>499</v>
      </c>
      <c r="E136" s="562" t="s">
        <v>509</v>
      </c>
      <c r="F136" s="746" t="s">
        <v>647</v>
      </c>
      <c r="G136" s="449" t="s">
        <v>647</v>
      </c>
      <c r="H136" s="386" t="s">
        <v>648</v>
      </c>
      <c r="I136" s="387" t="s">
        <v>373</v>
      </c>
      <c r="J136" s="371">
        <v>3</v>
      </c>
      <c r="K136" s="374">
        <f>11.7/1000</f>
        <v>0.011699999999999999</v>
      </c>
      <c r="L136" s="373" t="s">
        <v>363</v>
      </c>
      <c r="M136" s="24" t="s">
        <v>35</v>
      </c>
      <c r="N136" s="410">
        <f t="shared" si="5"/>
        <v>420</v>
      </c>
      <c r="O136" s="645">
        <v>120</v>
      </c>
      <c r="P136" s="630">
        <v>300</v>
      </c>
      <c r="Q136" s="24" t="s">
        <v>35</v>
      </c>
    </row>
    <row r="137" spans="1:17" s="54" customFormat="1" ht="18" customHeight="1">
      <c r="A137" s="954"/>
      <c r="B137" s="882"/>
      <c r="C137" s="907"/>
      <c r="D137" s="693" t="s">
        <v>547</v>
      </c>
      <c r="E137" s="809" t="s">
        <v>35</v>
      </c>
      <c r="F137" s="810" t="s">
        <v>35</v>
      </c>
      <c r="G137" s="811" t="s">
        <v>35</v>
      </c>
      <c r="H137" s="354" t="s">
        <v>35</v>
      </c>
      <c r="I137" s="411" t="s">
        <v>346</v>
      </c>
      <c r="J137" s="352" t="s">
        <v>35</v>
      </c>
      <c r="K137" s="353">
        <f>482/1000</f>
        <v>0.482</v>
      </c>
      <c r="L137" s="354" t="s">
        <v>35</v>
      </c>
      <c r="M137" s="356" t="s">
        <v>35</v>
      </c>
      <c r="N137" s="412">
        <f t="shared" si="5"/>
        <v>870</v>
      </c>
      <c r="O137" s="639">
        <v>280</v>
      </c>
      <c r="P137" s="634">
        <v>590</v>
      </c>
      <c r="Q137" s="356" t="s">
        <v>35</v>
      </c>
    </row>
    <row r="138" spans="2:16" s="420" customFormat="1" ht="18" customHeight="1">
      <c r="B138" s="422"/>
      <c r="C138" s="423"/>
      <c r="D138" s="705"/>
      <c r="E138" s="424"/>
      <c r="F138" s="424"/>
      <c r="G138" s="424"/>
      <c r="H138" s="424"/>
      <c r="I138" s="424"/>
      <c r="J138" s="425"/>
      <c r="L138" s="426"/>
      <c r="N138" s="427"/>
      <c r="O138" s="428"/>
      <c r="P138" s="428"/>
    </row>
    <row r="139" spans="1:17" s="54" customFormat="1" ht="18" customHeight="1">
      <c r="A139" s="903" t="s">
        <v>3</v>
      </c>
      <c r="B139" s="904"/>
      <c r="C139" s="883" t="s">
        <v>313</v>
      </c>
      <c r="D139" s="908" t="s">
        <v>488</v>
      </c>
      <c r="E139" s="910" t="s">
        <v>489</v>
      </c>
      <c r="F139" s="912" t="s">
        <v>490</v>
      </c>
      <c r="G139" s="914" t="s">
        <v>491</v>
      </c>
      <c r="H139" s="852" t="s">
        <v>492</v>
      </c>
      <c r="I139" s="852" t="s">
        <v>493</v>
      </c>
      <c r="J139" s="894" t="s">
        <v>314</v>
      </c>
      <c r="K139" s="896" t="s">
        <v>315</v>
      </c>
      <c r="L139" s="898" t="s">
        <v>494</v>
      </c>
      <c r="M139" s="899"/>
      <c r="N139" s="900" t="s">
        <v>317</v>
      </c>
      <c r="O139" s="901"/>
      <c r="P139" s="902"/>
      <c r="Q139" s="876" t="s">
        <v>495</v>
      </c>
    </row>
    <row r="140" spans="1:20" s="54" customFormat="1" ht="18" customHeight="1">
      <c r="A140" s="905"/>
      <c r="B140" s="906"/>
      <c r="C140" s="907"/>
      <c r="D140" s="909"/>
      <c r="E140" s="911"/>
      <c r="F140" s="913"/>
      <c r="G140" s="915"/>
      <c r="H140" s="893"/>
      <c r="I140" s="893"/>
      <c r="J140" s="895"/>
      <c r="K140" s="897"/>
      <c r="L140" s="530" t="s">
        <v>316</v>
      </c>
      <c r="M140" s="529" t="s">
        <v>318</v>
      </c>
      <c r="N140" s="531" t="s">
        <v>319</v>
      </c>
      <c r="O140" s="618" t="s">
        <v>20</v>
      </c>
      <c r="P140" s="605" t="s">
        <v>21</v>
      </c>
      <c r="Q140" s="877"/>
      <c r="S140" s="532"/>
      <c r="T140" s="532"/>
    </row>
    <row r="141" spans="1:17" s="54" customFormat="1" ht="18" customHeight="1">
      <c r="A141" s="878" t="s">
        <v>404</v>
      </c>
      <c r="B141" s="852" t="s">
        <v>84</v>
      </c>
      <c r="C141" s="883">
        <v>41470</v>
      </c>
      <c r="D141" s="543" t="s">
        <v>320</v>
      </c>
      <c r="E141" s="789" t="s">
        <v>35</v>
      </c>
      <c r="F141" s="730" t="s">
        <v>35</v>
      </c>
      <c r="G141" s="779" t="s">
        <v>35</v>
      </c>
      <c r="H141" s="317" t="s">
        <v>35</v>
      </c>
      <c r="I141" s="357" t="s">
        <v>321</v>
      </c>
      <c r="J141" s="319" t="s">
        <v>1</v>
      </c>
      <c r="K141" s="320">
        <f>90.41/1000</f>
        <v>0.09040999999999999</v>
      </c>
      <c r="L141" s="448" t="s">
        <v>1</v>
      </c>
      <c r="M141" s="323" t="s">
        <v>1</v>
      </c>
      <c r="N141" s="405">
        <f>SUM(O141,P141)</f>
        <v>8000</v>
      </c>
      <c r="O141" s="640">
        <v>2500</v>
      </c>
      <c r="P141" s="607">
        <v>5500</v>
      </c>
      <c r="Q141" s="323" t="s">
        <v>1</v>
      </c>
    </row>
    <row r="142" spans="1:17" s="54" customFormat="1" ht="18" customHeight="1">
      <c r="A142" s="953"/>
      <c r="B142" s="881"/>
      <c r="C142" s="931"/>
      <c r="D142" s="710" t="s">
        <v>511</v>
      </c>
      <c r="E142" s="791" t="s">
        <v>512</v>
      </c>
      <c r="F142" s="737" t="s">
        <v>715</v>
      </c>
      <c r="G142" s="802" t="s">
        <v>715</v>
      </c>
      <c r="H142" s="429" t="s">
        <v>716</v>
      </c>
      <c r="I142" s="430" t="s">
        <v>394</v>
      </c>
      <c r="J142" s="360" t="s">
        <v>1</v>
      </c>
      <c r="K142" s="361">
        <f>29.6/1000</f>
        <v>0.0296</v>
      </c>
      <c r="L142" s="448" t="s">
        <v>1</v>
      </c>
      <c r="M142" s="364" t="s">
        <v>1</v>
      </c>
      <c r="N142" s="432">
        <f>SUM(O142,P142)</f>
        <v>159</v>
      </c>
      <c r="O142" s="650">
        <v>49</v>
      </c>
      <c r="P142" s="644">
        <v>110</v>
      </c>
      <c r="Q142" s="364" t="s">
        <v>1</v>
      </c>
    </row>
    <row r="143" spans="1:17" s="54" customFormat="1" ht="18" customHeight="1">
      <c r="A143" s="953"/>
      <c r="B143" s="881"/>
      <c r="C143" s="931"/>
      <c r="D143" s="710" t="s">
        <v>513</v>
      </c>
      <c r="E143" s="736" t="s">
        <v>727</v>
      </c>
      <c r="F143" s="737" t="s">
        <v>727</v>
      </c>
      <c r="G143" s="766" t="s">
        <v>727</v>
      </c>
      <c r="H143" s="429" t="s">
        <v>728</v>
      </c>
      <c r="I143" s="430" t="s">
        <v>395</v>
      </c>
      <c r="J143" s="360" t="s">
        <v>1</v>
      </c>
      <c r="K143" s="361">
        <f>74/1000</f>
        <v>0.074</v>
      </c>
      <c r="L143" s="448" t="s">
        <v>1</v>
      </c>
      <c r="M143" s="364" t="s">
        <v>1</v>
      </c>
      <c r="N143" s="432">
        <f>SUM(O143,P143)</f>
        <v>390</v>
      </c>
      <c r="O143" s="650">
        <v>130</v>
      </c>
      <c r="P143" s="644">
        <v>260</v>
      </c>
      <c r="Q143" s="364" t="s">
        <v>1</v>
      </c>
    </row>
    <row r="144" spans="1:17" s="54" customFormat="1" ht="18" customHeight="1">
      <c r="A144" s="953"/>
      <c r="B144" s="881"/>
      <c r="C144" s="931"/>
      <c r="D144" s="696" t="s">
        <v>515</v>
      </c>
      <c r="E144" s="791" t="s">
        <v>514</v>
      </c>
      <c r="F144" s="737" t="s">
        <v>562</v>
      </c>
      <c r="G144" s="766" t="s">
        <v>717</v>
      </c>
      <c r="H144" s="429" t="s">
        <v>718</v>
      </c>
      <c r="I144" s="430" t="s">
        <v>719</v>
      </c>
      <c r="J144" s="360" t="s">
        <v>1</v>
      </c>
      <c r="K144" s="406">
        <f>126.9/1000</f>
        <v>0.1269</v>
      </c>
      <c r="L144" s="448" t="s">
        <v>1</v>
      </c>
      <c r="M144" s="364" t="s">
        <v>1</v>
      </c>
      <c r="N144" s="432">
        <f>SUM(O144,P144)</f>
        <v>70</v>
      </c>
      <c r="O144" s="650">
        <v>21</v>
      </c>
      <c r="P144" s="644">
        <v>49</v>
      </c>
      <c r="Q144" s="364" t="s">
        <v>1</v>
      </c>
    </row>
    <row r="145" spans="1:17" s="54" customFormat="1" ht="18" customHeight="1">
      <c r="A145" s="953"/>
      <c r="B145" s="881"/>
      <c r="C145" s="931"/>
      <c r="D145" s="550" t="s">
        <v>496</v>
      </c>
      <c r="E145" s="551" t="s">
        <v>497</v>
      </c>
      <c r="F145" s="551" t="s">
        <v>720</v>
      </c>
      <c r="G145" s="533" t="s">
        <v>721</v>
      </c>
      <c r="H145" s="408" t="s">
        <v>322</v>
      </c>
      <c r="I145" s="331" t="s">
        <v>348</v>
      </c>
      <c r="J145" s="970">
        <v>63</v>
      </c>
      <c r="K145" s="980">
        <f>10.661/1000</f>
        <v>0.010661</v>
      </c>
      <c r="L145" s="974" t="s">
        <v>323</v>
      </c>
      <c r="M145" s="968" t="s">
        <v>1</v>
      </c>
      <c r="N145" s="963">
        <f>SUM(O145,P145)</f>
        <v>840</v>
      </c>
      <c r="O145" s="965">
        <v>280</v>
      </c>
      <c r="P145" s="959">
        <v>560</v>
      </c>
      <c r="Q145" s="961" t="s">
        <v>1</v>
      </c>
    </row>
    <row r="146" spans="1:17" s="54" customFormat="1" ht="18" customHeight="1">
      <c r="A146" s="953"/>
      <c r="B146" s="881"/>
      <c r="C146" s="931"/>
      <c r="D146" s="550" t="s">
        <v>496</v>
      </c>
      <c r="E146" s="551" t="s">
        <v>497</v>
      </c>
      <c r="F146" s="552" t="s">
        <v>720</v>
      </c>
      <c r="G146" s="533" t="s">
        <v>721</v>
      </c>
      <c r="H146" s="408" t="s">
        <v>381</v>
      </c>
      <c r="I146" s="325" t="s">
        <v>722</v>
      </c>
      <c r="J146" s="971"/>
      <c r="K146" s="985"/>
      <c r="L146" s="975"/>
      <c r="M146" s="964"/>
      <c r="N146" s="976"/>
      <c r="O146" s="977"/>
      <c r="P146" s="960"/>
      <c r="Q146" s="962"/>
    </row>
    <row r="147" spans="1:17" s="54" customFormat="1" ht="18" customHeight="1">
      <c r="A147" s="953"/>
      <c r="B147" s="881"/>
      <c r="C147" s="931"/>
      <c r="D147" s="550" t="s">
        <v>496</v>
      </c>
      <c r="E147" s="551" t="s">
        <v>497</v>
      </c>
      <c r="F147" s="534" t="s">
        <v>723</v>
      </c>
      <c r="G147" s="558" t="s">
        <v>723</v>
      </c>
      <c r="H147" s="408" t="s">
        <v>724</v>
      </c>
      <c r="I147" s="365" t="s">
        <v>353</v>
      </c>
      <c r="J147" s="970">
        <v>54</v>
      </c>
      <c r="K147" s="980">
        <f>30.3/1000</f>
        <v>0.0303</v>
      </c>
      <c r="L147" s="974" t="s">
        <v>323</v>
      </c>
      <c r="M147" s="968" t="s">
        <v>1</v>
      </c>
      <c r="N147" s="963">
        <v>150</v>
      </c>
      <c r="O147" s="965">
        <v>100</v>
      </c>
      <c r="P147" s="981">
        <v>210</v>
      </c>
      <c r="Q147" s="961" t="s">
        <v>1</v>
      </c>
    </row>
    <row r="148" spans="1:17" s="54" customFormat="1" ht="18" customHeight="1">
      <c r="A148" s="953"/>
      <c r="B148" s="881"/>
      <c r="C148" s="931"/>
      <c r="D148" s="550" t="s">
        <v>496</v>
      </c>
      <c r="E148" s="551" t="s">
        <v>497</v>
      </c>
      <c r="F148" s="534" t="s">
        <v>723</v>
      </c>
      <c r="G148" s="559" t="s">
        <v>723</v>
      </c>
      <c r="H148" s="408" t="s">
        <v>351</v>
      </c>
      <c r="I148" s="368" t="s">
        <v>352</v>
      </c>
      <c r="J148" s="971"/>
      <c r="K148" s="985"/>
      <c r="L148" s="975"/>
      <c r="M148" s="964"/>
      <c r="N148" s="976"/>
      <c r="O148" s="977"/>
      <c r="P148" s="982"/>
      <c r="Q148" s="962"/>
    </row>
    <row r="149" spans="1:17" s="54" customFormat="1" ht="18" customHeight="1">
      <c r="A149" s="953"/>
      <c r="B149" s="881"/>
      <c r="C149" s="931"/>
      <c r="D149" s="550" t="s">
        <v>496</v>
      </c>
      <c r="E149" s="551" t="s">
        <v>497</v>
      </c>
      <c r="F149" s="552" t="s">
        <v>729</v>
      </c>
      <c r="G149" s="533" t="s">
        <v>730</v>
      </c>
      <c r="H149" s="408" t="s">
        <v>329</v>
      </c>
      <c r="I149" s="331" t="s">
        <v>731</v>
      </c>
      <c r="J149" s="970">
        <v>199</v>
      </c>
      <c r="K149" s="980">
        <f>45.6/1000</f>
        <v>0.0456</v>
      </c>
      <c r="L149" s="974" t="s">
        <v>406</v>
      </c>
      <c r="M149" s="968" t="s">
        <v>1</v>
      </c>
      <c r="N149" s="963">
        <f>SUM(O149,P149)</f>
        <v>550</v>
      </c>
      <c r="O149" s="965">
        <v>180</v>
      </c>
      <c r="P149" s="959">
        <v>370</v>
      </c>
      <c r="Q149" s="968" t="s">
        <v>1</v>
      </c>
    </row>
    <row r="150" spans="1:17" s="54" customFormat="1" ht="18" customHeight="1">
      <c r="A150" s="953"/>
      <c r="B150" s="881"/>
      <c r="C150" s="931"/>
      <c r="D150" s="550" t="s">
        <v>496</v>
      </c>
      <c r="E150" s="551" t="s">
        <v>497</v>
      </c>
      <c r="F150" s="552" t="s">
        <v>729</v>
      </c>
      <c r="G150" s="533" t="s">
        <v>732</v>
      </c>
      <c r="H150" s="408" t="s">
        <v>328</v>
      </c>
      <c r="I150" s="325" t="s">
        <v>733</v>
      </c>
      <c r="J150" s="983"/>
      <c r="K150" s="984"/>
      <c r="L150" s="986"/>
      <c r="M150" s="854"/>
      <c r="N150" s="987"/>
      <c r="O150" s="989"/>
      <c r="P150" s="990"/>
      <c r="Q150" s="854"/>
    </row>
    <row r="151" spans="1:17" s="54" customFormat="1" ht="18" customHeight="1">
      <c r="A151" s="953"/>
      <c r="B151" s="881"/>
      <c r="C151" s="931"/>
      <c r="D151" s="550" t="s">
        <v>496</v>
      </c>
      <c r="E151" s="551" t="s">
        <v>497</v>
      </c>
      <c r="F151" s="552" t="s">
        <v>729</v>
      </c>
      <c r="G151" s="533" t="s">
        <v>734</v>
      </c>
      <c r="H151" s="408" t="s">
        <v>354</v>
      </c>
      <c r="I151" s="325" t="s">
        <v>735</v>
      </c>
      <c r="J151" s="983"/>
      <c r="K151" s="984"/>
      <c r="L151" s="986"/>
      <c r="M151" s="854"/>
      <c r="N151" s="988"/>
      <c r="O151" s="989"/>
      <c r="P151" s="990"/>
      <c r="Q151" s="988"/>
    </row>
    <row r="152" spans="1:17" s="54" customFormat="1" ht="18" customHeight="1">
      <c r="A152" s="953"/>
      <c r="B152" s="881"/>
      <c r="C152" s="931"/>
      <c r="D152" s="550" t="s">
        <v>496</v>
      </c>
      <c r="E152" s="551" t="s">
        <v>497</v>
      </c>
      <c r="F152" s="552" t="s">
        <v>729</v>
      </c>
      <c r="G152" s="533" t="s">
        <v>734</v>
      </c>
      <c r="H152" s="408" t="s">
        <v>324</v>
      </c>
      <c r="I152" s="325" t="s">
        <v>736</v>
      </c>
      <c r="J152" s="983"/>
      <c r="K152" s="984"/>
      <c r="L152" s="986"/>
      <c r="M152" s="854"/>
      <c r="N152" s="988"/>
      <c r="O152" s="989"/>
      <c r="P152" s="990"/>
      <c r="Q152" s="988"/>
    </row>
    <row r="153" spans="1:17" s="54" customFormat="1" ht="18" customHeight="1">
      <c r="A153" s="953"/>
      <c r="B153" s="881"/>
      <c r="C153" s="931"/>
      <c r="D153" s="550" t="s">
        <v>496</v>
      </c>
      <c r="E153" s="551" t="s">
        <v>497</v>
      </c>
      <c r="F153" s="552" t="s">
        <v>729</v>
      </c>
      <c r="G153" s="533" t="s">
        <v>734</v>
      </c>
      <c r="H153" s="408" t="s">
        <v>398</v>
      </c>
      <c r="I153" s="325" t="s">
        <v>737</v>
      </c>
      <c r="J153" s="983"/>
      <c r="K153" s="984"/>
      <c r="L153" s="986"/>
      <c r="M153" s="854"/>
      <c r="N153" s="988"/>
      <c r="O153" s="989"/>
      <c r="P153" s="990"/>
      <c r="Q153" s="988"/>
    </row>
    <row r="154" spans="1:17" s="54" customFormat="1" ht="18" customHeight="1">
      <c r="A154" s="953"/>
      <c r="B154" s="881"/>
      <c r="C154" s="931"/>
      <c r="D154" s="550" t="s">
        <v>496</v>
      </c>
      <c r="E154" s="551" t="s">
        <v>497</v>
      </c>
      <c r="F154" s="552" t="s">
        <v>729</v>
      </c>
      <c r="G154" s="533" t="s">
        <v>734</v>
      </c>
      <c r="H154" s="408" t="s">
        <v>738</v>
      </c>
      <c r="I154" s="325" t="s">
        <v>407</v>
      </c>
      <c r="J154" s="983"/>
      <c r="K154" s="984"/>
      <c r="L154" s="986"/>
      <c r="M154" s="854"/>
      <c r="N154" s="988"/>
      <c r="O154" s="989"/>
      <c r="P154" s="990"/>
      <c r="Q154" s="988"/>
    </row>
    <row r="155" spans="1:17" s="54" customFormat="1" ht="18" customHeight="1">
      <c r="A155" s="953"/>
      <c r="B155" s="881"/>
      <c r="C155" s="931"/>
      <c r="D155" s="550" t="s">
        <v>496</v>
      </c>
      <c r="E155" s="551" t="s">
        <v>497</v>
      </c>
      <c r="F155" s="552" t="s">
        <v>729</v>
      </c>
      <c r="G155" s="533" t="s">
        <v>734</v>
      </c>
      <c r="H155" s="408" t="s">
        <v>325</v>
      </c>
      <c r="I155" s="325" t="s">
        <v>739</v>
      </c>
      <c r="J155" s="983"/>
      <c r="K155" s="984"/>
      <c r="L155" s="986"/>
      <c r="M155" s="854"/>
      <c r="N155" s="988"/>
      <c r="O155" s="989"/>
      <c r="P155" s="990"/>
      <c r="Q155" s="988"/>
    </row>
    <row r="156" spans="1:17" s="54" customFormat="1" ht="18" customHeight="1">
      <c r="A156" s="953"/>
      <c r="B156" s="881"/>
      <c r="C156" s="931"/>
      <c r="D156" s="550" t="s">
        <v>496</v>
      </c>
      <c r="E156" s="551" t="s">
        <v>497</v>
      </c>
      <c r="F156" s="552" t="s">
        <v>729</v>
      </c>
      <c r="G156" s="533" t="s">
        <v>734</v>
      </c>
      <c r="H156" s="408" t="s">
        <v>326</v>
      </c>
      <c r="I156" s="325" t="s">
        <v>740</v>
      </c>
      <c r="J156" s="983"/>
      <c r="K156" s="984"/>
      <c r="L156" s="986"/>
      <c r="M156" s="854"/>
      <c r="N156" s="988"/>
      <c r="O156" s="989"/>
      <c r="P156" s="990"/>
      <c r="Q156" s="988"/>
    </row>
    <row r="157" spans="1:17" s="54" customFormat="1" ht="18" customHeight="1">
      <c r="A157" s="953"/>
      <c r="B157" s="881"/>
      <c r="C157" s="931"/>
      <c r="D157" s="550" t="s">
        <v>496</v>
      </c>
      <c r="E157" s="551" t="s">
        <v>497</v>
      </c>
      <c r="F157" s="552" t="s">
        <v>729</v>
      </c>
      <c r="G157" s="533" t="s">
        <v>734</v>
      </c>
      <c r="H157" s="408" t="s">
        <v>327</v>
      </c>
      <c r="I157" s="331" t="s">
        <v>741</v>
      </c>
      <c r="J157" s="983"/>
      <c r="K157" s="984"/>
      <c r="L157" s="986"/>
      <c r="M157" s="854"/>
      <c r="N157" s="988"/>
      <c r="O157" s="989"/>
      <c r="P157" s="990"/>
      <c r="Q157" s="988"/>
    </row>
    <row r="158" spans="1:17" s="54" customFormat="1" ht="18" customHeight="1">
      <c r="A158" s="953"/>
      <c r="B158" s="881"/>
      <c r="C158" s="931"/>
      <c r="D158" s="550" t="s">
        <v>496</v>
      </c>
      <c r="E158" s="551" t="s">
        <v>497</v>
      </c>
      <c r="F158" s="552" t="s">
        <v>729</v>
      </c>
      <c r="G158" s="533" t="s">
        <v>734</v>
      </c>
      <c r="H158" s="408" t="s">
        <v>408</v>
      </c>
      <c r="I158" s="325" t="s">
        <v>742</v>
      </c>
      <c r="J158" s="983"/>
      <c r="K158" s="984"/>
      <c r="L158" s="986"/>
      <c r="M158" s="854"/>
      <c r="N158" s="988"/>
      <c r="O158" s="989"/>
      <c r="P158" s="990"/>
      <c r="Q158" s="988"/>
    </row>
    <row r="159" spans="1:17" s="54" customFormat="1" ht="18" customHeight="1">
      <c r="A159" s="953"/>
      <c r="B159" s="881"/>
      <c r="C159" s="931"/>
      <c r="D159" s="550" t="s">
        <v>496</v>
      </c>
      <c r="E159" s="551" t="s">
        <v>497</v>
      </c>
      <c r="F159" s="552" t="s">
        <v>729</v>
      </c>
      <c r="G159" s="560" t="s">
        <v>743</v>
      </c>
      <c r="H159" s="408" t="s">
        <v>396</v>
      </c>
      <c r="I159" s="325" t="s">
        <v>744</v>
      </c>
      <c r="J159" s="983"/>
      <c r="K159" s="984"/>
      <c r="L159" s="986"/>
      <c r="M159" s="854"/>
      <c r="N159" s="988"/>
      <c r="O159" s="989"/>
      <c r="P159" s="990"/>
      <c r="Q159" s="988"/>
    </row>
    <row r="160" spans="1:17" s="54" customFormat="1" ht="18" customHeight="1">
      <c r="A160" s="953"/>
      <c r="B160" s="881"/>
      <c r="C160" s="931"/>
      <c r="D160" s="550" t="s">
        <v>496</v>
      </c>
      <c r="E160" s="551" t="s">
        <v>497</v>
      </c>
      <c r="F160" s="552" t="s">
        <v>729</v>
      </c>
      <c r="G160" s="533" t="s">
        <v>729</v>
      </c>
      <c r="H160" s="408" t="s">
        <v>745</v>
      </c>
      <c r="I160" s="587" t="s">
        <v>331</v>
      </c>
      <c r="J160" s="971"/>
      <c r="K160" s="985"/>
      <c r="L160" s="975"/>
      <c r="M160" s="969"/>
      <c r="N160" s="964"/>
      <c r="O160" s="977"/>
      <c r="P160" s="960"/>
      <c r="Q160" s="964"/>
    </row>
    <row r="161" spans="1:17" s="54" customFormat="1" ht="18" customHeight="1">
      <c r="A161" s="953"/>
      <c r="B161" s="881"/>
      <c r="C161" s="931"/>
      <c r="D161" s="553" t="s">
        <v>496</v>
      </c>
      <c r="E161" s="781" t="s">
        <v>503</v>
      </c>
      <c r="F161" s="782" t="s">
        <v>504</v>
      </c>
      <c r="G161" s="806" t="s">
        <v>746</v>
      </c>
      <c r="H161" s="387" t="s">
        <v>385</v>
      </c>
      <c r="I161" s="387" t="s">
        <v>386</v>
      </c>
      <c r="J161" s="371">
        <v>119</v>
      </c>
      <c r="K161" s="374">
        <f>35.1/1000</f>
        <v>0.0351</v>
      </c>
      <c r="L161" s="373" t="s">
        <v>333</v>
      </c>
      <c r="M161" s="24" t="s">
        <v>1</v>
      </c>
      <c r="N161" s="410">
        <f>SUM(O161,P161)</f>
        <v>1390</v>
      </c>
      <c r="O161" s="637">
        <v>460</v>
      </c>
      <c r="P161" s="631">
        <v>930</v>
      </c>
      <c r="Q161" s="24" t="s">
        <v>1</v>
      </c>
    </row>
    <row r="162" spans="1:17" s="54" customFormat="1" ht="18" customHeight="1">
      <c r="A162" s="953"/>
      <c r="B162" s="881"/>
      <c r="C162" s="931"/>
      <c r="D162" s="700" t="s">
        <v>496</v>
      </c>
      <c r="E162" s="562" t="s">
        <v>503</v>
      </c>
      <c r="F162" s="746" t="s">
        <v>504</v>
      </c>
      <c r="G162" s="449" t="s">
        <v>747</v>
      </c>
      <c r="H162" s="369" t="s">
        <v>355</v>
      </c>
      <c r="I162" s="370" t="s">
        <v>356</v>
      </c>
      <c r="J162" s="371">
        <v>2</v>
      </c>
      <c r="K162" s="434">
        <f>49.8/1000</f>
        <v>0.0498</v>
      </c>
      <c r="L162" s="373" t="s">
        <v>333</v>
      </c>
      <c r="M162" s="24" t="s">
        <v>1</v>
      </c>
      <c r="N162" s="410">
        <f aca="true" t="shared" si="6" ref="N162:N169">SUM(O162,P162)</f>
        <v>970</v>
      </c>
      <c r="O162" s="645">
        <v>310</v>
      </c>
      <c r="P162" s="630">
        <v>660</v>
      </c>
      <c r="Q162" s="24" t="s">
        <v>1</v>
      </c>
    </row>
    <row r="163" spans="1:17" s="54" customFormat="1" ht="18" customHeight="1">
      <c r="A163" s="953"/>
      <c r="B163" s="881"/>
      <c r="C163" s="931"/>
      <c r="D163" s="701" t="s">
        <v>499</v>
      </c>
      <c r="E163" s="741" t="s">
        <v>500</v>
      </c>
      <c r="F163" s="754" t="s">
        <v>635</v>
      </c>
      <c r="G163" s="747" t="s">
        <v>635</v>
      </c>
      <c r="H163" s="441" t="s">
        <v>712</v>
      </c>
      <c r="I163" s="449" t="s">
        <v>413</v>
      </c>
      <c r="J163" s="371">
        <v>4</v>
      </c>
      <c r="K163" s="372">
        <f>260.3/1000</f>
        <v>0.26030000000000003</v>
      </c>
      <c r="L163" s="375" t="s">
        <v>414</v>
      </c>
      <c r="M163" s="24" t="s">
        <v>1</v>
      </c>
      <c r="N163" s="410">
        <f t="shared" si="6"/>
        <v>1750</v>
      </c>
      <c r="O163" s="637">
        <v>550</v>
      </c>
      <c r="P163" s="631">
        <v>1200</v>
      </c>
      <c r="Q163" s="24" t="s">
        <v>1</v>
      </c>
    </row>
    <row r="164" spans="1:17" s="54" customFormat="1" ht="18" customHeight="1">
      <c r="A164" s="953"/>
      <c r="B164" s="881"/>
      <c r="C164" s="931"/>
      <c r="D164" s="701" t="s">
        <v>499</v>
      </c>
      <c r="E164" s="741" t="s">
        <v>500</v>
      </c>
      <c r="F164" s="754" t="s">
        <v>635</v>
      </c>
      <c r="G164" s="747" t="s">
        <v>635</v>
      </c>
      <c r="H164" s="386" t="s">
        <v>337</v>
      </c>
      <c r="I164" s="387" t="s">
        <v>338</v>
      </c>
      <c r="J164" s="371">
        <v>18</v>
      </c>
      <c r="K164" s="374">
        <f>90.8/1000</f>
        <v>0.09079999999999999</v>
      </c>
      <c r="L164" s="373" t="s">
        <v>412</v>
      </c>
      <c r="M164" s="24" t="s">
        <v>1</v>
      </c>
      <c r="N164" s="410">
        <f t="shared" si="6"/>
        <v>1290</v>
      </c>
      <c r="O164" s="637">
        <v>410</v>
      </c>
      <c r="P164" s="631">
        <v>880</v>
      </c>
      <c r="Q164" s="24" t="s">
        <v>1</v>
      </c>
    </row>
    <row r="165" spans="1:17" s="54" customFormat="1" ht="18" customHeight="1">
      <c r="A165" s="953"/>
      <c r="B165" s="881"/>
      <c r="C165" s="931"/>
      <c r="D165" s="701" t="s">
        <v>499</v>
      </c>
      <c r="E165" s="741" t="s">
        <v>500</v>
      </c>
      <c r="F165" s="742" t="s">
        <v>635</v>
      </c>
      <c r="G165" s="745" t="s">
        <v>635</v>
      </c>
      <c r="H165" s="386" t="s">
        <v>693</v>
      </c>
      <c r="I165" s="387" t="s">
        <v>391</v>
      </c>
      <c r="J165" s="371">
        <v>7</v>
      </c>
      <c r="K165" s="374">
        <f>44.6/1000</f>
        <v>0.0446</v>
      </c>
      <c r="L165" s="373" t="s">
        <v>412</v>
      </c>
      <c r="M165" s="24" t="s">
        <v>1</v>
      </c>
      <c r="N165" s="410">
        <f t="shared" si="6"/>
        <v>1070</v>
      </c>
      <c r="O165" s="637">
        <v>360</v>
      </c>
      <c r="P165" s="631">
        <v>710</v>
      </c>
      <c r="Q165" s="24" t="s">
        <v>1</v>
      </c>
    </row>
    <row r="166" spans="1:17" s="54" customFormat="1" ht="18" customHeight="1">
      <c r="A166" s="953"/>
      <c r="B166" s="881"/>
      <c r="C166" s="931"/>
      <c r="D166" s="701" t="s">
        <v>499</v>
      </c>
      <c r="E166" s="741" t="s">
        <v>500</v>
      </c>
      <c r="F166" s="754" t="s">
        <v>635</v>
      </c>
      <c r="G166" s="449" t="s">
        <v>665</v>
      </c>
      <c r="H166" s="386" t="s">
        <v>748</v>
      </c>
      <c r="I166" s="387" t="s">
        <v>749</v>
      </c>
      <c r="J166" s="371">
        <v>37</v>
      </c>
      <c r="K166" s="374">
        <f>64.3/1000</f>
        <v>0.0643</v>
      </c>
      <c r="L166" s="373" t="s">
        <v>411</v>
      </c>
      <c r="M166" s="24" t="s">
        <v>1</v>
      </c>
      <c r="N166" s="410">
        <f t="shared" si="6"/>
        <v>1360</v>
      </c>
      <c r="O166" s="637">
        <v>440</v>
      </c>
      <c r="P166" s="631">
        <v>920</v>
      </c>
      <c r="Q166" s="24" t="s">
        <v>1</v>
      </c>
    </row>
    <row r="167" spans="1:17" s="54" customFormat="1" ht="18" customHeight="1">
      <c r="A167" s="953"/>
      <c r="B167" s="881"/>
      <c r="C167" s="931"/>
      <c r="D167" s="701" t="s">
        <v>499</v>
      </c>
      <c r="E167" s="741" t="s">
        <v>500</v>
      </c>
      <c r="F167" s="754" t="s">
        <v>639</v>
      </c>
      <c r="G167" s="747" t="s">
        <v>639</v>
      </c>
      <c r="H167" s="386" t="s">
        <v>699</v>
      </c>
      <c r="I167" s="387" t="s">
        <v>714</v>
      </c>
      <c r="J167" s="371">
        <v>2</v>
      </c>
      <c r="K167" s="374">
        <f>26.3/1000</f>
        <v>0.0263</v>
      </c>
      <c r="L167" s="375" t="s">
        <v>415</v>
      </c>
      <c r="M167" s="24" t="s">
        <v>1</v>
      </c>
      <c r="N167" s="410">
        <f t="shared" si="6"/>
        <v>920</v>
      </c>
      <c r="O167" s="637">
        <v>290</v>
      </c>
      <c r="P167" s="631">
        <v>630</v>
      </c>
      <c r="Q167" s="24" t="s">
        <v>1</v>
      </c>
    </row>
    <row r="168" spans="1:17" s="54" customFormat="1" ht="18" customHeight="1">
      <c r="A168" s="953"/>
      <c r="B168" s="881"/>
      <c r="C168" s="931"/>
      <c r="D168" s="701" t="s">
        <v>499</v>
      </c>
      <c r="E168" s="741" t="s">
        <v>500</v>
      </c>
      <c r="F168" s="744" t="s">
        <v>582</v>
      </c>
      <c r="G168" s="803" t="s">
        <v>583</v>
      </c>
      <c r="H168" s="386" t="s">
        <v>750</v>
      </c>
      <c r="I168" s="387" t="s">
        <v>751</v>
      </c>
      <c r="J168" s="371">
        <v>28</v>
      </c>
      <c r="K168" s="338">
        <f>99.4/1000</f>
        <v>0.0994</v>
      </c>
      <c r="L168" s="373" t="s">
        <v>410</v>
      </c>
      <c r="M168" s="24" t="s">
        <v>1</v>
      </c>
      <c r="N168" s="410">
        <f t="shared" si="6"/>
        <v>2950</v>
      </c>
      <c r="O168" s="637">
        <v>950</v>
      </c>
      <c r="P168" s="631">
        <v>2000</v>
      </c>
      <c r="Q168" s="24" t="s">
        <v>1</v>
      </c>
    </row>
    <row r="169" spans="1:17" s="54" customFormat="1" ht="18" customHeight="1">
      <c r="A169" s="954"/>
      <c r="B169" s="882"/>
      <c r="C169" s="907"/>
      <c r="D169" s="693" t="s">
        <v>547</v>
      </c>
      <c r="E169" s="807" t="s">
        <v>35</v>
      </c>
      <c r="F169" s="807" t="s">
        <v>35</v>
      </c>
      <c r="G169" s="808" t="s">
        <v>35</v>
      </c>
      <c r="H169" s="354" t="s">
        <v>35</v>
      </c>
      <c r="I169" s="411" t="s">
        <v>346</v>
      </c>
      <c r="J169" s="352" t="s">
        <v>35</v>
      </c>
      <c r="K169" s="353">
        <f>477.8/1000</f>
        <v>0.4778</v>
      </c>
      <c r="L169" s="354" t="s">
        <v>35</v>
      </c>
      <c r="M169" s="356" t="s">
        <v>35</v>
      </c>
      <c r="N169" s="412">
        <f t="shared" si="6"/>
        <v>4300</v>
      </c>
      <c r="O169" s="639">
        <v>1400</v>
      </c>
      <c r="P169" s="634">
        <v>2900</v>
      </c>
      <c r="Q169" s="356" t="s">
        <v>35</v>
      </c>
    </row>
    <row r="170" spans="1:17" s="420" customFormat="1" ht="18" customHeight="1">
      <c r="A170" s="413"/>
      <c r="B170" s="414"/>
      <c r="C170" s="312"/>
      <c r="D170" s="703"/>
      <c r="E170" s="415"/>
      <c r="F170" s="415"/>
      <c r="G170" s="415"/>
      <c r="H170" s="416"/>
      <c r="I170" s="313"/>
      <c r="J170" s="417"/>
      <c r="K170" s="418"/>
      <c r="L170" s="416"/>
      <c r="M170" s="48"/>
      <c r="N170" s="419"/>
      <c r="O170" s="113"/>
      <c r="P170" s="113"/>
      <c r="Q170" s="48"/>
    </row>
    <row r="171" spans="1:17" s="54" customFormat="1" ht="18" customHeight="1">
      <c r="A171" s="903" t="s">
        <v>3</v>
      </c>
      <c r="B171" s="904"/>
      <c r="C171" s="883" t="s">
        <v>313</v>
      </c>
      <c r="D171" s="908" t="s">
        <v>488</v>
      </c>
      <c r="E171" s="910" t="s">
        <v>489</v>
      </c>
      <c r="F171" s="912" t="s">
        <v>490</v>
      </c>
      <c r="G171" s="914" t="s">
        <v>491</v>
      </c>
      <c r="H171" s="852" t="s">
        <v>492</v>
      </c>
      <c r="I171" s="852" t="s">
        <v>493</v>
      </c>
      <c r="J171" s="894" t="s">
        <v>314</v>
      </c>
      <c r="K171" s="896" t="s">
        <v>315</v>
      </c>
      <c r="L171" s="898" t="s">
        <v>494</v>
      </c>
      <c r="M171" s="899"/>
      <c r="N171" s="900" t="s">
        <v>317</v>
      </c>
      <c r="O171" s="901"/>
      <c r="P171" s="902"/>
      <c r="Q171" s="876" t="s">
        <v>495</v>
      </c>
    </row>
    <row r="172" spans="1:20" s="54" customFormat="1" ht="18" customHeight="1">
      <c r="A172" s="905"/>
      <c r="B172" s="906"/>
      <c r="C172" s="907"/>
      <c r="D172" s="909"/>
      <c r="E172" s="911"/>
      <c r="F172" s="913"/>
      <c r="G172" s="915"/>
      <c r="H172" s="893"/>
      <c r="I172" s="893"/>
      <c r="J172" s="895"/>
      <c r="K172" s="897"/>
      <c r="L172" s="530" t="s">
        <v>316</v>
      </c>
      <c r="M172" s="529" t="s">
        <v>318</v>
      </c>
      <c r="N172" s="531" t="s">
        <v>319</v>
      </c>
      <c r="O172" s="618" t="s">
        <v>20</v>
      </c>
      <c r="P172" s="605" t="s">
        <v>21</v>
      </c>
      <c r="Q172" s="877"/>
      <c r="S172" s="532"/>
      <c r="T172" s="532"/>
    </row>
    <row r="173" spans="1:20" s="54" customFormat="1" ht="18" customHeight="1">
      <c r="A173" s="878" t="s">
        <v>550</v>
      </c>
      <c r="B173" s="876" t="s">
        <v>535</v>
      </c>
      <c r="C173" s="883">
        <v>41472</v>
      </c>
      <c r="D173" s="701" t="s">
        <v>499</v>
      </c>
      <c r="E173" s="741" t="s">
        <v>500</v>
      </c>
      <c r="F173" s="754" t="s">
        <v>635</v>
      </c>
      <c r="G173" s="747" t="s">
        <v>635</v>
      </c>
      <c r="H173" s="479" t="s">
        <v>712</v>
      </c>
      <c r="I173" s="480" t="s">
        <v>713</v>
      </c>
      <c r="J173" s="507">
        <v>2</v>
      </c>
      <c r="K173" s="508">
        <f>2251.7/1000</f>
        <v>2.2517</v>
      </c>
      <c r="L173" s="509" t="s">
        <v>450</v>
      </c>
      <c r="M173" s="484" t="s">
        <v>376</v>
      </c>
      <c r="N173" s="483">
        <f aca="true" t="shared" si="7" ref="N173:N180">SUM(O173,P173)</f>
        <v>710</v>
      </c>
      <c r="O173" s="654">
        <v>230</v>
      </c>
      <c r="P173" s="651">
        <v>480</v>
      </c>
      <c r="Q173" s="570">
        <v>1</v>
      </c>
      <c r="S173" s="532"/>
      <c r="T173" s="532"/>
    </row>
    <row r="174" spans="1:20" s="54" customFormat="1" ht="18" customHeight="1">
      <c r="A174" s="978"/>
      <c r="B174" s="881"/>
      <c r="C174" s="931"/>
      <c r="D174" s="701" t="s">
        <v>499</v>
      </c>
      <c r="E174" s="741" t="s">
        <v>500</v>
      </c>
      <c r="F174" s="787" t="s">
        <v>639</v>
      </c>
      <c r="G174" s="750" t="s">
        <v>639</v>
      </c>
      <c r="H174" s="386" t="s">
        <v>361</v>
      </c>
      <c r="I174" s="387" t="s">
        <v>714</v>
      </c>
      <c r="J174" s="371">
        <v>2</v>
      </c>
      <c r="K174" s="510">
        <f>86.7/1000</f>
        <v>0.0867</v>
      </c>
      <c r="L174" s="375" t="s">
        <v>436</v>
      </c>
      <c r="M174" s="377" t="s">
        <v>405</v>
      </c>
      <c r="N174" s="410">
        <f t="shared" si="7"/>
        <v>310</v>
      </c>
      <c r="O174" s="637">
        <v>100</v>
      </c>
      <c r="P174" s="631">
        <v>210</v>
      </c>
      <c r="Q174" s="24" t="s">
        <v>1</v>
      </c>
      <c r="S174" s="532"/>
      <c r="T174" s="532"/>
    </row>
    <row r="175" spans="1:20" s="54" customFormat="1" ht="18" customHeight="1">
      <c r="A175" s="978"/>
      <c r="B175" s="882"/>
      <c r="C175" s="907"/>
      <c r="D175" s="706" t="s">
        <v>499</v>
      </c>
      <c r="E175" s="756" t="s">
        <v>500</v>
      </c>
      <c r="F175" s="768" t="s">
        <v>582</v>
      </c>
      <c r="G175" s="769" t="s">
        <v>644</v>
      </c>
      <c r="H175" s="391" t="s">
        <v>645</v>
      </c>
      <c r="I175" s="392" t="s">
        <v>646</v>
      </c>
      <c r="J175" s="393">
        <v>3</v>
      </c>
      <c r="K175" s="511">
        <f>1902.4/1000</f>
        <v>1.9024</v>
      </c>
      <c r="L175" s="395" t="s">
        <v>438</v>
      </c>
      <c r="M175" s="396" t="s">
        <v>451</v>
      </c>
      <c r="N175" s="488">
        <f t="shared" si="7"/>
        <v>2650</v>
      </c>
      <c r="O175" s="655">
        <v>850</v>
      </c>
      <c r="P175" s="652">
        <v>1800</v>
      </c>
      <c r="Q175" s="511">
        <v>1.8</v>
      </c>
      <c r="S175" s="532"/>
      <c r="T175" s="532"/>
    </row>
    <row r="176" spans="1:17" s="54" customFormat="1" ht="18" customHeight="1">
      <c r="A176" s="978"/>
      <c r="B176" s="852" t="s">
        <v>536</v>
      </c>
      <c r="C176" s="883">
        <v>41472</v>
      </c>
      <c r="D176" s="696" t="s">
        <v>320</v>
      </c>
      <c r="E176" s="777" t="s">
        <v>35</v>
      </c>
      <c r="F176" s="778" t="s">
        <v>35</v>
      </c>
      <c r="G176" s="779" t="s">
        <v>35</v>
      </c>
      <c r="H176" s="537" t="s">
        <v>35</v>
      </c>
      <c r="I176" s="357" t="s">
        <v>321</v>
      </c>
      <c r="J176" s="319" t="s">
        <v>1</v>
      </c>
      <c r="K176" s="320">
        <f>89.05/1000</f>
        <v>0.08904999999999999</v>
      </c>
      <c r="L176" s="502" t="s">
        <v>1</v>
      </c>
      <c r="M176" s="323" t="s">
        <v>1</v>
      </c>
      <c r="N176" s="405">
        <f t="shared" si="7"/>
        <v>3400</v>
      </c>
      <c r="O176" s="640">
        <v>1100</v>
      </c>
      <c r="P176" s="607">
        <v>2300</v>
      </c>
      <c r="Q176" s="323" t="s">
        <v>1</v>
      </c>
    </row>
    <row r="177" spans="1:17" s="54" customFormat="1" ht="18" customHeight="1">
      <c r="A177" s="978"/>
      <c r="B177" s="881"/>
      <c r="C177" s="931"/>
      <c r="D177" s="696" t="s">
        <v>320</v>
      </c>
      <c r="E177" s="777" t="s">
        <v>35</v>
      </c>
      <c r="F177" s="778" t="s">
        <v>35</v>
      </c>
      <c r="G177" s="779" t="s">
        <v>35</v>
      </c>
      <c r="H177" s="537" t="s">
        <v>35</v>
      </c>
      <c r="I177" s="493" t="s">
        <v>421</v>
      </c>
      <c r="J177" s="494" t="s">
        <v>1</v>
      </c>
      <c r="K177" s="495">
        <f>50.96/1000</f>
        <v>0.05096</v>
      </c>
      <c r="L177" s="492" t="s">
        <v>1</v>
      </c>
      <c r="M177" s="497" t="s">
        <v>1</v>
      </c>
      <c r="N177" s="503">
        <f t="shared" si="7"/>
        <v>16.9</v>
      </c>
      <c r="O177" s="656">
        <v>4.9</v>
      </c>
      <c r="P177" s="653">
        <v>12</v>
      </c>
      <c r="Q177" s="364" t="s">
        <v>1</v>
      </c>
    </row>
    <row r="178" spans="1:17" s="54" customFormat="1" ht="18" customHeight="1">
      <c r="A178" s="978"/>
      <c r="B178" s="881"/>
      <c r="C178" s="931"/>
      <c r="D178" s="710" t="s">
        <v>511</v>
      </c>
      <c r="E178" s="791" t="s">
        <v>512</v>
      </c>
      <c r="F178" s="737" t="s">
        <v>715</v>
      </c>
      <c r="G178" s="802" t="s">
        <v>715</v>
      </c>
      <c r="H178" s="429" t="s">
        <v>716</v>
      </c>
      <c r="I178" s="430" t="s">
        <v>394</v>
      </c>
      <c r="J178" s="360" t="s">
        <v>1</v>
      </c>
      <c r="K178" s="406">
        <f>472.5/1000</f>
        <v>0.4725</v>
      </c>
      <c r="L178" s="448" t="s">
        <v>1</v>
      </c>
      <c r="M178" s="364" t="s">
        <v>1</v>
      </c>
      <c r="N178" s="432">
        <f t="shared" si="7"/>
        <v>620</v>
      </c>
      <c r="O178" s="650">
        <v>200</v>
      </c>
      <c r="P178" s="644">
        <v>420</v>
      </c>
      <c r="Q178" s="364" t="s">
        <v>1</v>
      </c>
    </row>
    <row r="179" spans="1:17" s="54" customFormat="1" ht="18" customHeight="1">
      <c r="A179" s="978"/>
      <c r="B179" s="881"/>
      <c r="C179" s="931"/>
      <c r="D179" s="696" t="s">
        <v>515</v>
      </c>
      <c r="E179" s="791" t="s">
        <v>514</v>
      </c>
      <c r="F179" s="737" t="s">
        <v>562</v>
      </c>
      <c r="G179" s="766" t="s">
        <v>717</v>
      </c>
      <c r="H179" s="429" t="s">
        <v>718</v>
      </c>
      <c r="I179" s="430" t="s">
        <v>719</v>
      </c>
      <c r="J179" s="360" t="s">
        <v>1</v>
      </c>
      <c r="K179" s="406">
        <f>462.5/1000</f>
        <v>0.4625</v>
      </c>
      <c r="L179" s="448" t="s">
        <v>1</v>
      </c>
      <c r="M179" s="364" t="s">
        <v>1</v>
      </c>
      <c r="N179" s="432">
        <f t="shared" si="7"/>
        <v>9.8</v>
      </c>
      <c r="O179" s="657">
        <v>3.1</v>
      </c>
      <c r="P179" s="643">
        <v>6.7</v>
      </c>
      <c r="Q179" s="364" t="s">
        <v>1</v>
      </c>
    </row>
    <row r="180" spans="1:17" s="54" customFormat="1" ht="18" customHeight="1">
      <c r="A180" s="978"/>
      <c r="B180" s="881"/>
      <c r="C180" s="931"/>
      <c r="D180" s="550" t="s">
        <v>496</v>
      </c>
      <c r="E180" s="551" t="s">
        <v>497</v>
      </c>
      <c r="F180" s="551" t="s">
        <v>720</v>
      </c>
      <c r="G180" s="533" t="s">
        <v>721</v>
      </c>
      <c r="H180" s="408" t="s">
        <v>322</v>
      </c>
      <c r="I180" s="331" t="s">
        <v>348</v>
      </c>
      <c r="J180" s="970">
        <v>257</v>
      </c>
      <c r="K180" s="980">
        <f>56.9/1000</f>
        <v>0.0569</v>
      </c>
      <c r="L180" s="974" t="s">
        <v>323</v>
      </c>
      <c r="M180" s="968" t="s">
        <v>1</v>
      </c>
      <c r="N180" s="963">
        <f t="shared" si="7"/>
        <v>340</v>
      </c>
      <c r="O180" s="965">
        <v>110</v>
      </c>
      <c r="P180" s="959">
        <v>230</v>
      </c>
      <c r="Q180" s="968" t="s">
        <v>1</v>
      </c>
    </row>
    <row r="181" spans="1:17" s="54" customFormat="1" ht="18" customHeight="1">
      <c r="A181" s="978"/>
      <c r="B181" s="881"/>
      <c r="C181" s="931"/>
      <c r="D181" s="550" t="s">
        <v>496</v>
      </c>
      <c r="E181" s="551" t="s">
        <v>497</v>
      </c>
      <c r="F181" s="552" t="s">
        <v>720</v>
      </c>
      <c r="G181" s="533" t="s">
        <v>721</v>
      </c>
      <c r="H181" s="408" t="s">
        <v>381</v>
      </c>
      <c r="I181" s="325" t="s">
        <v>722</v>
      </c>
      <c r="J181" s="964"/>
      <c r="K181" s="964"/>
      <c r="L181" s="975"/>
      <c r="M181" s="969"/>
      <c r="N181" s="964"/>
      <c r="O181" s="966"/>
      <c r="P181" s="967"/>
      <c r="Q181" s="969"/>
    </row>
    <row r="182" spans="1:17" s="54" customFormat="1" ht="18" customHeight="1">
      <c r="A182" s="978"/>
      <c r="B182" s="881"/>
      <c r="C182" s="931"/>
      <c r="D182" s="550" t="s">
        <v>496</v>
      </c>
      <c r="E182" s="551" t="s">
        <v>497</v>
      </c>
      <c r="F182" s="534" t="s">
        <v>723</v>
      </c>
      <c r="G182" s="558" t="s">
        <v>723</v>
      </c>
      <c r="H182" s="408" t="s">
        <v>724</v>
      </c>
      <c r="I182" s="365" t="s">
        <v>353</v>
      </c>
      <c r="J182" s="970">
        <v>83</v>
      </c>
      <c r="K182" s="972">
        <f>32.6/1000</f>
        <v>0.032600000000000004</v>
      </c>
      <c r="L182" s="974" t="s">
        <v>323</v>
      </c>
      <c r="M182" s="968" t="s">
        <v>1</v>
      </c>
      <c r="N182" s="963">
        <f>SUM(O182,P182)</f>
        <v>89</v>
      </c>
      <c r="O182" s="965">
        <v>31</v>
      </c>
      <c r="P182" s="959">
        <v>58</v>
      </c>
      <c r="Q182" s="961" t="s">
        <v>1</v>
      </c>
    </row>
    <row r="183" spans="1:17" s="54" customFormat="1" ht="18" customHeight="1">
      <c r="A183" s="978"/>
      <c r="B183" s="881"/>
      <c r="C183" s="931"/>
      <c r="D183" s="550" t="s">
        <v>496</v>
      </c>
      <c r="E183" s="551" t="s">
        <v>497</v>
      </c>
      <c r="F183" s="534" t="s">
        <v>723</v>
      </c>
      <c r="G183" s="559" t="s">
        <v>723</v>
      </c>
      <c r="H183" s="408" t="s">
        <v>351</v>
      </c>
      <c r="I183" s="368" t="s">
        <v>352</v>
      </c>
      <c r="J183" s="971"/>
      <c r="K183" s="973"/>
      <c r="L183" s="975"/>
      <c r="M183" s="964"/>
      <c r="N183" s="976"/>
      <c r="O183" s="977"/>
      <c r="P183" s="960"/>
      <c r="Q183" s="962"/>
    </row>
    <row r="184" spans="1:17" s="54" customFormat="1" ht="18" customHeight="1">
      <c r="A184" s="978"/>
      <c r="B184" s="881"/>
      <c r="C184" s="931"/>
      <c r="D184" s="701" t="s">
        <v>499</v>
      </c>
      <c r="E184" s="741" t="s">
        <v>500</v>
      </c>
      <c r="F184" s="754" t="s">
        <v>635</v>
      </c>
      <c r="G184" s="747" t="s">
        <v>635</v>
      </c>
      <c r="H184" s="386" t="s">
        <v>636</v>
      </c>
      <c r="I184" s="387" t="s">
        <v>637</v>
      </c>
      <c r="J184" s="371">
        <v>4</v>
      </c>
      <c r="K184" s="374">
        <f>40.9/1000</f>
        <v>0.0409</v>
      </c>
      <c r="L184" s="375" t="s">
        <v>436</v>
      </c>
      <c r="M184" s="377" t="s">
        <v>449</v>
      </c>
      <c r="N184" s="410">
        <f>SUM(O184,P184)</f>
        <v>255</v>
      </c>
      <c r="O184" s="637">
        <v>85</v>
      </c>
      <c r="P184" s="631">
        <v>170</v>
      </c>
      <c r="Q184" s="24" t="s">
        <v>1</v>
      </c>
    </row>
    <row r="185" spans="1:17" s="54" customFormat="1" ht="18" customHeight="1">
      <c r="A185" s="978"/>
      <c r="B185" s="881"/>
      <c r="C185" s="931"/>
      <c r="D185" s="701" t="s">
        <v>499</v>
      </c>
      <c r="E185" s="741" t="s">
        <v>500</v>
      </c>
      <c r="F185" s="787" t="s">
        <v>639</v>
      </c>
      <c r="G185" s="750" t="s">
        <v>639</v>
      </c>
      <c r="H185" s="386" t="s">
        <v>699</v>
      </c>
      <c r="I185" s="387" t="s">
        <v>714</v>
      </c>
      <c r="J185" s="371">
        <f>8</f>
        <v>8</v>
      </c>
      <c r="K185" s="374">
        <f>55.1/1000</f>
        <v>0.0551</v>
      </c>
      <c r="L185" s="375" t="s">
        <v>415</v>
      </c>
      <c r="M185" s="377" t="s">
        <v>376</v>
      </c>
      <c r="N185" s="410">
        <f>SUM(O185,P185)</f>
        <v>225</v>
      </c>
      <c r="O185" s="637">
        <v>75</v>
      </c>
      <c r="P185" s="631">
        <v>150</v>
      </c>
      <c r="Q185" s="24" t="s">
        <v>1</v>
      </c>
    </row>
    <row r="186" spans="1:17" s="54" customFormat="1" ht="18" customHeight="1">
      <c r="A186" s="978"/>
      <c r="B186" s="881"/>
      <c r="C186" s="931"/>
      <c r="D186" s="701" t="s">
        <v>499</v>
      </c>
      <c r="E186" s="741" t="s">
        <v>500</v>
      </c>
      <c r="F186" s="767" t="s">
        <v>582</v>
      </c>
      <c r="G186" s="803" t="s">
        <v>583</v>
      </c>
      <c r="H186" s="386" t="s">
        <v>725</v>
      </c>
      <c r="I186" s="387" t="s">
        <v>726</v>
      </c>
      <c r="J186" s="371">
        <v>42</v>
      </c>
      <c r="K186" s="374">
        <f>47.8/1000</f>
        <v>0.047799999999999995</v>
      </c>
      <c r="L186" s="373" t="s">
        <v>412</v>
      </c>
      <c r="M186" s="24" t="s">
        <v>1</v>
      </c>
      <c r="N186" s="410">
        <f>SUM(O186,P186)</f>
        <v>287</v>
      </c>
      <c r="O186" s="637">
        <v>97</v>
      </c>
      <c r="P186" s="631">
        <v>190</v>
      </c>
      <c r="Q186" s="24" t="s">
        <v>1</v>
      </c>
    </row>
    <row r="187" spans="1:17" s="54" customFormat="1" ht="18" customHeight="1">
      <c r="A187" s="979"/>
      <c r="B187" s="882"/>
      <c r="C187" s="907"/>
      <c r="D187" s="693" t="s">
        <v>547</v>
      </c>
      <c r="E187" s="804" t="s">
        <v>35</v>
      </c>
      <c r="F187" s="800" t="s">
        <v>35</v>
      </c>
      <c r="G187" s="805" t="s">
        <v>35</v>
      </c>
      <c r="H187" s="504" t="s">
        <v>35</v>
      </c>
      <c r="I187" s="505" t="s">
        <v>346</v>
      </c>
      <c r="J187" s="506" t="s">
        <v>1</v>
      </c>
      <c r="K187" s="353">
        <f>441.5/1000</f>
        <v>0.4415</v>
      </c>
      <c r="L187" s="354" t="s">
        <v>1</v>
      </c>
      <c r="M187" s="356" t="s">
        <v>1</v>
      </c>
      <c r="N187" s="412">
        <f>SUM(O187,P187)</f>
        <v>560</v>
      </c>
      <c r="O187" s="639">
        <v>180</v>
      </c>
      <c r="P187" s="634">
        <v>380</v>
      </c>
      <c r="Q187" s="356" t="s">
        <v>1</v>
      </c>
    </row>
    <row r="188" spans="1:17" s="420" customFormat="1" ht="18" customHeight="1">
      <c r="A188" s="413"/>
      <c r="B188" s="414"/>
      <c r="C188" s="312"/>
      <c r="D188" s="703"/>
      <c r="E188" s="415"/>
      <c r="F188" s="415"/>
      <c r="G188" s="415"/>
      <c r="H188" s="416"/>
      <c r="I188" s="313"/>
      <c r="J188" s="417"/>
      <c r="K188" s="418"/>
      <c r="L188" s="416"/>
      <c r="M188" s="48"/>
      <c r="N188" s="419"/>
      <c r="O188" s="113"/>
      <c r="P188" s="113"/>
      <c r="Q188" s="48"/>
    </row>
    <row r="189" spans="1:17" s="54" customFormat="1" ht="18" customHeight="1">
      <c r="A189" s="903" t="s">
        <v>3</v>
      </c>
      <c r="B189" s="904"/>
      <c r="C189" s="883" t="s">
        <v>313</v>
      </c>
      <c r="D189" s="908" t="s">
        <v>488</v>
      </c>
      <c r="E189" s="910" t="s">
        <v>489</v>
      </c>
      <c r="F189" s="912" t="s">
        <v>490</v>
      </c>
      <c r="G189" s="914" t="s">
        <v>491</v>
      </c>
      <c r="H189" s="852" t="s">
        <v>492</v>
      </c>
      <c r="I189" s="852" t="s">
        <v>493</v>
      </c>
      <c r="J189" s="894" t="s">
        <v>314</v>
      </c>
      <c r="K189" s="896" t="s">
        <v>315</v>
      </c>
      <c r="L189" s="898" t="s">
        <v>494</v>
      </c>
      <c r="M189" s="899"/>
      <c r="N189" s="900" t="s">
        <v>317</v>
      </c>
      <c r="O189" s="901"/>
      <c r="P189" s="902"/>
      <c r="Q189" s="876" t="s">
        <v>495</v>
      </c>
    </row>
    <row r="190" spans="1:20" s="54" customFormat="1" ht="18" customHeight="1">
      <c r="A190" s="905"/>
      <c r="B190" s="906"/>
      <c r="C190" s="907"/>
      <c r="D190" s="909"/>
      <c r="E190" s="911"/>
      <c r="F190" s="913"/>
      <c r="G190" s="915"/>
      <c r="H190" s="893"/>
      <c r="I190" s="893"/>
      <c r="J190" s="895"/>
      <c r="K190" s="897"/>
      <c r="L190" s="530" t="s">
        <v>316</v>
      </c>
      <c r="M190" s="529" t="s">
        <v>318</v>
      </c>
      <c r="N190" s="531" t="s">
        <v>319</v>
      </c>
      <c r="O190" s="618" t="s">
        <v>20</v>
      </c>
      <c r="P190" s="605" t="s">
        <v>21</v>
      </c>
      <c r="Q190" s="877"/>
      <c r="S190" s="532"/>
      <c r="T190" s="532"/>
    </row>
    <row r="191" spans="1:17" s="54" customFormat="1" ht="18" customHeight="1">
      <c r="A191" s="878" t="s">
        <v>420</v>
      </c>
      <c r="B191" s="876" t="s">
        <v>532</v>
      </c>
      <c r="C191" s="883">
        <v>41467</v>
      </c>
      <c r="D191" s="543" t="s">
        <v>320</v>
      </c>
      <c r="E191" s="789" t="s">
        <v>35</v>
      </c>
      <c r="F191" s="730" t="s">
        <v>35</v>
      </c>
      <c r="G191" s="779" t="s">
        <v>35</v>
      </c>
      <c r="H191" s="537" t="s">
        <v>35</v>
      </c>
      <c r="I191" s="357" t="s">
        <v>421</v>
      </c>
      <c r="J191" s="319" t="s">
        <v>1</v>
      </c>
      <c r="K191" s="320">
        <f>48.76/1000</f>
        <v>0.04876</v>
      </c>
      <c r="L191" s="448" t="s">
        <v>1</v>
      </c>
      <c r="M191" s="323" t="s">
        <v>1</v>
      </c>
      <c r="N191" s="453">
        <f>SUM(O191,P191)</f>
        <v>1.3</v>
      </c>
      <c r="O191" s="629" t="s">
        <v>679</v>
      </c>
      <c r="P191" s="659">
        <v>1.3</v>
      </c>
      <c r="Q191" s="323" t="s">
        <v>1</v>
      </c>
    </row>
    <row r="192" spans="1:17" s="54" customFormat="1" ht="18" customHeight="1">
      <c r="A192" s="953"/>
      <c r="B192" s="881"/>
      <c r="C192" s="931"/>
      <c r="D192" s="790" t="s">
        <v>515</v>
      </c>
      <c r="E192" s="791" t="s">
        <v>514</v>
      </c>
      <c r="F192" s="737" t="s">
        <v>654</v>
      </c>
      <c r="G192" s="766" t="s">
        <v>654</v>
      </c>
      <c r="H192" s="429" t="s">
        <v>422</v>
      </c>
      <c r="I192" s="430" t="s">
        <v>656</v>
      </c>
      <c r="J192" s="360" t="s">
        <v>1</v>
      </c>
      <c r="K192" s="406">
        <f>340/1000</f>
        <v>0.34</v>
      </c>
      <c r="L192" s="431" t="s">
        <v>1</v>
      </c>
      <c r="M192" s="364" t="s">
        <v>1</v>
      </c>
      <c r="N192" s="454">
        <f>SUM(O192,P192)</f>
        <v>7.300000000000001</v>
      </c>
      <c r="O192" s="657">
        <v>2.4</v>
      </c>
      <c r="P192" s="660">
        <v>4.9</v>
      </c>
      <c r="Q192" s="364" t="s">
        <v>1</v>
      </c>
    </row>
    <row r="193" spans="1:17" s="54" customFormat="1" ht="18" customHeight="1">
      <c r="A193" s="953"/>
      <c r="B193" s="881"/>
      <c r="C193" s="931"/>
      <c r="D193" s="715" t="s">
        <v>516</v>
      </c>
      <c r="E193" s="552" t="s">
        <v>497</v>
      </c>
      <c r="F193" s="792" t="s">
        <v>680</v>
      </c>
      <c r="G193" s="793" t="s">
        <v>681</v>
      </c>
      <c r="H193" s="408" t="s">
        <v>682</v>
      </c>
      <c r="I193" s="325" t="s">
        <v>683</v>
      </c>
      <c r="J193" s="326">
        <v>23</v>
      </c>
      <c r="K193" s="366">
        <f>1.2/1000</f>
        <v>0.0012</v>
      </c>
      <c r="L193" s="328" t="s">
        <v>424</v>
      </c>
      <c r="M193" s="330" t="s">
        <v>1</v>
      </c>
      <c r="N193" s="716" t="s">
        <v>617</v>
      </c>
      <c r="O193" s="717" t="s">
        <v>684</v>
      </c>
      <c r="P193" s="718" t="s">
        <v>685</v>
      </c>
      <c r="Q193" s="330" t="s">
        <v>1</v>
      </c>
    </row>
    <row r="194" spans="1:17" s="54" customFormat="1" ht="18" customHeight="1">
      <c r="A194" s="953"/>
      <c r="B194" s="881"/>
      <c r="C194" s="931"/>
      <c r="D194" s="707" t="s">
        <v>516</v>
      </c>
      <c r="E194" s="752" t="s">
        <v>503</v>
      </c>
      <c r="F194" s="562" t="s">
        <v>504</v>
      </c>
      <c r="G194" s="458" t="s">
        <v>686</v>
      </c>
      <c r="H194" s="386" t="s">
        <v>687</v>
      </c>
      <c r="I194" s="387" t="s">
        <v>688</v>
      </c>
      <c r="J194" s="371">
        <v>57</v>
      </c>
      <c r="K194" s="388">
        <v>2.2</v>
      </c>
      <c r="L194" s="373" t="s">
        <v>418</v>
      </c>
      <c r="M194" s="24" t="s">
        <v>1</v>
      </c>
      <c r="N194" s="410">
        <f aca="true" t="shared" si="8" ref="N194:N214">SUM(O194,P194)</f>
        <v>77</v>
      </c>
      <c r="O194" s="645">
        <v>24</v>
      </c>
      <c r="P194" s="630">
        <v>53</v>
      </c>
      <c r="Q194" s="588">
        <v>8.5</v>
      </c>
    </row>
    <row r="195" spans="1:17" s="54" customFormat="1" ht="18" customHeight="1">
      <c r="A195" s="953"/>
      <c r="B195" s="881"/>
      <c r="C195" s="931"/>
      <c r="D195" s="553" t="s">
        <v>510</v>
      </c>
      <c r="E195" s="562" t="s">
        <v>507</v>
      </c>
      <c r="F195" s="562" t="s">
        <v>508</v>
      </c>
      <c r="G195" s="775" t="s">
        <v>689</v>
      </c>
      <c r="H195" s="332" t="s">
        <v>690</v>
      </c>
      <c r="I195" s="333" t="s">
        <v>689</v>
      </c>
      <c r="J195" s="371">
        <v>157</v>
      </c>
      <c r="K195" s="335">
        <f>140.3/1000</f>
        <v>0.1403</v>
      </c>
      <c r="L195" s="373" t="s">
        <v>418</v>
      </c>
      <c r="M195" s="24" t="s">
        <v>1</v>
      </c>
      <c r="N195" s="410">
        <f t="shared" si="8"/>
        <v>60</v>
      </c>
      <c r="O195" s="645">
        <v>19</v>
      </c>
      <c r="P195" s="630">
        <v>41</v>
      </c>
      <c r="Q195" s="33" t="s">
        <v>1</v>
      </c>
    </row>
    <row r="196" spans="1:17" s="54" customFormat="1" ht="18" customHeight="1">
      <c r="A196" s="953"/>
      <c r="B196" s="881"/>
      <c r="C196" s="931"/>
      <c r="D196" s="553" t="s">
        <v>499</v>
      </c>
      <c r="E196" s="562" t="s">
        <v>500</v>
      </c>
      <c r="F196" s="749" t="s">
        <v>676</v>
      </c>
      <c r="G196" s="750" t="s">
        <v>676</v>
      </c>
      <c r="H196" s="386" t="s">
        <v>677</v>
      </c>
      <c r="I196" s="387" t="s">
        <v>678</v>
      </c>
      <c r="J196" s="371">
        <v>111</v>
      </c>
      <c r="K196" s="433">
        <f>489.7/1000</f>
        <v>0.48969999999999997</v>
      </c>
      <c r="L196" s="373" t="s">
        <v>410</v>
      </c>
      <c r="M196" s="459" t="s">
        <v>1</v>
      </c>
      <c r="N196" s="410">
        <f>SUM(O196,P196)</f>
        <v>25.2</v>
      </c>
      <c r="O196" s="664">
        <v>8.2</v>
      </c>
      <c r="P196" s="631">
        <v>17</v>
      </c>
      <c r="Q196" s="24" t="s">
        <v>1</v>
      </c>
    </row>
    <row r="197" spans="1:17" s="54" customFormat="1" ht="18" customHeight="1">
      <c r="A197" s="953"/>
      <c r="B197" s="881"/>
      <c r="C197" s="931"/>
      <c r="D197" s="553" t="s">
        <v>499</v>
      </c>
      <c r="E197" s="562" t="s">
        <v>500</v>
      </c>
      <c r="F197" s="752" t="s">
        <v>635</v>
      </c>
      <c r="G197" s="775" t="s">
        <v>635</v>
      </c>
      <c r="H197" s="332" t="s">
        <v>691</v>
      </c>
      <c r="I197" s="387" t="s">
        <v>692</v>
      </c>
      <c r="J197" s="371">
        <v>29</v>
      </c>
      <c r="K197" s="372">
        <f>126/1000</f>
        <v>0.126</v>
      </c>
      <c r="L197" s="373" t="s">
        <v>419</v>
      </c>
      <c r="M197" s="24" t="s">
        <v>1</v>
      </c>
      <c r="N197" s="410">
        <f t="shared" si="8"/>
        <v>16.2</v>
      </c>
      <c r="O197" s="663">
        <v>5.2</v>
      </c>
      <c r="P197" s="630">
        <v>11</v>
      </c>
      <c r="Q197" s="33" t="s">
        <v>1</v>
      </c>
    </row>
    <row r="198" spans="1:17" s="54" customFormat="1" ht="18" customHeight="1">
      <c r="A198" s="953"/>
      <c r="B198" s="881"/>
      <c r="C198" s="931"/>
      <c r="D198" s="553" t="s">
        <v>499</v>
      </c>
      <c r="E198" s="562" t="s">
        <v>500</v>
      </c>
      <c r="F198" s="752" t="s">
        <v>635</v>
      </c>
      <c r="G198" s="775" t="s">
        <v>635</v>
      </c>
      <c r="H198" s="386" t="s">
        <v>693</v>
      </c>
      <c r="I198" s="387" t="s">
        <v>694</v>
      </c>
      <c r="J198" s="371">
        <v>35</v>
      </c>
      <c r="K198" s="388">
        <f>1026.8/1000</f>
        <v>1.0268</v>
      </c>
      <c r="L198" s="373" t="s">
        <v>410</v>
      </c>
      <c r="M198" s="24" t="s">
        <v>1</v>
      </c>
      <c r="N198" s="410">
        <f t="shared" si="8"/>
        <v>56</v>
      </c>
      <c r="O198" s="645">
        <v>17</v>
      </c>
      <c r="P198" s="630">
        <v>39</v>
      </c>
      <c r="Q198" s="33" t="s">
        <v>1</v>
      </c>
    </row>
    <row r="199" spans="1:17" s="54" customFormat="1" ht="18" customHeight="1">
      <c r="A199" s="953"/>
      <c r="B199" s="881"/>
      <c r="C199" s="931"/>
      <c r="D199" s="553" t="s">
        <v>499</v>
      </c>
      <c r="E199" s="562" t="s">
        <v>500</v>
      </c>
      <c r="F199" s="752" t="s">
        <v>635</v>
      </c>
      <c r="G199" s="775" t="s">
        <v>635</v>
      </c>
      <c r="H199" s="386" t="s">
        <v>636</v>
      </c>
      <c r="I199" s="387" t="s">
        <v>637</v>
      </c>
      <c r="J199" s="371">
        <v>35</v>
      </c>
      <c r="K199" s="388">
        <f>3618/1000</f>
        <v>3.618</v>
      </c>
      <c r="L199" s="373" t="s">
        <v>410</v>
      </c>
      <c r="M199" s="377" t="s">
        <v>425</v>
      </c>
      <c r="N199" s="410">
        <f t="shared" si="8"/>
        <v>102</v>
      </c>
      <c r="O199" s="645">
        <v>31</v>
      </c>
      <c r="P199" s="630">
        <v>71</v>
      </c>
      <c r="Q199" s="33" t="s">
        <v>1</v>
      </c>
    </row>
    <row r="200" spans="1:17" s="54" customFormat="1" ht="18" customHeight="1">
      <c r="A200" s="953"/>
      <c r="B200" s="881"/>
      <c r="C200" s="931"/>
      <c r="D200" s="553" t="s">
        <v>499</v>
      </c>
      <c r="E200" s="562" t="s">
        <v>500</v>
      </c>
      <c r="F200" s="752" t="s">
        <v>635</v>
      </c>
      <c r="G200" s="775" t="s">
        <v>635</v>
      </c>
      <c r="H200" s="386" t="s">
        <v>695</v>
      </c>
      <c r="I200" s="387" t="s">
        <v>426</v>
      </c>
      <c r="J200" s="371">
        <v>12</v>
      </c>
      <c r="K200" s="388">
        <f>2612.1/1000</f>
        <v>2.6121</v>
      </c>
      <c r="L200" s="375" t="s">
        <v>427</v>
      </c>
      <c r="M200" s="377" t="s">
        <v>696</v>
      </c>
      <c r="N200" s="410">
        <f t="shared" si="8"/>
        <v>136</v>
      </c>
      <c r="O200" s="645">
        <v>42</v>
      </c>
      <c r="P200" s="630">
        <v>94</v>
      </c>
      <c r="Q200" s="588">
        <v>1.6</v>
      </c>
    </row>
    <row r="201" spans="1:17" s="54" customFormat="1" ht="18" customHeight="1">
      <c r="A201" s="953"/>
      <c r="B201" s="881"/>
      <c r="C201" s="931"/>
      <c r="D201" s="553" t="s">
        <v>499</v>
      </c>
      <c r="E201" s="562" t="s">
        <v>500</v>
      </c>
      <c r="F201" s="752" t="s">
        <v>635</v>
      </c>
      <c r="G201" s="775" t="s">
        <v>635</v>
      </c>
      <c r="H201" s="386" t="s">
        <v>675</v>
      </c>
      <c r="I201" s="387" t="s">
        <v>697</v>
      </c>
      <c r="J201" s="371">
        <v>12</v>
      </c>
      <c r="K201" s="388">
        <f>6075/1000</f>
        <v>6.075</v>
      </c>
      <c r="L201" s="375" t="s">
        <v>428</v>
      </c>
      <c r="M201" s="377" t="s">
        <v>376</v>
      </c>
      <c r="N201" s="410">
        <f t="shared" si="8"/>
        <v>116</v>
      </c>
      <c r="O201" s="645">
        <v>36</v>
      </c>
      <c r="P201" s="630">
        <v>80</v>
      </c>
      <c r="Q201" s="588">
        <v>1.2</v>
      </c>
    </row>
    <row r="202" spans="1:17" s="54" customFormat="1" ht="18" customHeight="1">
      <c r="A202" s="953"/>
      <c r="B202" s="881"/>
      <c r="C202" s="931"/>
      <c r="D202" s="553" t="s">
        <v>499</v>
      </c>
      <c r="E202" s="562" t="s">
        <v>500</v>
      </c>
      <c r="F202" s="752" t="s">
        <v>635</v>
      </c>
      <c r="G202" s="775" t="s">
        <v>635</v>
      </c>
      <c r="H202" s="441" t="s">
        <v>698</v>
      </c>
      <c r="I202" s="387" t="s">
        <v>635</v>
      </c>
      <c r="J202" s="371">
        <v>1</v>
      </c>
      <c r="K202" s="388">
        <f>1809/1000</f>
        <v>1.809</v>
      </c>
      <c r="L202" s="375" t="s">
        <v>429</v>
      </c>
      <c r="M202" s="377" t="s">
        <v>376</v>
      </c>
      <c r="N202" s="410">
        <f t="shared" si="8"/>
        <v>51</v>
      </c>
      <c r="O202" s="645">
        <v>16</v>
      </c>
      <c r="P202" s="630">
        <v>35</v>
      </c>
      <c r="Q202" s="33" t="s">
        <v>1</v>
      </c>
    </row>
    <row r="203" spans="1:17" s="54" customFormat="1" ht="18" customHeight="1">
      <c r="A203" s="953"/>
      <c r="B203" s="881"/>
      <c r="C203" s="931"/>
      <c r="D203" s="553" t="s">
        <v>499</v>
      </c>
      <c r="E203" s="562" t="s">
        <v>500</v>
      </c>
      <c r="F203" s="754" t="s">
        <v>639</v>
      </c>
      <c r="G203" s="449" t="s">
        <v>639</v>
      </c>
      <c r="H203" s="386" t="s">
        <v>699</v>
      </c>
      <c r="I203" s="387" t="s">
        <v>430</v>
      </c>
      <c r="J203" s="371">
        <v>1</v>
      </c>
      <c r="K203" s="374">
        <f>47.6/1000</f>
        <v>0.0476</v>
      </c>
      <c r="L203" s="375" t="s">
        <v>431</v>
      </c>
      <c r="M203" s="377" t="s">
        <v>423</v>
      </c>
      <c r="N203" s="410">
        <f t="shared" si="8"/>
        <v>40</v>
      </c>
      <c r="O203" s="645">
        <v>13</v>
      </c>
      <c r="P203" s="630">
        <v>27</v>
      </c>
      <c r="Q203" s="33" t="s">
        <v>1</v>
      </c>
    </row>
    <row r="204" spans="1:17" s="54" customFormat="1" ht="18" customHeight="1">
      <c r="A204" s="953"/>
      <c r="B204" s="881"/>
      <c r="C204" s="931"/>
      <c r="D204" s="553" t="s">
        <v>499</v>
      </c>
      <c r="E204" s="562" t="s">
        <v>500</v>
      </c>
      <c r="F204" s="754" t="s">
        <v>639</v>
      </c>
      <c r="G204" s="747" t="s">
        <v>639</v>
      </c>
      <c r="H204" s="386" t="s">
        <v>699</v>
      </c>
      <c r="I204" s="387" t="s">
        <v>432</v>
      </c>
      <c r="J204" s="371">
        <v>1</v>
      </c>
      <c r="K204" s="433">
        <f>163.3/1000</f>
        <v>0.1633</v>
      </c>
      <c r="L204" s="373" t="s">
        <v>410</v>
      </c>
      <c r="M204" s="377" t="s">
        <v>433</v>
      </c>
      <c r="N204" s="410">
        <f t="shared" si="8"/>
        <v>92</v>
      </c>
      <c r="O204" s="645">
        <v>31</v>
      </c>
      <c r="P204" s="630">
        <v>61</v>
      </c>
      <c r="Q204" s="33" t="s">
        <v>1</v>
      </c>
    </row>
    <row r="205" spans="1:17" s="54" customFormat="1" ht="18" customHeight="1">
      <c r="A205" s="953"/>
      <c r="B205" s="881"/>
      <c r="C205" s="931"/>
      <c r="D205" s="553" t="s">
        <v>499</v>
      </c>
      <c r="E205" s="562" t="s">
        <v>500</v>
      </c>
      <c r="F205" s="754" t="s">
        <v>639</v>
      </c>
      <c r="G205" s="747" t="s">
        <v>639</v>
      </c>
      <c r="H205" s="386" t="s">
        <v>642</v>
      </c>
      <c r="I205" s="387" t="s">
        <v>643</v>
      </c>
      <c r="J205" s="371">
        <v>2</v>
      </c>
      <c r="K205" s="433">
        <f>446/1000</f>
        <v>0.446</v>
      </c>
      <c r="L205" s="373" t="s">
        <v>410</v>
      </c>
      <c r="M205" s="377" t="s">
        <v>376</v>
      </c>
      <c r="N205" s="410">
        <f t="shared" si="8"/>
        <v>113</v>
      </c>
      <c r="O205" s="645">
        <v>38</v>
      </c>
      <c r="P205" s="630">
        <v>75</v>
      </c>
      <c r="Q205" s="33" t="s">
        <v>1</v>
      </c>
    </row>
    <row r="206" spans="1:17" s="54" customFormat="1" ht="18" customHeight="1">
      <c r="A206" s="953"/>
      <c r="B206" s="881"/>
      <c r="C206" s="931"/>
      <c r="D206" s="553" t="s">
        <v>499</v>
      </c>
      <c r="E206" s="562" t="s">
        <v>500</v>
      </c>
      <c r="F206" s="754" t="s">
        <v>582</v>
      </c>
      <c r="G206" s="747" t="s">
        <v>644</v>
      </c>
      <c r="H206" s="386" t="s">
        <v>645</v>
      </c>
      <c r="I206" s="387" t="s">
        <v>646</v>
      </c>
      <c r="J206" s="371">
        <v>11</v>
      </c>
      <c r="K206" s="388">
        <f>5028/1000</f>
        <v>5.028</v>
      </c>
      <c r="L206" s="375" t="s">
        <v>428</v>
      </c>
      <c r="M206" s="377" t="s">
        <v>433</v>
      </c>
      <c r="N206" s="410">
        <f t="shared" si="8"/>
        <v>264</v>
      </c>
      <c r="O206" s="645">
        <v>84</v>
      </c>
      <c r="P206" s="630">
        <v>180</v>
      </c>
      <c r="Q206" s="588">
        <v>1.2</v>
      </c>
    </row>
    <row r="207" spans="1:17" s="54" customFormat="1" ht="18" customHeight="1">
      <c r="A207" s="953"/>
      <c r="B207" s="881"/>
      <c r="C207" s="931"/>
      <c r="D207" s="554" t="s">
        <v>499</v>
      </c>
      <c r="E207" s="783" t="s">
        <v>498</v>
      </c>
      <c r="F207" s="794" t="s">
        <v>501</v>
      </c>
      <c r="G207" s="795" t="s">
        <v>700</v>
      </c>
      <c r="H207" s="452" t="s">
        <v>701</v>
      </c>
      <c r="I207" s="435" t="s">
        <v>702</v>
      </c>
      <c r="J207" s="955">
        <v>6</v>
      </c>
      <c r="K207" s="957">
        <v>0.047</v>
      </c>
      <c r="L207" s="938" t="s">
        <v>418</v>
      </c>
      <c r="M207" s="941" t="s">
        <v>1</v>
      </c>
      <c r="N207" s="944">
        <f t="shared" si="8"/>
        <v>55</v>
      </c>
      <c r="O207" s="946">
        <v>18</v>
      </c>
      <c r="P207" s="949">
        <v>37</v>
      </c>
      <c r="Q207" s="941" t="s">
        <v>1</v>
      </c>
    </row>
    <row r="208" spans="1:17" s="54" customFormat="1" ht="18" customHeight="1">
      <c r="A208" s="953"/>
      <c r="B208" s="881"/>
      <c r="C208" s="931"/>
      <c r="D208" s="554" t="s">
        <v>499</v>
      </c>
      <c r="E208" s="783" t="s">
        <v>498</v>
      </c>
      <c r="F208" s="794" t="s">
        <v>501</v>
      </c>
      <c r="G208" s="795" t="s">
        <v>700</v>
      </c>
      <c r="H208" s="452" t="s">
        <v>703</v>
      </c>
      <c r="I208" s="435" t="s">
        <v>704</v>
      </c>
      <c r="J208" s="956"/>
      <c r="K208" s="958"/>
      <c r="L208" s="939"/>
      <c r="M208" s="942"/>
      <c r="N208" s="945">
        <f t="shared" si="8"/>
        <v>0</v>
      </c>
      <c r="O208" s="947"/>
      <c r="P208" s="950"/>
      <c r="Q208" s="952"/>
    </row>
    <row r="209" spans="1:17" s="54" customFormat="1" ht="18" customHeight="1">
      <c r="A209" s="953"/>
      <c r="B209" s="881"/>
      <c r="C209" s="931"/>
      <c r="D209" s="554" t="s">
        <v>499</v>
      </c>
      <c r="E209" s="783" t="s">
        <v>498</v>
      </c>
      <c r="F209" s="796" t="s">
        <v>501</v>
      </c>
      <c r="G209" s="797" t="s">
        <v>670</v>
      </c>
      <c r="H209" s="452" t="s">
        <v>705</v>
      </c>
      <c r="I209" s="435" t="s">
        <v>706</v>
      </c>
      <c r="J209" s="956"/>
      <c r="K209" s="958"/>
      <c r="L209" s="939"/>
      <c r="M209" s="942"/>
      <c r="N209" s="945">
        <f t="shared" si="8"/>
        <v>0</v>
      </c>
      <c r="O209" s="947"/>
      <c r="P209" s="950"/>
      <c r="Q209" s="952"/>
    </row>
    <row r="210" spans="1:17" s="54" customFormat="1" ht="18" customHeight="1">
      <c r="A210" s="953"/>
      <c r="B210" s="881"/>
      <c r="C210" s="931"/>
      <c r="D210" s="554" t="s">
        <v>499</v>
      </c>
      <c r="E210" s="783" t="s">
        <v>498</v>
      </c>
      <c r="F210" s="796" t="s">
        <v>501</v>
      </c>
      <c r="G210" s="797" t="s">
        <v>670</v>
      </c>
      <c r="H210" s="452" t="s">
        <v>671</v>
      </c>
      <c r="I210" s="435" t="s">
        <v>672</v>
      </c>
      <c r="J210" s="956"/>
      <c r="K210" s="958"/>
      <c r="L210" s="939"/>
      <c r="M210" s="942"/>
      <c r="N210" s="945">
        <f t="shared" si="8"/>
        <v>0</v>
      </c>
      <c r="O210" s="947"/>
      <c r="P210" s="950"/>
      <c r="Q210" s="952"/>
    </row>
    <row r="211" spans="1:17" s="54" customFormat="1" ht="18" customHeight="1">
      <c r="A211" s="953"/>
      <c r="B211" s="881"/>
      <c r="C211" s="931"/>
      <c r="D211" s="554" t="s">
        <v>499</v>
      </c>
      <c r="E211" s="783" t="s">
        <v>498</v>
      </c>
      <c r="F211" s="794" t="s">
        <v>501</v>
      </c>
      <c r="G211" s="785" t="s">
        <v>707</v>
      </c>
      <c r="H211" s="452" t="s">
        <v>708</v>
      </c>
      <c r="I211" s="435" t="s">
        <v>709</v>
      </c>
      <c r="J211" s="943"/>
      <c r="K211" s="943"/>
      <c r="L211" s="940"/>
      <c r="M211" s="943"/>
      <c r="N211" s="943"/>
      <c r="O211" s="948"/>
      <c r="P211" s="951"/>
      <c r="Q211" s="940"/>
    </row>
    <row r="212" spans="1:17" s="54" customFormat="1" ht="18" customHeight="1">
      <c r="A212" s="953"/>
      <c r="B212" s="881"/>
      <c r="C212" s="931"/>
      <c r="D212" s="554" t="s">
        <v>499</v>
      </c>
      <c r="E212" s="783" t="s">
        <v>498</v>
      </c>
      <c r="F212" s="796" t="s">
        <v>502</v>
      </c>
      <c r="G212" s="797" t="s">
        <v>710</v>
      </c>
      <c r="H212" s="452" t="s">
        <v>711</v>
      </c>
      <c r="I212" s="435" t="s">
        <v>345</v>
      </c>
      <c r="J212" s="343">
        <v>18</v>
      </c>
      <c r="K212" s="460">
        <v>0.093</v>
      </c>
      <c r="L212" s="461" t="s">
        <v>418</v>
      </c>
      <c r="M212" s="462" t="s">
        <v>1</v>
      </c>
      <c r="N212" s="438">
        <f t="shared" si="8"/>
        <v>23.5</v>
      </c>
      <c r="O212" s="661">
        <v>7.5</v>
      </c>
      <c r="P212" s="633">
        <v>16</v>
      </c>
      <c r="Q212" s="347" t="s">
        <v>1</v>
      </c>
    </row>
    <row r="213" spans="1:17" s="54" customFormat="1" ht="18" customHeight="1">
      <c r="A213" s="953"/>
      <c r="B213" s="881"/>
      <c r="C213" s="931"/>
      <c r="D213" s="694" t="s">
        <v>546</v>
      </c>
      <c r="E213" s="798" t="s">
        <v>35</v>
      </c>
      <c r="F213" s="798" t="s">
        <v>35</v>
      </c>
      <c r="G213" s="799" t="s">
        <v>35</v>
      </c>
      <c r="H213" s="564" t="s">
        <v>35</v>
      </c>
      <c r="I213" s="464" t="s">
        <v>346</v>
      </c>
      <c r="J213" s="465" t="s">
        <v>1</v>
      </c>
      <c r="K213" s="466">
        <f>357.1/1000</f>
        <v>0.35710000000000003</v>
      </c>
      <c r="L213" s="463" t="s">
        <v>1</v>
      </c>
      <c r="M213" s="468" t="s">
        <v>434</v>
      </c>
      <c r="N213" s="467">
        <f t="shared" si="8"/>
        <v>119</v>
      </c>
      <c r="O213" s="662">
        <v>38</v>
      </c>
      <c r="P213" s="658">
        <v>81</v>
      </c>
      <c r="Q213" s="589" t="s">
        <v>1</v>
      </c>
    </row>
    <row r="214" spans="1:17" s="54" customFormat="1" ht="18" customHeight="1">
      <c r="A214" s="954"/>
      <c r="B214" s="882"/>
      <c r="C214" s="907"/>
      <c r="D214" s="693" t="s">
        <v>546</v>
      </c>
      <c r="E214" s="800" t="s">
        <v>35</v>
      </c>
      <c r="F214" s="800" t="s">
        <v>35</v>
      </c>
      <c r="G214" s="801" t="s">
        <v>35</v>
      </c>
      <c r="H214" s="563" t="s">
        <v>35</v>
      </c>
      <c r="I214" s="411" t="s">
        <v>346</v>
      </c>
      <c r="J214" s="352" t="s">
        <v>1</v>
      </c>
      <c r="K214" s="469">
        <f>1972/1000</f>
        <v>1.972</v>
      </c>
      <c r="L214" s="354" t="s">
        <v>1</v>
      </c>
      <c r="M214" s="470" t="s">
        <v>554</v>
      </c>
      <c r="N214" s="412">
        <f t="shared" si="8"/>
        <v>250</v>
      </c>
      <c r="O214" s="639">
        <v>80</v>
      </c>
      <c r="P214" s="634">
        <v>170</v>
      </c>
      <c r="Q214" s="356" t="s">
        <v>1</v>
      </c>
    </row>
    <row r="215" spans="1:17" s="420" customFormat="1" ht="18" customHeight="1">
      <c r="A215" s="413"/>
      <c r="B215" s="414"/>
      <c r="C215" s="312"/>
      <c r="D215" s="703"/>
      <c r="E215" s="415"/>
      <c r="F215" s="415"/>
      <c r="G215" s="415"/>
      <c r="H215" s="416"/>
      <c r="I215" s="313"/>
      <c r="J215" s="417"/>
      <c r="K215" s="418"/>
      <c r="L215" s="416"/>
      <c r="M215" s="48"/>
      <c r="N215" s="419"/>
      <c r="O215" s="113"/>
      <c r="P215" s="113"/>
      <c r="Q215" s="48"/>
    </row>
    <row r="216" spans="1:17" s="54" customFormat="1" ht="18" customHeight="1">
      <c r="A216" s="903" t="s">
        <v>3</v>
      </c>
      <c r="B216" s="904"/>
      <c r="C216" s="883" t="s">
        <v>313</v>
      </c>
      <c r="D216" s="908" t="s">
        <v>488</v>
      </c>
      <c r="E216" s="910" t="s">
        <v>489</v>
      </c>
      <c r="F216" s="912" t="s">
        <v>490</v>
      </c>
      <c r="G216" s="914" t="s">
        <v>491</v>
      </c>
      <c r="H216" s="852" t="s">
        <v>492</v>
      </c>
      <c r="I216" s="852" t="s">
        <v>493</v>
      </c>
      <c r="J216" s="894" t="s">
        <v>314</v>
      </c>
      <c r="K216" s="896" t="s">
        <v>315</v>
      </c>
      <c r="L216" s="898" t="s">
        <v>494</v>
      </c>
      <c r="M216" s="899"/>
      <c r="N216" s="900" t="s">
        <v>317</v>
      </c>
      <c r="O216" s="901"/>
      <c r="P216" s="902"/>
      <c r="Q216" s="876" t="s">
        <v>495</v>
      </c>
    </row>
    <row r="217" spans="1:20" s="54" customFormat="1" ht="18" customHeight="1">
      <c r="A217" s="905"/>
      <c r="B217" s="906"/>
      <c r="C217" s="907"/>
      <c r="D217" s="909"/>
      <c r="E217" s="911"/>
      <c r="F217" s="913"/>
      <c r="G217" s="915"/>
      <c r="H217" s="893"/>
      <c r="I217" s="893"/>
      <c r="J217" s="895"/>
      <c r="K217" s="897"/>
      <c r="L217" s="530" t="s">
        <v>316</v>
      </c>
      <c r="M217" s="529" t="s">
        <v>318</v>
      </c>
      <c r="N217" s="531" t="s">
        <v>319</v>
      </c>
      <c r="O217" s="618" t="s">
        <v>20</v>
      </c>
      <c r="P217" s="605" t="s">
        <v>21</v>
      </c>
      <c r="Q217" s="877"/>
      <c r="S217" s="532"/>
      <c r="T217" s="532"/>
    </row>
    <row r="218" spans="1:17" s="54" customFormat="1" ht="18" customHeight="1">
      <c r="A218" s="878" t="s">
        <v>435</v>
      </c>
      <c r="B218" s="876" t="s">
        <v>533</v>
      </c>
      <c r="C218" s="471">
        <v>41466</v>
      </c>
      <c r="D218" s="695" t="s">
        <v>547</v>
      </c>
      <c r="E218" s="592" t="s">
        <v>35</v>
      </c>
      <c r="F218" s="592" t="s">
        <v>35</v>
      </c>
      <c r="G218" s="593" t="s">
        <v>35</v>
      </c>
      <c r="H218" s="472" t="s">
        <v>35</v>
      </c>
      <c r="I218" s="473" t="s">
        <v>346</v>
      </c>
      <c r="J218" s="474" t="s">
        <v>1</v>
      </c>
      <c r="K218" s="475">
        <f>1120/1000</f>
        <v>1.12</v>
      </c>
      <c r="L218" s="476" t="s">
        <v>1</v>
      </c>
      <c r="M218" s="478" t="s">
        <v>1</v>
      </c>
      <c r="N218" s="477">
        <f aca="true" t="shared" si="9" ref="N218:N226">SUM(O218,P218)</f>
        <v>162</v>
      </c>
      <c r="O218" s="670">
        <v>52</v>
      </c>
      <c r="P218" s="606">
        <v>110</v>
      </c>
      <c r="Q218" s="478" t="s">
        <v>1</v>
      </c>
    </row>
    <row r="219" spans="1:17" s="54" customFormat="1" ht="18" customHeight="1">
      <c r="A219" s="929"/>
      <c r="B219" s="836"/>
      <c r="C219" s="931">
        <v>41486</v>
      </c>
      <c r="D219" s="553" t="s">
        <v>499</v>
      </c>
      <c r="E219" s="562" t="s">
        <v>500</v>
      </c>
      <c r="F219" s="562" t="s">
        <v>635</v>
      </c>
      <c r="G219" s="775" t="s">
        <v>635</v>
      </c>
      <c r="H219" s="479" t="s">
        <v>636</v>
      </c>
      <c r="I219" s="480" t="s">
        <v>637</v>
      </c>
      <c r="J219" s="245">
        <v>2</v>
      </c>
      <c r="K219" s="481">
        <f>380.4/1000</f>
        <v>0.38039999999999996</v>
      </c>
      <c r="L219" s="482" t="s">
        <v>414</v>
      </c>
      <c r="M219" s="484" t="s">
        <v>376</v>
      </c>
      <c r="N219" s="483">
        <f t="shared" si="9"/>
        <v>165</v>
      </c>
      <c r="O219" s="654">
        <v>55</v>
      </c>
      <c r="P219" s="651">
        <v>110</v>
      </c>
      <c r="Q219" s="20" t="s">
        <v>1</v>
      </c>
    </row>
    <row r="220" spans="1:17" s="54" customFormat="1" ht="18" customHeight="1">
      <c r="A220" s="929"/>
      <c r="B220" s="836"/>
      <c r="C220" s="931"/>
      <c r="D220" s="553" t="s">
        <v>499</v>
      </c>
      <c r="E220" s="562" t="s">
        <v>500</v>
      </c>
      <c r="F220" s="562" t="s">
        <v>635</v>
      </c>
      <c r="G220" s="775" t="s">
        <v>635</v>
      </c>
      <c r="H220" s="386" t="s">
        <v>638</v>
      </c>
      <c r="I220" s="387" t="s">
        <v>426</v>
      </c>
      <c r="J220" s="222">
        <v>9</v>
      </c>
      <c r="K220" s="485">
        <f>2997.4/1000</f>
        <v>2.9974000000000003</v>
      </c>
      <c r="L220" s="340" t="s">
        <v>429</v>
      </c>
      <c r="M220" s="377" t="s">
        <v>376</v>
      </c>
      <c r="N220" s="410">
        <f t="shared" si="9"/>
        <v>55</v>
      </c>
      <c r="O220" s="637">
        <v>18</v>
      </c>
      <c r="P220" s="631">
        <v>37</v>
      </c>
      <c r="Q220" s="590">
        <v>0.45</v>
      </c>
    </row>
    <row r="221" spans="1:17" s="54" customFormat="1" ht="18" customHeight="1">
      <c r="A221" s="929"/>
      <c r="B221" s="836"/>
      <c r="C221" s="931"/>
      <c r="D221" s="553" t="s">
        <v>499</v>
      </c>
      <c r="E221" s="562" t="s">
        <v>500</v>
      </c>
      <c r="F221" s="754" t="s">
        <v>639</v>
      </c>
      <c r="G221" s="747" t="s">
        <v>639</v>
      </c>
      <c r="H221" s="386" t="s">
        <v>640</v>
      </c>
      <c r="I221" s="387" t="s">
        <v>641</v>
      </c>
      <c r="J221" s="222">
        <v>2</v>
      </c>
      <c r="K221" s="335">
        <f>229.1/1000</f>
        <v>0.2291</v>
      </c>
      <c r="L221" s="340" t="s">
        <v>436</v>
      </c>
      <c r="M221" s="377" t="s">
        <v>437</v>
      </c>
      <c r="N221" s="410">
        <f t="shared" si="9"/>
        <v>85</v>
      </c>
      <c r="O221" s="637">
        <v>25</v>
      </c>
      <c r="P221" s="631">
        <v>60</v>
      </c>
      <c r="Q221" s="24" t="s">
        <v>1</v>
      </c>
    </row>
    <row r="222" spans="1:17" s="54" customFormat="1" ht="18" customHeight="1">
      <c r="A222" s="929"/>
      <c r="B222" s="836"/>
      <c r="C222" s="931"/>
      <c r="D222" s="553" t="s">
        <v>499</v>
      </c>
      <c r="E222" s="562" t="s">
        <v>500</v>
      </c>
      <c r="F222" s="742" t="s">
        <v>639</v>
      </c>
      <c r="G222" s="745" t="s">
        <v>639</v>
      </c>
      <c r="H222" s="386" t="s">
        <v>642</v>
      </c>
      <c r="I222" s="387" t="s">
        <v>643</v>
      </c>
      <c r="J222" s="222">
        <v>1</v>
      </c>
      <c r="K222" s="335">
        <f>183.9/1000</f>
        <v>0.1839</v>
      </c>
      <c r="L222" s="340" t="s">
        <v>438</v>
      </c>
      <c r="M222" s="377" t="s">
        <v>437</v>
      </c>
      <c r="N222" s="410">
        <f t="shared" si="9"/>
        <v>157</v>
      </c>
      <c r="O222" s="637">
        <v>47</v>
      </c>
      <c r="P222" s="631">
        <v>110</v>
      </c>
      <c r="Q222" s="24" t="s">
        <v>1</v>
      </c>
    </row>
    <row r="223" spans="1:17" s="54" customFormat="1" ht="18" customHeight="1">
      <c r="A223" s="929"/>
      <c r="B223" s="836"/>
      <c r="C223" s="931"/>
      <c r="D223" s="553" t="s">
        <v>499</v>
      </c>
      <c r="E223" s="562" t="s">
        <v>500</v>
      </c>
      <c r="F223" s="754" t="s">
        <v>582</v>
      </c>
      <c r="G223" s="747" t="s">
        <v>644</v>
      </c>
      <c r="H223" s="386" t="s">
        <v>645</v>
      </c>
      <c r="I223" s="387" t="s">
        <v>646</v>
      </c>
      <c r="J223" s="222">
        <v>2</v>
      </c>
      <c r="K223" s="335">
        <f>588.3/1000</f>
        <v>0.5882999999999999</v>
      </c>
      <c r="L223" s="340" t="s">
        <v>436</v>
      </c>
      <c r="M223" s="377" t="s">
        <v>423</v>
      </c>
      <c r="N223" s="410">
        <f t="shared" si="9"/>
        <v>108</v>
      </c>
      <c r="O223" s="637">
        <v>34</v>
      </c>
      <c r="P223" s="631">
        <v>74</v>
      </c>
      <c r="Q223" s="24" t="s">
        <v>1</v>
      </c>
    </row>
    <row r="224" spans="1:17" s="54" customFormat="1" ht="18" customHeight="1">
      <c r="A224" s="929"/>
      <c r="B224" s="837"/>
      <c r="C224" s="907"/>
      <c r="D224" s="566" t="s">
        <v>499</v>
      </c>
      <c r="E224" s="756" t="s">
        <v>500</v>
      </c>
      <c r="F224" s="776" t="s">
        <v>647</v>
      </c>
      <c r="G224" s="769" t="s">
        <v>647</v>
      </c>
      <c r="H224" s="391" t="s">
        <v>648</v>
      </c>
      <c r="I224" s="392" t="s">
        <v>649</v>
      </c>
      <c r="J224" s="247">
        <v>1</v>
      </c>
      <c r="K224" s="486">
        <f>1427.1/1000</f>
        <v>1.4270999999999998</v>
      </c>
      <c r="L224" s="487" t="s">
        <v>439</v>
      </c>
      <c r="M224" s="396" t="s">
        <v>376</v>
      </c>
      <c r="N224" s="488">
        <f t="shared" si="9"/>
        <v>141</v>
      </c>
      <c r="O224" s="655">
        <v>43</v>
      </c>
      <c r="P224" s="652">
        <v>98</v>
      </c>
      <c r="Q224" s="501" t="s">
        <v>1</v>
      </c>
    </row>
    <row r="225" spans="1:17" s="54" customFormat="1" ht="18" customHeight="1">
      <c r="A225" s="929"/>
      <c r="B225" s="876" t="s">
        <v>534</v>
      </c>
      <c r="C225" s="932">
        <v>41465</v>
      </c>
      <c r="D225" s="565" t="s">
        <v>499</v>
      </c>
      <c r="E225" s="748" t="s">
        <v>500</v>
      </c>
      <c r="F225" s="562" t="s">
        <v>635</v>
      </c>
      <c r="G225" s="775" t="s">
        <v>635</v>
      </c>
      <c r="H225" s="386" t="s">
        <v>638</v>
      </c>
      <c r="I225" s="387" t="s">
        <v>426</v>
      </c>
      <c r="J225" s="222">
        <v>16</v>
      </c>
      <c r="K225" s="338">
        <f>1227.2/1000</f>
        <v>1.2272</v>
      </c>
      <c r="L225" s="336" t="s">
        <v>410</v>
      </c>
      <c r="M225" s="377" t="s">
        <v>376</v>
      </c>
      <c r="N225" s="410">
        <f t="shared" si="9"/>
        <v>76</v>
      </c>
      <c r="O225" s="637">
        <v>23</v>
      </c>
      <c r="P225" s="631">
        <v>53</v>
      </c>
      <c r="Q225" s="24" t="s">
        <v>1</v>
      </c>
    </row>
    <row r="226" spans="1:17" s="54" customFormat="1" ht="18" customHeight="1">
      <c r="A226" s="929"/>
      <c r="B226" s="836"/>
      <c r="C226" s="933"/>
      <c r="D226" s="553" t="s">
        <v>499</v>
      </c>
      <c r="E226" s="562" t="s">
        <v>500</v>
      </c>
      <c r="F226" s="562" t="s">
        <v>635</v>
      </c>
      <c r="G226" s="458" t="s">
        <v>635</v>
      </c>
      <c r="H226" s="386" t="s">
        <v>636</v>
      </c>
      <c r="I226" s="387" t="s">
        <v>440</v>
      </c>
      <c r="J226" s="222">
        <v>8</v>
      </c>
      <c r="K226" s="338">
        <f>1174.6/1000</f>
        <v>1.1745999999999999</v>
      </c>
      <c r="L226" s="340" t="s">
        <v>441</v>
      </c>
      <c r="M226" s="377" t="s">
        <v>376</v>
      </c>
      <c r="N226" s="410">
        <f t="shared" si="9"/>
        <v>109</v>
      </c>
      <c r="O226" s="637">
        <v>32</v>
      </c>
      <c r="P226" s="631">
        <v>77</v>
      </c>
      <c r="Q226" s="24" t="s">
        <v>1</v>
      </c>
    </row>
    <row r="227" spans="1:17" s="54" customFormat="1" ht="18" customHeight="1">
      <c r="A227" s="929"/>
      <c r="B227" s="836"/>
      <c r="C227" s="932">
        <v>41466</v>
      </c>
      <c r="D227" s="696" t="s">
        <v>320</v>
      </c>
      <c r="E227" s="777" t="s">
        <v>35</v>
      </c>
      <c r="F227" s="778" t="s">
        <v>35</v>
      </c>
      <c r="G227" s="779" t="s">
        <v>35</v>
      </c>
      <c r="H227" s="537" t="s">
        <v>35</v>
      </c>
      <c r="I227" s="493" t="s">
        <v>421</v>
      </c>
      <c r="J227" s="494" t="s">
        <v>1</v>
      </c>
      <c r="K227" s="495">
        <f>50.21/1000</f>
        <v>0.05021</v>
      </c>
      <c r="L227" s="492" t="s">
        <v>1</v>
      </c>
      <c r="M227" s="497" t="s">
        <v>1</v>
      </c>
      <c r="N227" s="496">
        <f>SUM(O227,P227)</f>
        <v>1.7</v>
      </c>
      <c r="O227" s="671" t="s">
        <v>650</v>
      </c>
      <c r="P227" s="665">
        <v>1.7</v>
      </c>
      <c r="Q227" s="497" t="s">
        <v>1</v>
      </c>
    </row>
    <row r="228" spans="1:17" s="54" customFormat="1" ht="18" customHeight="1">
      <c r="A228" s="929"/>
      <c r="B228" s="836"/>
      <c r="C228" s="931"/>
      <c r="D228" s="710" t="s">
        <v>515</v>
      </c>
      <c r="E228" s="736" t="s">
        <v>517</v>
      </c>
      <c r="F228" s="780" t="s">
        <v>651</v>
      </c>
      <c r="G228" s="766" t="s">
        <v>651</v>
      </c>
      <c r="H228" s="429" t="s">
        <v>652</v>
      </c>
      <c r="I228" s="430" t="s">
        <v>653</v>
      </c>
      <c r="J228" s="360" t="s">
        <v>1</v>
      </c>
      <c r="K228" s="361">
        <f>2673/1000</f>
        <v>2.673</v>
      </c>
      <c r="L228" s="431" t="s">
        <v>1</v>
      </c>
      <c r="M228" s="364" t="s">
        <v>1</v>
      </c>
      <c r="N228" s="407">
        <f>SUM(O228,P228)</f>
        <v>2.9000000000000004</v>
      </c>
      <c r="O228" s="649">
        <v>1.3</v>
      </c>
      <c r="P228" s="643">
        <v>1.6</v>
      </c>
      <c r="Q228" s="364" t="s">
        <v>1</v>
      </c>
    </row>
    <row r="229" spans="1:17" s="54" customFormat="1" ht="18" customHeight="1">
      <c r="A229" s="929"/>
      <c r="B229" s="836"/>
      <c r="C229" s="836"/>
      <c r="D229" s="710" t="s">
        <v>515</v>
      </c>
      <c r="E229" s="736" t="s">
        <v>514</v>
      </c>
      <c r="F229" s="737" t="s">
        <v>654</v>
      </c>
      <c r="G229" s="766" t="s">
        <v>654</v>
      </c>
      <c r="H229" s="429" t="s">
        <v>655</v>
      </c>
      <c r="I229" s="430" t="s">
        <v>656</v>
      </c>
      <c r="J229" s="360" t="s">
        <v>1</v>
      </c>
      <c r="K229" s="361">
        <f>14.2/1000</f>
        <v>0.014199999999999999</v>
      </c>
      <c r="L229" s="431" t="s">
        <v>1</v>
      </c>
      <c r="M229" s="364" t="s">
        <v>1</v>
      </c>
      <c r="N229" s="498" t="s">
        <v>617</v>
      </c>
      <c r="O229" s="672" t="s">
        <v>657</v>
      </c>
      <c r="P229" s="666" t="s">
        <v>658</v>
      </c>
      <c r="Q229" s="364" t="s">
        <v>1</v>
      </c>
    </row>
    <row r="230" spans="1:17" s="54" customFormat="1" ht="18" customHeight="1">
      <c r="A230" s="929"/>
      <c r="B230" s="836"/>
      <c r="C230" s="836"/>
      <c r="D230" s="553" t="s">
        <v>496</v>
      </c>
      <c r="E230" s="781" t="s">
        <v>503</v>
      </c>
      <c r="F230" s="782" t="s">
        <v>504</v>
      </c>
      <c r="G230" s="747" t="s">
        <v>659</v>
      </c>
      <c r="H230" s="386" t="s">
        <v>660</v>
      </c>
      <c r="I230" s="387" t="s">
        <v>661</v>
      </c>
      <c r="J230" s="222">
        <v>165</v>
      </c>
      <c r="K230" s="338">
        <f>151/1000</f>
        <v>0.151</v>
      </c>
      <c r="L230" s="336" t="s">
        <v>418</v>
      </c>
      <c r="M230" s="24" t="s">
        <v>1</v>
      </c>
      <c r="N230" s="410">
        <f>SUM(O230,P230)</f>
        <v>28.5</v>
      </c>
      <c r="O230" s="673">
        <v>9.5</v>
      </c>
      <c r="P230" s="631">
        <v>19</v>
      </c>
      <c r="Q230" s="24" t="s">
        <v>1</v>
      </c>
    </row>
    <row r="231" spans="1:17" s="54" customFormat="1" ht="18" customHeight="1">
      <c r="A231" s="929"/>
      <c r="B231" s="836"/>
      <c r="C231" s="836"/>
      <c r="D231" s="698" t="s">
        <v>518</v>
      </c>
      <c r="E231" s="562" t="s">
        <v>507</v>
      </c>
      <c r="F231" s="754" t="s">
        <v>519</v>
      </c>
      <c r="G231" s="747" t="s">
        <v>662</v>
      </c>
      <c r="H231" s="386" t="s">
        <v>663</v>
      </c>
      <c r="I231" s="387" t="s">
        <v>664</v>
      </c>
      <c r="J231" s="222">
        <v>7</v>
      </c>
      <c r="K231" s="338">
        <f>130/1000</f>
        <v>0.13</v>
      </c>
      <c r="L231" s="336" t="s">
        <v>418</v>
      </c>
      <c r="M231" s="24" t="s">
        <v>1</v>
      </c>
      <c r="N231" s="499">
        <f>SUM(O231,P231)</f>
        <v>7.3</v>
      </c>
      <c r="O231" s="673">
        <v>2.5</v>
      </c>
      <c r="P231" s="667">
        <v>4.8</v>
      </c>
      <c r="Q231" s="24" t="s">
        <v>1</v>
      </c>
    </row>
    <row r="232" spans="1:17" s="54" customFormat="1" ht="18" customHeight="1">
      <c r="A232" s="929"/>
      <c r="B232" s="836"/>
      <c r="C232" s="836"/>
      <c r="D232" s="553" t="s">
        <v>499</v>
      </c>
      <c r="E232" s="562" t="s">
        <v>500</v>
      </c>
      <c r="F232" s="752" t="s">
        <v>635</v>
      </c>
      <c r="G232" s="775" t="s">
        <v>665</v>
      </c>
      <c r="H232" s="455" t="s">
        <v>666</v>
      </c>
      <c r="I232" s="456" t="s">
        <v>667</v>
      </c>
      <c r="J232" s="489">
        <v>10</v>
      </c>
      <c r="K232" s="338">
        <f>45.6/1000</f>
        <v>0.0456</v>
      </c>
      <c r="L232" s="336" t="s">
        <v>419</v>
      </c>
      <c r="M232" s="33" t="s">
        <v>1</v>
      </c>
      <c r="N232" s="457" t="s">
        <v>617</v>
      </c>
      <c r="O232" s="674" t="s">
        <v>668</v>
      </c>
      <c r="P232" s="668" t="s">
        <v>669</v>
      </c>
      <c r="Q232" s="33" t="s">
        <v>1</v>
      </c>
    </row>
    <row r="233" spans="1:17" s="54" customFormat="1" ht="18" customHeight="1">
      <c r="A233" s="929"/>
      <c r="B233" s="836"/>
      <c r="C233" s="836"/>
      <c r="D233" s="554" t="s">
        <v>499</v>
      </c>
      <c r="E233" s="783" t="s">
        <v>498</v>
      </c>
      <c r="F233" s="784" t="s">
        <v>501</v>
      </c>
      <c r="G233" s="785" t="s">
        <v>670</v>
      </c>
      <c r="H233" s="452" t="s">
        <v>671</v>
      </c>
      <c r="I233" s="435" t="s">
        <v>672</v>
      </c>
      <c r="J233" s="567">
        <v>32</v>
      </c>
      <c r="K233" s="349">
        <f>94.2/1000</f>
        <v>0.0942</v>
      </c>
      <c r="L233" s="345" t="s">
        <v>418</v>
      </c>
      <c r="M233" s="347" t="s">
        <v>1</v>
      </c>
      <c r="N233" s="491">
        <f aca="true" t="shared" si="10" ref="N233:N240">SUM(O233,P233)</f>
        <v>2.8</v>
      </c>
      <c r="O233" s="675">
        <v>1.1</v>
      </c>
      <c r="P233" s="669">
        <v>1.7</v>
      </c>
      <c r="Q233" s="347" t="s">
        <v>1</v>
      </c>
    </row>
    <row r="234" spans="1:17" s="54" customFormat="1" ht="18" customHeight="1">
      <c r="A234" s="929"/>
      <c r="B234" s="836"/>
      <c r="C234" s="836"/>
      <c r="D234" s="554" t="s">
        <v>499</v>
      </c>
      <c r="E234" s="783" t="s">
        <v>498</v>
      </c>
      <c r="F234" s="784" t="s">
        <v>501</v>
      </c>
      <c r="G234" s="786" t="s">
        <v>35</v>
      </c>
      <c r="H234" s="345" t="s">
        <v>35</v>
      </c>
      <c r="I234" s="435" t="s">
        <v>442</v>
      </c>
      <c r="J234" s="490">
        <v>182</v>
      </c>
      <c r="K234" s="349">
        <f>85.7/1000</f>
        <v>0.0857</v>
      </c>
      <c r="L234" s="345" t="s">
        <v>443</v>
      </c>
      <c r="M234" s="347" t="s">
        <v>1</v>
      </c>
      <c r="N234" s="437">
        <f t="shared" si="10"/>
        <v>120</v>
      </c>
      <c r="O234" s="646">
        <v>39</v>
      </c>
      <c r="P234" s="633">
        <v>81</v>
      </c>
      <c r="Q234" s="347" t="s">
        <v>1</v>
      </c>
    </row>
    <row r="235" spans="1:17" s="54" customFormat="1" ht="18" customHeight="1">
      <c r="A235" s="929"/>
      <c r="B235" s="836"/>
      <c r="C235" s="389">
        <v>41467</v>
      </c>
      <c r="D235" s="553" t="s">
        <v>499</v>
      </c>
      <c r="E235" s="562" t="s">
        <v>500</v>
      </c>
      <c r="F235" s="754" t="s">
        <v>635</v>
      </c>
      <c r="G235" s="747" t="s">
        <v>635</v>
      </c>
      <c r="H235" s="386" t="s">
        <v>673</v>
      </c>
      <c r="I235" s="387" t="s">
        <v>674</v>
      </c>
      <c r="J235" s="222">
        <v>48</v>
      </c>
      <c r="K235" s="338">
        <f>707/1000</f>
        <v>0.707</v>
      </c>
      <c r="L235" s="336" t="s">
        <v>410</v>
      </c>
      <c r="M235" s="24" t="s">
        <v>1</v>
      </c>
      <c r="N235" s="410">
        <f t="shared" si="10"/>
        <v>44</v>
      </c>
      <c r="O235" s="637">
        <v>16</v>
      </c>
      <c r="P235" s="631">
        <v>28</v>
      </c>
      <c r="Q235" s="24" t="s">
        <v>1</v>
      </c>
    </row>
    <row r="236" spans="1:17" s="54" customFormat="1" ht="18" customHeight="1">
      <c r="A236" s="929"/>
      <c r="B236" s="836"/>
      <c r="C236" s="932">
        <v>41468</v>
      </c>
      <c r="D236" s="553" t="s">
        <v>499</v>
      </c>
      <c r="E236" s="562" t="s">
        <v>500</v>
      </c>
      <c r="F236" s="754" t="s">
        <v>635</v>
      </c>
      <c r="G236" s="747" t="s">
        <v>635</v>
      </c>
      <c r="H236" s="386" t="s">
        <v>636</v>
      </c>
      <c r="I236" s="387" t="s">
        <v>444</v>
      </c>
      <c r="J236" s="222">
        <v>39</v>
      </c>
      <c r="K236" s="338">
        <f>1162.2/1000</f>
        <v>1.1622000000000001</v>
      </c>
      <c r="L236" s="340" t="s">
        <v>438</v>
      </c>
      <c r="M236" s="377" t="s">
        <v>376</v>
      </c>
      <c r="N236" s="410">
        <f t="shared" si="10"/>
        <v>124</v>
      </c>
      <c r="O236" s="637">
        <v>37</v>
      </c>
      <c r="P236" s="631">
        <v>87</v>
      </c>
      <c r="Q236" s="24" t="s">
        <v>1</v>
      </c>
    </row>
    <row r="237" spans="1:17" s="54" customFormat="1" ht="18" customHeight="1">
      <c r="A237" s="929"/>
      <c r="B237" s="836"/>
      <c r="C237" s="934"/>
      <c r="D237" s="553" t="s">
        <v>499</v>
      </c>
      <c r="E237" s="562" t="s">
        <v>500</v>
      </c>
      <c r="F237" s="767" t="s">
        <v>635</v>
      </c>
      <c r="G237" s="751" t="s">
        <v>635</v>
      </c>
      <c r="H237" s="386" t="s">
        <v>675</v>
      </c>
      <c r="I237" s="387" t="s">
        <v>445</v>
      </c>
      <c r="J237" s="222">
        <v>5</v>
      </c>
      <c r="K237" s="338">
        <f>846.2/1000</f>
        <v>0.8462000000000001</v>
      </c>
      <c r="L237" s="340" t="s">
        <v>436</v>
      </c>
      <c r="M237" s="377" t="s">
        <v>376</v>
      </c>
      <c r="N237" s="410">
        <f t="shared" si="10"/>
        <v>100</v>
      </c>
      <c r="O237" s="637">
        <v>31</v>
      </c>
      <c r="P237" s="631">
        <v>69</v>
      </c>
      <c r="Q237" s="24" t="s">
        <v>1</v>
      </c>
    </row>
    <row r="238" spans="1:17" s="54" customFormat="1" ht="18" customHeight="1">
      <c r="A238" s="929"/>
      <c r="B238" s="836"/>
      <c r="C238" s="935">
        <v>41470</v>
      </c>
      <c r="D238" s="553" t="s">
        <v>499</v>
      </c>
      <c r="E238" s="562" t="s">
        <v>500</v>
      </c>
      <c r="F238" s="754" t="s">
        <v>676</v>
      </c>
      <c r="G238" s="743" t="s">
        <v>676</v>
      </c>
      <c r="H238" s="386" t="s">
        <v>677</v>
      </c>
      <c r="I238" s="387" t="s">
        <v>678</v>
      </c>
      <c r="J238" s="222">
        <v>32</v>
      </c>
      <c r="K238" s="338">
        <f>57/1000</f>
        <v>0.057</v>
      </c>
      <c r="L238" s="336" t="s">
        <v>410</v>
      </c>
      <c r="M238" s="24" t="s">
        <v>1</v>
      </c>
      <c r="N238" s="410">
        <f t="shared" si="10"/>
        <v>81</v>
      </c>
      <c r="O238" s="637">
        <v>25</v>
      </c>
      <c r="P238" s="631">
        <v>56</v>
      </c>
      <c r="Q238" s="24" t="s">
        <v>1</v>
      </c>
    </row>
    <row r="239" spans="1:17" s="54" customFormat="1" ht="18" customHeight="1">
      <c r="A239" s="929"/>
      <c r="B239" s="836"/>
      <c r="C239" s="936"/>
      <c r="D239" s="565" t="s">
        <v>499</v>
      </c>
      <c r="E239" s="748" t="s">
        <v>500</v>
      </c>
      <c r="F239" s="787" t="s">
        <v>635</v>
      </c>
      <c r="G239" s="577" t="s">
        <v>635</v>
      </c>
      <c r="H239" s="386" t="s">
        <v>675</v>
      </c>
      <c r="I239" s="480" t="s">
        <v>446</v>
      </c>
      <c r="J239" s="245">
        <v>1</v>
      </c>
      <c r="K239" s="569">
        <f>920.8/1000</f>
        <v>0.9208</v>
      </c>
      <c r="L239" s="482" t="s">
        <v>441</v>
      </c>
      <c r="M239" s="484" t="s">
        <v>447</v>
      </c>
      <c r="N239" s="483">
        <f t="shared" si="10"/>
        <v>81</v>
      </c>
      <c r="O239" s="654">
        <v>26</v>
      </c>
      <c r="P239" s="651">
        <v>55</v>
      </c>
      <c r="Q239" s="20" t="s">
        <v>1</v>
      </c>
    </row>
    <row r="240" spans="1:17" s="54" customFormat="1" ht="18" customHeight="1">
      <c r="A240" s="930"/>
      <c r="B240" s="837"/>
      <c r="C240" s="937"/>
      <c r="D240" s="566" t="s">
        <v>499</v>
      </c>
      <c r="E240" s="756" t="s">
        <v>500</v>
      </c>
      <c r="F240" s="788" t="s">
        <v>582</v>
      </c>
      <c r="G240" s="769" t="s">
        <v>644</v>
      </c>
      <c r="H240" s="391" t="s">
        <v>645</v>
      </c>
      <c r="I240" s="392" t="s">
        <v>646</v>
      </c>
      <c r="J240" s="247">
        <v>2</v>
      </c>
      <c r="K240" s="500">
        <f>1349/1000</f>
        <v>1.349</v>
      </c>
      <c r="L240" s="568" t="s">
        <v>438</v>
      </c>
      <c r="M240" s="396" t="s">
        <v>448</v>
      </c>
      <c r="N240" s="488">
        <f t="shared" si="10"/>
        <v>158</v>
      </c>
      <c r="O240" s="655">
        <v>48</v>
      </c>
      <c r="P240" s="652">
        <v>110</v>
      </c>
      <c r="Q240" s="501" t="s">
        <v>1</v>
      </c>
    </row>
    <row r="241" spans="1:17" s="420" customFormat="1" ht="18" customHeight="1">
      <c r="A241" s="413"/>
      <c r="B241" s="414"/>
      <c r="C241" s="312"/>
      <c r="D241" s="703"/>
      <c r="E241" s="415"/>
      <c r="F241" s="415"/>
      <c r="G241" s="415"/>
      <c r="H241" s="416"/>
      <c r="I241" s="313"/>
      <c r="J241" s="417"/>
      <c r="K241" s="418"/>
      <c r="L241" s="416"/>
      <c r="M241" s="48"/>
      <c r="N241" s="419"/>
      <c r="O241" s="113"/>
      <c r="P241" s="113"/>
      <c r="Q241" s="48"/>
    </row>
    <row r="242" spans="1:17" s="54" customFormat="1" ht="18" customHeight="1">
      <c r="A242" s="903" t="s">
        <v>3</v>
      </c>
      <c r="B242" s="904"/>
      <c r="C242" s="883" t="s">
        <v>313</v>
      </c>
      <c r="D242" s="908" t="s">
        <v>488</v>
      </c>
      <c r="E242" s="910" t="s">
        <v>489</v>
      </c>
      <c r="F242" s="912" t="s">
        <v>490</v>
      </c>
      <c r="G242" s="914" t="s">
        <v>491</v>
      </c>
      <c r="H242" s="852" t="s">
        <v>492</v>
      </c>
      <c r="I242" s="852" t="s">
        <v>493</v>
      </c>
      <c r="J242" s="894" t="s">
        <v>314</v>
      </c>
      <c r="K242" s="896" t="s">
        <v>315</v>
      </c>
      <c r="L242" s="898" t="s">
        <v>494</v>
      </c>
      <c r="M242" s="899"/>
      <c r="N242" s="900" t="s">
        <v>317</v>
      </c>
      <c r="O242" s="901"/>
      <c r="P242" s="902"/>
      <c r="Q242" s="876" t="s">
        <v>495</v>
      </c>
    </row>
    <row r="243" spans="1:20" s="54" customFormat="1" ht="18" customHeight="1">
      <c r="A243" s="905"/>
      <c r="B243" s="906"/>
      <c r="C243" s="907"/>
      <c r="D243" s="909"/>
      <c r="E243" s="911"/>
      <c r="F243" s="913"/>
      <c r="G243" s="915"/>
      <c r="H243" s="893"/>
      <c r="I243" s="893"/>
      <c r="J243" s="895"/>
      <c r="K243" s="897"/>
      <c r="L243" s="530" t="s">
        <v>316</v>
      </c>
      <c r="M243" s="529" t="s">
        <v>318</v>
      </c>
      <c r="N243" s="531" t="s">
        <v>319</v>
      </c>
      <c r="O243" s="618" t="s">
        <v>20</v>
      </c>
      <c r="P243" s="605" t="s">
        <v>21</v>
      </c>
      <c r="Q243" s="877"/>
      <c r="S243" s="532"/>
      <c r="T243" s="532"/>
    </row>
    <row r="244" spans="1:17" s="54" customFormat="1" ht="18" customHeight="1">
      <c r="A244" s="925" t="s">
        <v>551</v>
      </c>
      <c r="B244" s="876" t="s">
        <v>552</v>
      </c>
      <c r="C244" s="883">
        <v>41473</v>
      </c>
      <c r="D244" s="708" t="s">
        <v>516</v>
      </c>
      <c r="E244" s="770" t="s">
        <v>503</v>
      </c>
      <c r="F244" s="771" t="s">
        <v>504</v>
      </c>
      <c r="G244" s="772" t="s">
        <v>571</v>
      </c>
      <c r="H244" s="523" t="s">
        <v>626</v>
      </c>
      <c r="I244" s="524" t="s">
        <v>477</v>
      </c>
      <c r="J244" s="525">
        <v>5</v>
      </c>
      <c r="K244" s="526">
        <f>957.8/1000</f>
        <v>0.9578</v>
      </c>
      <c r="L244" s="527" t="s">
        <v>418</v>
      </c>
      <c r="M244" s="30" t="s">
        <v>1</v>
      </c>
      <c r="N244" s="528">
        <f aca="true" t="shared" si="11" ref="N244:N250">SUM(O244,P244)</f>
        <v>0.5</v>
      </c>
      <c r="O244" s="680" t="s">
        <v>627</v>
      </c>
      <c r="P244" s="676">
        <v>0.5</v>
      </c>
      <c r="Q244" s="30" t="s">
        <v>1</v>
      </c>
    </row>
    <row r="245" spans="1:17" s="54" customFormat="1" ht="18" customHeight="1">
      <c r="A245" s="926"/>
      <c r="B245" s="928"/>
      <c r="C245" s="881"/>
      <c r="D245" s="701" t="s">
        <v>499</v>
      </c>
      <c r="E245" s="741" t="s">
        <v>500</v>
      </c>
      <c r="F245" s="773" t="s">
        <v>599</v>
      </c>
      <c r="G245" s="745" t="s">
        <v>600</v>
      </c>
      <c r="H245" s="386" t="s">
        <v>480</v>
      </c>
      <c r="I245" s="387" t="s">
        <v>481</v>
      </c>
      <c r="J245" s="371">
        <v>17</v>
      </c>
      <c r="K245" s="388">
        <f>3709.4/1000</f>
        <v>3.7094</v>
      </c>
      <c r="L245" s="373" t="s">
        <v>410</v>
      </c>
      <c r="M245" s="377" t="s">
        <v>448</v>
      </c>
      <c r="N245" s="499">
        <f t="shared" si="11"/>
        <v>1.69</v>
      </c>
      <c r="O245" s="681">
        <v>0.49</v>
      </c>
      <c r="P245" s="667">
        <v>1.2</v>
      </c>
      <c r="Q245" s="24" t="s">
        <v>628</v>
      </c>
    </row>
    <row r="246" spans="1:17" s="54" customFormat="1" ht="18" customHeight="1">
      <c r="A246" s="926"/>
      <c r="B246" s="928"/>
      <c r="C246" s="881"/>
      <c r="D246" s="698" t="s">
        <v>499</v>
      </c>
      <c r="E246" s="562" t="s">
        <v>500</v>
      </c>
      <c r="F246" s="754" t="s">
        <v>599</v>
      </c>
      <c r="G246" s="743" t="s">
        <v>604</v>
      </c>
      <c r="H246" s="386" t="s">
        <v>629</v>
      </c>
      <c r="I246" s="387" t="s">
        <v>486</v>
      </c>
      <c r="J246" s="371">
        <v>12</v>
      </c>
      <c r="K246" s="388">
        <f>3790/1000</f>
        <v>3.79</v>
      </c>
      <c r="L246" s="373" t="s">
        <v>410</v>
      </c>
      <c r="M246" s="377" t="s">
        <v>487</v>
      </c>
      <c r="N246" s="499">
        <f t="shared" si="11"/>
        <v>4.9</v>
      </c>
      <c r="O246" s="673">
        <v>1.6</v>
      </c>
      <c r="P246" s="667">
        <v>3.3</v>
      </c>
      <c r="Q246" s="24" t="s">
        <v>1</v>
      </c>
    </row>
    <row r="247" spans="1:17" s="54" customFormat="1" ht="18" customHeight="1">
      <c r="A247" s="926"/>
      <c r="B247" s="928"/>
      <c r="C247" s="881"/>
      <c r="D247" s="701" t="s">
        <v>499</v>
      </c>
      <c r="E247" s="741" t="s">
        <v>500</v>
      </c>
      <c r="F247" s="754" t="s">
        <v>580</v>
      </c>
      <c r="G247" s="747" t="s">
        <v>580</v>
      </c>
      <c r="H247" s="386" t="s">
        <v>630</v>
      </c>
      <c r="I247" s="387" t="s">
        <v>631</v>
      </c>
      <c r="J247" s="371">
        <v>8</v>
      </c>
      <c r="K247" s="388">
        <f>2640/1000</f>
        <v>2.64</v>
      </c>
      <c r="L247" s="375" t="s">
        <v>414</v>
      </c>
      <c r="M247" s="377" t="s">
        <v>451</v>
      </c>
      <c r="N247" s="499">
        <f t="shared" si="11"/>
        <v>2.28</v>
      </c>
      <c r="O247" s="681">
        <v>0.88</v>
      </c>
      <c r="P247" s="667">
        <v>1.4</v>
      </c>
      <c r="Q247" s="24" t="s">
        <v>632</v>
      </c>
    </row>
    <row r="248" spans="1:17" s="54" customFormat="1" ht="18" customHeight="1">
      <c r="A248" s="926"/>
      <c r="B248" s="928"/>
      <c r="C248" s="881"/>
      <c r="D248" s="701" t="s">
        <v>499</v>
      </c>
      <c r="E248" s="741" t="s">
        <v>500</v>
      </c>
      <c r="F248" s="754" t="s">
        <v>580</v>
      </c>
      <c r="G248" s="747" t="s">
        <v>580</v>
      </c>
      <c r="H248" s="386" t="s">
        <v>484</v>
      </c>
      <c r="I248" s="387" t="s">
        <v>485</v>
      </c>
      <c r="J248" s="371">
        <v>8</v>
      </c>
      <c r="K248" s="388">
        <f>3908.8/1000</f>
        <v>3.9088000000000003</v>
      </c>
      <c r="L248" s="375" t="s">
        <v>438</v>
      </c>
      <c r="M248" s="377" t="s">
        <v>451</v>
      </c>
      <c r="N248" s="499">
        <f t="shared" si="11"/>
        <v>1.42</v>
      </c>
      <c r="O248" s="681">
        <v>0.45</v>
      </c>
      <c r="P248" s="677">
        <v>0.97</v>
      </c>
      <c r="Q248" s="24" t="s">
        <v>633</v>
      </c>
    </row>
    <row r="249" spans="1:17" s="54" customFormat="1" ht="18" customHeight="1">
      <c r="A249" s="926"/>
      <c r="B249" s="928"/>
      <c r="C249" s="881"/>
      <c r="D249" s="698" t="s">
        <v>499</v>
      </c>
      <c r="E249" s="562" t="s">
        <v>500</v>
      </c>
      <c r="F249" s="754" t="s">
        <v>580</v>
      </c>
      <c r="G249" s="747" t="s">
        <v>601</v>
      </c>
      <c r="H249" s="479" t="s">
        <v>482</v>
      </c>
      <c r="I249" s="480" t="s">
        <v>483</v>
      </c>
      <c r="J249" s="507">
        <v>7</v>
      </c>
      <c r="K249" s="570">
        <f>4054.2/1000</f>
        <v>4.0542</v>
      </c>
      <c r="L249" s="509" t="s">
        <v>436</v>
      </c>
      <c r="M249" s="484" t="s">
        <v>449</v>
      </c>
      <c r="N249" s="483">
        <f t="shared" si="11"/>
        <v>10.7</v>
      </c>
      <c r="O249" s="682">
        <v>3.4</v>
      </c>
      <c r="P249" s="678">
        <v>7.3</v>
      </c>
      <c r="Q249" s="20" t="s">
        <v>634</v>
      </c>
    </row>
    <row r="250" spans="1:17" s="54" customFormat="1" ht="18" customHeight="1">
      <c r="A250" s="927"/>
      <c r="B250" s="893"/>
      <c r="C250" s="882"/>
      <c r="D250" s="706" t="s">
        <v>499</v>
      </c>
      <c r="E250" s="756" t="s">
        <v>500</v>
      </c>
      <c r="F250" s="768" t="s">
        <v>582</v>
      </c>
      <c r="G250" s="774" t="s">
        <v>582</v>
      </c>
      <c r="H250" s="391" t="s">
        <v>478</v>
      </c>
      <c r="I250" s="392" t="s">
        <v>479</v>
      </c>
      <c r="J250" s="393">
        <v>3</v>
      </c>
      <c r="K250" s="511">
        <f>5513.2/1000</f>
        <v>5.513199999999999</v>
      </c>
      <c r="L250" s="395" t="s">
        <v>441</v>
      </c>
      <c r="M250" s="396" t="s">
        <v>409</v>
      </c>
      <c r="N250" s="488">
        <f t="shared" si="11"/>
        <v>13.4</v>
      </c>
      <c r="O250" s="683">
        <v>4.4</v>
      </c>
      <c r="P250" s="679">
        <v>9</v>
      </c>
      <c r="Q250" s="591">
        <v>0.051</v>
      </c>
    </row>
    <row r="251" spans="1:17" s="420" customFormat="1" ht="18" customHeight="1">
      <c r="A251" s="413"/>
      <c r="B251" s="414"/>
      <c r="C251" s="312"/>
      <c r="D251" s="703"/>
      <c r="E251" s="415"/>
      <c r="F251" s="415"/>
      <c r="G251" s="415"/>
      <c r="H251" s="416"/>
      <c r="I251" s="313"/>
      <c r="J251" s="417"/>
      <c r="K251" s="418"/>
      <c r="L251" s="416"/>
      <c r="M251" s="48"/>
      <c r="N251" s="419"/>
      <c r="O251" s="113"/>
      <c r="P251" s="113"/>
      <c r="Q251" s="48"/>
    </row>
    <row r="252" spans="1:17" s="54" customFormat="1" ht="18" customHeight="1">
      <c r="A252" s="903" t="s">
        <v>3</v>
      </c>
      <c r="B252" s="904"/>
      <c r="C252" s="883" t="s">
        <v>313</v>
      </c>
      <c r="D252" s="908" t="s">
        <v>488</v>
      </c>
      <c r="E252" s="910" t="s">
        <v>489</v>
      </c>
      <c r="F252" s="912" t="s">
        <v>490</v>
      </c>
      <c r="G252" s="914" t="s">
        <v>491</v>
      </c>
      <c r="H252" s="852" t="s">
        <v>492</v>
      </c>
      <c r="I252" s="852" t="s">
        <v>493</v>
      </c>
      <c r="J252" s="894" t="s">
        <v>314</v>
      </c>
      <c r="K252" s="896" t="s">
        <v>315</v>
      </c>
      <c r="L252" s="898" t="s">
        <v>494</v>
      </c>
      <c r="M252" s="899"/>
      <c r="N252" s="900" t="s">
        <v>317</v>
      </c>
      <c r="O252" s="901"/>
      <c r="P252" s="902"/>
      <c r="Q252" s="876" t="s">
        <v>495</v>
      </c>
    </row>
    <row r="253" spans="1:20" s="54" customFormat="1" ht="18" customHeight="1">
      <c r="A253" s="905"/>
      <c r="B253" s="906"/>
      <c r="C253" s="907"/>
      <c r="D253" s="909"/>
      <c r="E253" s="911"/>
      <c r="F253" s="913"/>
      <c r="G253" s="915"/>
      <c r="H253" s="893"/>
      <c r="I253" s="893"/>
      <c r="J253" s="895"/>
      <c r="K253" s="897"/>
      <c r="L253" s="530" t="s">
        <v>316</v>
      </c>
      <c r="M253" s="529" t="s">
        <v>318</v>
      </c>
      <c r="N253" s="531" t="s">
        <v>319</v>
      </c>
      <c r="O253" s="618" t="s">
        <v>20</v>
      </c>
      <c r="P253" s="605" t="s">
        <v>21</v>
      </c>
      <c r="Q253" s="877"/>
      <c r="S253" s="532"/>
      <c r="T253" s="532"/>
    </row>
    <row r="254" spans="1:17" s="54" customFormat="1" ht="18" customHeight="1">
      <c r="A254" s="878" t="s">
        <v>460</v>
      </c>
      <c r="B254" s="876" t="s">
        <v>539</v>
      </c>
      <c r="C254" s="883" t="s">
        <v>461</v>
      </c>
      <c r="D254" s="709" t="s">
        <v>462</v>
      </c>
      <c r="E254" s="729" t="s">
        <v>35</v>
      </c>
      <c r="F254" s="730" t="s">
        <v>35</v>
      </c>
      <c r="G254" s="731" t="s">
        <v>35</v>
      </c>
      <c r="H254" s="321" t="s">
        <v>559</v>
      </c>
      <c r="I254" s="318" t="s">
        <v>463</v>
      </c>
      <c r="J254" s="319" t="s">
        <v>1</v>
      </c>
      <c r="K254" s="320">
        <f>49.39/1000</f>
        <v>0.04939</v>
      </c>
      <c r="L254" s="321" t="s">
        <v>1</v>
      </c>
      <c r="M254" s="323" t="s">
        <v>1</v>
      </c>
      <c r="N254" s="405">
        <f aca="true" t="shared" si="12" ref="N254:N269">SUM(O254,P254)</f>
        <v>21.4</v>
      </c>
      <c r="O254" s="686">
        <v>6.4</v>
      </c>
      <c r="P254" s="607">
        <v>15</v>
      </c>
      <c r="Q254" s="323" t="s">
        <v>1</v>
      </c>
    </row>
    <row r="255" spans="1:17" s="54" customFormat="1" ht="18" customHeight="1">
      <c r="A255" s="916"/>
      <c r="B255" s="881"/>
      <c r="C255" s="881"/>
      <c r="D255" s="732" t="s">
        <v>557</v>
      </c>
      <c r="E255" s="733" t="s">
        <v>526</v>
      </c>
      <c r="F255" s="734" t="s">
        <v>560</v>
      </c>
      <c r="G255" s="735" t="s">
        <v>560</v>
      </c>
      <c r="H255" s="429" t="s">
        <v>561</v>
      </c>
      <c r="I255" s="430" t="s">
        <v>464</v>
      </c>
      <c r="J255" s="360" t="s">
        <v>1</v>
      </c>
      <c r="K255" s="406">
        <f>224.9/1000</f>
        <v>0.22490000000000002</v>
      </c>
      <c r="L255" s="431" t="s">
        <v>1</v>
      </c>
      <c r="M255" s="364" t="s">
        <v>1</v>
      </c>
      <c r="N255" s="407">
        <f t="shared" si="12"/>
        <v>2.62</v>
      </c>
      <c r="O255" s="687">
        <v>0.72</v>
      </c>
      <c r="P255" s="643">
        <v>1.9</v>
      </c>
      <c r="Q255" s="364" t="s">
        <v>1</v>
      </c>
    </row>
    <row r="256" spans="1:17" s="54" customFormat="1" ht="18" customHeight="1">
      <c r="A256" s="916"/>
      <c r="B256" s="881"/>
      <c r="C256" s="881"/>
      <c r="D256" s="710" t="s">
        <v>525</v>
      </c>
      <c r="E256" s="736" t="s">
        <v>514</v>
      </c>
      <c r="F256" s="737" t="s">
        <v>562</v>
      </c>
      <c r="G256" s="738" t="s">
        <v>563</v>
      </c>
      <c r="H256" s="429" t="s">
        <v>564</v>
      </c>
      <c r="I256" s="430" t="s">
        <v>465</v>
      </c>
      <c r="J256" s="360" t="s">
        <v>1</v>
      </c>
      <c r="K256" s="406">
        <f>539.1/1000</f>
        <v>0.5391</v>
      </c>
      <c r="L256" s="431" t="s">
        <v>1</v>
      </c>
      <c r="M256" s="364" t="s">
        <v>1</v>
      </c>
      <c r="N256" s="517">
        <f t="shared" si="12"/>
        <v>0.65</v>
      </c>
      <c r="O256" s="687">
        <v>0.28</v>
      </c>
      <c r="P256" s="684">
        <v>0.37</v>
      </c>
      <c r="Q256" s="364" t="s">
        <v>1</v>
      </c>
    </row>
    <row r="257" spans="1:17" s="54" customFormat="1" ht="18" customHeight="1">
      <c r="A257" s="916"/>
      <c r="B257" s="881"/>
      <c r="C257" s="881"/>
      <c r="D257" s="698" t="s">
        <v>527</v>
      </c>
      <c r="E257" s="562" t="s">
        <v>528</v>
      </c>
      <c r="F257" s="739" t="s">
        <v>35</v>
      </c>
      <c r="G257" s="740" t="s">
        <v>35</v>
      </c>
      <c r="H257" s="390" t="s">
        <v>565</v>
      </c>
      <c r="I257" s="518" t="s">
        <v>466</v>
      </c>
      <c r="J257" s="371">
        <v>221</v>
      </c>
      <c r="K257" s="374">
        <f>21.11/1000</f>
        <v>0.02111</v>
      </c>
      <c r="L257" s="373" t="s">
        <v>418</v>
      </c>
      <c r="M257" s="24" t="s">
        <v>1</v>
      </c>
      <c r="N257" s="410">
        <f t="shared" si="12"/>
        <v>10.4</v>
      </c>
      <c r="O257" s="664">
        <v>3.6</v>
      </c>
      <c r="P257" s="685">
        <v>6.8</v>
      </c>
      <c r="Q257" s="24" t="s">
        <v>1</v>
      </c>
    </row>
    <row r="258" spans="1:17" s="54" customFormat="1" ht="18" customHeight="1">
      <c r="A258" s="916"/>
      <c r="B258" s="881"/>
      <c r="C258" s="881"/>
      <c r="D258" s="701" t="s">
        <v>516</v>
      </c>
      <c r="E258" s="741" t="s">
        <v>503</v>
      </c>
      <c r="F258" s="742" t="s">
        <v>566</v>
      </c>
      <c r="G258" s="743" t="s">
        <v>566</v>
      </c>
      <c r="H258" s="518" t="s">
        <v>567</v>
      </c>
      <c r="I258" s="518" t="s">
        <v>467</v>
      </c>
      <c r="J258" s="519" t="s">
        <v>468</v>
      </c>
      <c r="K258" s="372">
        <f>191.5/1000</f>
        <v>0.1915</v>
      </c>
      <c r="L258" s="373" t="s">
        <v>418</v>
      </c>
      <c r="M258" s="24" t="s">
        <v>1</v>
      </c>
      <c r="N258" s="499">
        <f t="shared" si="12"/>
        <v>2.6</v>
      </c>
      <c r="O258" s="664">
        <v>1.1</v>
      </c>
      <c r="P258" s="685">
        <v>1.5</v>
      </c>
      <c r="Q258" s="24" t="s">
        <v>1</v>
      </c>
    </row>
    <row r="259" spans="1:17" s="54" customFormat="1" ht="18" customHeight="1">
      <c r="A259" s="916"/>
      <c r="B259" s="881"/>
      <c r="C259" s="918"/>
      <c r="D259" s="701" t="s">
        <v>516</v>
      </c>
      <c r="E259" s="741" t="s">
        <v>503</v>
      </c>
      <c r="F259" s="744" t="s">
        <v>504</v>
      </c>
      <c r="G259" s="745" t="s">
        <v>568</v>
      </c>
      <c r="H259" s="520" t="s">
        <v>569</v>
      </c>
      <c r="I259" s="518" t="s">
        <v>469</v>
      </c>
      <c r="J259" s="371">
        <v>37</v>
      </c>
      <c r="K259" s="374">
        <f>69/1000</f>
        <v>0.069</v>
      </c>
      <c r="L259" s="373" t="s">
        <v>418</v>
      </c>
      <c r="M259" s="24" t="s">
        <v>1</v>
      </c>
      <c r="N259" s="499">
        <f t="shared" si="12"/>
        <v>6</v>
      </c>
      <c r="O259" s="664">
        <v>2.3</v>
      </c>
      <c r="P259" s="685">
        <v>3.7</v>
      </c>
      <c r="Q259" s="24" t="s">
        <v>1</v>
      </c>
    </row>
    <row r="260" spans="1:17" s="54" customFormat="1" ht="18" customHeight="1">
      <c r="A260" s="916"/>
      <c r="B260" s="881"/>
      <c r="C260" s="918"/>
      <c r="D260" s="698" t="s">
        <v>516</v>
      </c>
      <c r="E260" s="562" t="s">
        <v>503</v>
      </c>
      <c r="F260" s="746" t="s">
        <v>504</v>
      </c>
      <c r="G260" s="449" t="s">
        <v>570</v>
      </c>
      <c r="H260" s="386" t="s">
        <v>387</v>
      </c>
      <c r="I260" s="387" t="s">
        <v>388</v>
      </c>
      <c r="J260" s="334">
        <v>3</v>
      </c>
      <c r="K260" s="335">
        <f>435.8/1000</f>
        <v>0.4358</v>
      </c>
      <c r="L260" s="373" t="s">
        <v>418</v>
      </c>
      <c r="M260" s="24" t="s">
        <v>1</v>
      </c>
      <c r="N260" s="410">
        <f t="shared" si="12"/>
        <v>20.2</v>
      </c>
      <c r="O260" s="664">
        <v>6.2</v>
      </c>
      <c r="P260" s="631">
        <v>14</v>
      </c>
      <c r="Q260" s="24" t="s">
        <v>1</v>
      </c>
    </row>
    <row r="261" spans="1:17" s="54" customFormat="1" ht="18" customHeight="1">
      <c r="A261" s="916"/>
      <c r="B261" s="881"/>
      <c r="C261" s="881"/>
      <c r="D261" s="698" t="s">
        <v>516</v>
      </c>
      <c r="E261" s="562" t="s">
        <v>503</v>
      </c>
      <c r="F261" s="746" t="s">
        <v>504</v>
      </c>
      <c r="G261" s="747" t="s">
        <v>571</v>
      </c>
      <c r="H261" s="386" t="s">
        <v>572</v>
      </c>
      <c r="I261" s="387" t="s">
        <v>573</v>
      </c>
      <c r="J261" s="334">
        <v>10</v>
      </c>
      <c r="K261" s="335">
        <f>373.3/1000</f>
        <v>0.3733</v>
      </c>
      <c r="L261" s="373" t="s">
        <v>418</v>
      </c>
      <c r="M261" s="24" t="s">
        <v>1</v>
      </c>
      <c r="N261" s="499">
        <f t="shared" si="12"/>
        <v>7.9</v>
      </c>
      <c r="O261" s="664">
        <v>2.4</v>
      </c>
      <c r="P261" s="685">
        <v>5.5</v>
      </c>
      <c r="Q261" s="24" t="s">
        <v>1</v>
      </c>
    </row>
    <row r="262" spans="1:17" s="54" customFormat="1" ht="18" customHeight="1">
      <c r="A262" s="916"/>
      <c r="B262" s="881"/>
      <c r="C262" s="881"/>
      <c r="D262" s="698" t="s">
        <v>516</v>
      </c>
      <c r="E262" s="748" t="s">
        <v>503</v>
      </c>
      <c r="F262" s="749" t="s">
        <v>504</v>
      </c>
      <c r="G262" s="750" t="s">
        <v>570</v>
      </c>
      <c r="H262" s="386" t="s">
        <v>574</v>
      </c>
      <c r="I262" s="387" t="s">
        <v>470</v>
      </c>
      <c r="J262" s="334">
        <v>60</v>
      </c>
      <c r="K262" s="335">
        <f>108.8/1000</f>
        <v>0.1088</v>
      </c>
      <c r="L262" s="373" t="s">
        <v>418</v>
      </c>
      <c r="M262" s="24" t="s">
        <v>1</v>
      </c>
      <c r="N262" s="499">
        <f t="shared" si="12"/>
        <v>5</v>
      </c>
      <c r="O262" s="664">
        <v>1.6</v>
      </c>
      <c r="P262" s="685">
        <v>3.4</v>
      </c>
      <c r="Q262" s="24" t="s">
        <v>1</v>
      </c>
    </row>
    <row r="263" spans="1:17" s="54" customFormat="1" ht="18" customHeight="1">
      <c r="A263" s="916"/>
      <c r="B263" s="881"/>
      <c r="C263" s="881"/>
      <c r="D263" s="701" t="s">
        <v>518</v>
      </c>
      <c r="E263" s="741" t="s">
        <v>522</v>
      </c>
      <c r="F263" s="744" t="s">
        <v>575</v>
      </c>
      <c r="G263" s="751" t="s">
        <v>576</v>
      </c>
      <c r="H263" s="887" t="s">
        <v>577</v>
      </c>
      <c r="I263" s="387" t="s">
        <v>471</v>
      </c>
      <c r="J263" s="921">
        <v>9</v>
      </c>
      <c r="K263" s="590">
        <f>938.6/1000</f>
        <v>0.9386</v>
      </c>
      <c r="L263" s="923" t="s">
        <v>418</v>
      </c>
      <c r="M263" s="24" t="s">
        <v>1</v>
      </c>
      <c r="N263" s="410">
        <f t="shared" si="12"/>
        <v>14.6</v>
      </c>
      <c r="O263" s="673">
        <v>4.6</v>
      </c>
      <c r="P263" s="631">
        <v>10</v>
      </c>
      <c r="Q263" s="24" t="s">
        <v>1</v>
      </c>
    </row>
    <row r="264" spans="1:17" s="54" customFormat="1" ht="18" customHeight="1">
      <c r="A264" s="916"/>
      <c r="B264" s="881"/>
      <c r="C264" s="881"/>
      <c r="D264" s="700" t="s">
        <v>518</v>
      </c>
      <c r="E264" s="752" t="s">
        <v>522</v>
      </c>
      <c r="F264" s="746" t="s">
        <v>575</v>
      </c>
      <c r="G264" s="449" t="s">
        <v>576</v>
      </c>
      <c r="H264" s="920"/>
      <c r="I264" s="387" t="s">
        <v>472</v>
      </c>
      <c r="J264" s="922"/>
      <c r="K264" s="521">
        <f>3132.9/1000</f>
        <v>3.1329000000000002</v>
      </c>
      <c r="L264" s="924"/>
      <c r="M264" s="24" t="s">
        <v>1</v>
      </c>
      <c r="N264" s="499">
        <f t="shared" si="12"/>
        <v>2.19</v>
      </c>
      <c r="O264" s="688">
        <v>0.79</v>
      </c>
      <c r="P264" s="667">
        <v>1.4</v>
      </c>
      <c r="Q264" s="24" t="s">
        <v>1</v>
      </c>
    </row>
    <row r="265" spans="1:17" s="54" customFormat="1" ht="18" customHeight="1">
      <c r="A265" s="916"/>
      <c r="B265" s="881"/>
      <c r="C265" s="881"/>
      <c r="D265" s="713" t="s">
        <v>518</v>
      </c>
      <c r="E265" s="748" t="s">
        <v>522</v>
      </c>
      <c r="F265" s="749" t="s">
        <v>578</v>
      </c>
      <c r="G265" s="753" t="s">
        <v>578</v>
      </c>
      <c r="H265" s="887" t="s">
        <v>579</v>
      </c>
      <c r="I265" s="387" t="s">
        <v>473</v>
      </c>
      <c r="J265" s="921">
        <v>148</v>
      </c>
      <c r="K265" s="588">
        <f>1645.9/1000</f>
        <v>1.6459000000000001</v>
      </c>
      <c r="L265" s="923" t="s">
        <v>418</v>
      </c>
      <c r="M265" s="24" t="s">
        <v>1</v>
      </c>
      <c r="N265" s="499">
        <f t="shared" si="12"/>
        <v>2.95</v>
      </c>
      <c r="O265" s="688">
        <v>0.85</v>
      </c>
      <c r="P265" s="667">
        <v>2.1</v>
      </c>
      <c r="Q265" s="24" t="s">
        <v>1</v>
      </c>
    </row>
    <row r="266" spans="1:17" s="54" customFormat="1" ht="18" customHeight="1">
      <c r="A266" s="916"/>
      <c r="B266" s="881"/>
      <c r="C266" s="881"/>
      <c r="D266" s="713" t="s">
        <v>518</v>
      </c>
      <c r="E266" s="748" t="s">
        <v>522</v>
      </c>
      <c r="F266" s="749" t="s">
        <v>578</v>
      </c>
      <c r="G266" s="753" t="s">
        <v>578</v>
      </c>
      <c r="H266" s="920"/>
      <c r="I266" s="387" t="s">
        <v>474</v>
      </c>
      <c r="J266" s="922"/>
      <c r="K266" s="522">
        <f>800.1/1000</f>
        <v>0.8001</v>
      </c>
      <c r="L266" s="924"/>
      <c r="M266" s="24" t="s">
        <v>1</v>
      </c>
      <c r="N266" s="499">
        <f t="shared" si="12"/>
        <v>4</v>
      </c>
      <c r="O266" s="673">
        <v>1.1</v>
      </c>
      <c r="P266" s="667">
        <v>2.9</v>
      </c>
      <c r="Q266" s="24" t="s">
        <v>1</v>
      </c>
    </row>
    <row r="267" spans="1:17" s="54" customFormat="1" ht="18" customHeight="1">
      <c r="A267" s="916"/>
      <c r="B267" s="881"/>
      <c r="C267" s="881"/>
      <c r="D267" s="698" t="s">
        <v>499</v>
      </c>
      <c r="E267" s="562" t="s">
        <v>500</v>
      </c>
      <c r="F267" s="754" t="s">
        <v>580</v>
      </c>
      <c r="G267" s="747" t="s">
        <v>580</v>
      </c>
      <c r="H267" s="387" t="s">
        <v>581</v>
      </c>
      <c r="I267" s="387" t="s">
        <v>476</v>
      </c>
      <c r="J267" s="371">
        <v>11</v>
      </c>
      <c r="K267" s="338">
        <f>48.3/1000</f>
        <v>0.048299999999999996</v>
      </c>
      <c r="L267" s="373" t="s">
        <v>415</v>
      </c>
      <c r="M267" s="24" t="s">
        <v>1</v>
      </c>
      <c r="N267" s="499">
        <f>SUM(O267,P267)</f>
        <v>3.8</v>
      </c>
      <c r="O267" s="673">
        <v>1.3</v>
      </c>
      <c r="P267" s="667">
        <v>2.5</v>
      </c>
      <c r="Q267" s="24" t="s">
        <v>1</v>
      </c>
    </row>
    <row r="268" spans="1:17" s="54" customFormat="1" ht="18" customHeight="1">
      <c r="A268" s="916"/>
      <c r="B268" s="881"/>
      <c r="C268" s="918"/>
      <c r="D268" s="698" t="s">
        <v>499</v>
      </c>
      <c r="E268" s="748" t="s">
        <v>500</v>
      </c>
      <c r="F268" s="749" t="s">
        <v>582</v>
      </c>
      <c r="G268" s="755" t="s">
        <v>583</v>
      </c>
      <c r="H268" s="479" t="s">
        <v>584</v>
      </c>
      <c r="I268" s="480" t="s">
        <v>585</v>
      </c>
      <c r="J268" s="507">
        <v>38</v>
      </c>
      <c r="K268" s="572">
        <f>46.9/1000</f>
        <v>0.0469</v>
      </c>
      <c r="L268" s="573" t="s">
        <v>475</v>
      </c>
      <c r="M268" s="20" t="s">
        <v>1</v>
      </c>
      <c r="N268" s="574">
        <f t="shared" si="12"/>
        <v>4.3</v>
      </c>
      <c r="O268" s="682">
        <v>1.4</v>
      </c>
      <c r="P268" s="678">
        <v>2.9</v>
      </c>
      <c r="Q268" s="20" t="s">
        <v>1</v>
      </c>
    </row>
    <row r="269" spans="1:17" s="54" customFormat="1" ht="18" customHeight="1">
      <c r="A269" s="917"/>
      <c r="B269" s="882"/>
      <c r="C269" s="919"/>
      <c r="D269" s="706" t="s">
        <v>499</v>
      </c>
      <c r="E269" s="756" t="s">
        <v>500</v>
      </c>
      <c r="F269" s="757" t="s">
        <v>586</v>
      </c>
      <c r="G269" s="758" t="s">
        <v>586</v>
      </c>
      <c r="H269" s="575" t="s">
        <v>587</v>
      </c>
      <c r="I269" s="571" t="s">
        <v>588</v>
      </c>
      <c r="J269" s="393">
        <v>1</v>
      </c>
      <c r="K269" s="394">
        <f>218.1/1000</f>
        <v>0.2181</v>
      </c>
      <c r="L269" s="395" t="s">
        <v>441</v>
      </c>
      <c r="M269" s="501" t="s">
        <v>1</v>
      </c>
      <c r="N269" s="516">
        <f t="shared" si="12"/>
        <v>6.4</v>
      </c>
      <c r="O269" s="683">
        <v>1.9</v>
      </c>
      <c r="P269" s="679">
        <v>4.5</v>
      </c>
      <c r="Q269" s="501" t="s">
        <v>1</v>
      </c>
    </row>
    <row r="270" spans="1:17" s="420" customFormat="1" ht="18" customHeight="1">
      <c r="A270" s="413"/>
      <c r="B270" s="414"/>
      <c r="C270" s="312"/>
      <c r="D270" s="703"/>
      <c r="E270" s="415"/>
      <c r="F270" s="415"/>
      <c r="G270" s="415"/>
      <c r="H270" s="416"/>
      <c r="I270" s="313"/>
      <c r="J270" s="417"/>
      <c r="K270" s="418"/>
      <c r="L270" s="416"/>
      <c r="M270" s="48"/>
      <c r="N270" s="419"/>
      <c r="O270" s="113"/>
      <c r="P270" s="113"/>
      <c r="Q270" s="48"/>
    </row>
    <row r="271" spans="1:17" s="54" customFormat="1" ht="18" customHeight="1">
      <c r="A271" s="903" t="s">
        <v>3</v>
      </c>
      <c r="B271" s="904"/>
      <c r="C271" s="883" t="s">
        <v>313</v>
      </c>
      <c r="D271" s="908" t="s">
        <v>488</v>
      </c>
      <c r="E271" s="910" t="s">
        <v>489</v>
      </c>
      <c r="F271" s="912" t="s">
        <v>490</v>
      </c>
      <c r="G271" s="914" t="s">
        <v>491</v>
      </c>
      <c r="H271" s="852" t="s">
        <v>492</v>
      </c>
      <c r="I271" s="852" t="s">
        <v>493</v>
      </c>
      <c r="J271" s="894" t="s">
        <v>314</v>
      </c>
      <c r="K271" s="896" t="s">
        <v>315</v>
      </c>
      <c r="L271" s="898" t="s">
        <v>494</v>
      </c>
      <c r="M271" s="899"/>
      <c r="N271" s="900" t="s">
        <v>317</v>
      </c>
      <c r="O271" s="901"/>
      <c r="P271" s="902"/>
      <c r="Q271" s="876" t="s">
        <v>495</v>
      </c>
    </row>
    <row r="272" spans="1:20" s="54" customFormat="1" ht="18" customHeight="1">
      <c r="A272" s="905"/>
      <c r="B272" s="906"/>
      <c r="C272" s="907"/>
      <c r="D272" s="909"/>
      <c r="E272" s="911"/>
      <c r="F272" s="913"/>
      <c r="G272" s="915"/>
      <c r="H272" s="893"/>
      <c r="I272" s="893"/>
      <c r="J272" s="895"/>
      <c r="K272" s="897"/>
      <c r="L272" s="530" t="s">
        <v>316</v>
      </c>
      <c r="M272" s="529" t="s">
        <v>318</v>
      </c>
      <c r="N272" s="531" t="s">
        <v>319</v>
      </c>
      <c r="O272" s="618" t="s">
        <v>20</v>
      </c>
      <c r="P272" s="605" t="s">
        <v>21</v>
      </c>
      <c r="Q272" s="877"/>
      <c r="S272" s="532"/>
      <c r="T272" s="532"/>
    </row>
    <row r="273" spans="1:17" s="54" customFormat="1" ht="18" customHeight="1">
      <c r="A273" s="878" t="s">
        <v>452</v>
      </c>
      <c r="B273" s="876" t="s">
        <v>537</v>
      </c>
      <c r="C273" s="883">
        <v>41485</v>
      </c>
      <c r="D273" s="711" t="s">
        <v>523</v>
      </c>
      <c r="E273" s="719" t="s">
        <v>589</v>
      </c>
      <c r="F273" s="576" t="s">
        <v>590</v>
      </c>
      <c r="G273" s="577" t="s">
        <v>590</v>
      </c>
      <c r="H273" s="379" t="s">
        <v>591</v>
      </c>
      <c r="I273" s="380" t="s">
        <v>592</v>
      </c>
      <c r="J273" s="381">
        <v>38</v>
      </c>
      <c r="K273" s="382">
        <f>1440.2/1000</f>
        <v>1.4402000000000001</v>
      </c>
      <c r="L273" s="440" t="s">
        <v>418</v>
      </c>
      <c r="M273" s="21" t="s">
        <v>1</v>
      </c>
      <c r="N273" s="512">
        <f aca="true" t="shared" si="13" ref="N273:N281">SUM(O273,P273)</f>
        <v>30.8</v>
      </c>
      <c r="O273" s="690">
        <v>9.8</v>
      </c>
      <c r="P273" s="608">
        <v>21</v>
      </c>
      <c r="Q273" s="382">
        <v>8.1</v>
      </c>
    </row>
    <row r="274" spans="1:17" s="54" customFormat="1" ht="18" customHeight="1">
      <c r="A274" s="879"/>
      <c r="B274" s="881"/>
      <c r="C274" s="884"/>
      <c r="D274" s="701" t="s">
        <v>499</v>
      </c>
      <c r="E274" s="741" t="s">
        <v>500</v>
      </c>
      <c r="F274" s="449" t="s">
        <v>582</v>
      </c>
      <c r="G274" s="759" t="s">
        <v>593</v>
      </c>
      <c r="H274" s="386" t="s">
        <v>594</v>
      </c>
      <c r="I274" s="387" t="s">
        <v>595</v>
      </c>
      <c r="J274" s="371">
        <v>2</v>
      </c>
      <c r="K274" s="372">
        <f>775.7/1000</f>
        <v>0.7757000000000001</v>
      </c>
      <c r="L274" s="373" t="s">
        <v>410</v>
      </c>
      <c r="M274" s="377" t="s">
        <v>453</v>
      </c>
      <c r="N274" s="410">
        <f t="shared" si="13"/>
        <v>10.3</v>
      </c>
      <c r="O274" s="664">
        <v>3.2</v>
      </c>
      <c r="P274" s="685">
        <v>7.1</v>
      </c>
      <c r="Q274" s="24" t="s">
        <v>1</v>
      </c>
    </row>
    <row r="275" spans="1:17" s="54" customFormat="1" ht="18" customHeight="1">
      <c r="A275" s="879"/>
      <c r="B275" s="881"/>
      <c r="C275" s="884"/>
      <c r="D275" s="701" t="s">
        <v>499</v>
      </c>
      <c r="E275" s="741" t="s">
        <v>500</v>
      </c>
      <c r="F275" s="449" t="s">
        <v>596</v>
      </c>
      <c r="G275" s="759" t="s">
        <v>596</v>
      </c>
      <c r="H275" s="386" t="s">
        <v>597</v>
      </c>
      <c r="I275" s="387" t="s">
        <v>598</v>
      </c>
      <c r="J275" s="371">
        <v>2</v>
      </c>
      <c r="K275" s="388">
        <f>2864.1/1000</f>
        <v>2.8641</v>
      </c>
      <c r="L275" s="373" t="s">
        <v>410</v>
      </c>
      <c r="M275" s="377" t="s">
        <v>454</v>
      </c>
      <c r="N275" s="499">
        <f t="shared" si="13"/>
        <v>4.3</v>
      </c>
      <c r="O275" s="664">
        <v>1.5</v>
      </c>
      <c r="P275" s="685">
        <v>2.8</v>
      </c>
      <c r="Q275" s="827" t="s">
        <v>792</v>
      </c>
    </row>
    <row r="276" spans="1:17" s="54" customFormat="1" ht="18" customHeight="1">
      <c r="A276" s="879"/>
      <c r="B276" s="881"/>
      <c r="C276" s="884"/>
      <c r="D276" s="701" t="s">
        <v>499</v>
      </c>
      <c r="E276" s="741" t="s">
        <v>500</v>
      </c>
      <c r="F276" s="727" t="s">
        <v>599</v>
      </c>
      <c r="G276" s="760" t="s">
        <v>600</v>
      </c>
      <c r="H276" s="386" t="s">
        <v>480</v>
      </c>
      <c r="I276" s="387" t="s">
        <v>481</v>
      </c>
      <c r="J276" s="371">
        <v>2</v>
      </c>
      <c r="K276" s="372">
        <f>591/1000</f>
        <v>0.591</v>
      </c>
      <c r="L276" s="373" t="s">
        <v>410</v>
      </c>
      <c r="M276" s="377" t="s">
        <v>448</v>
      </c>
      <c r="N276" s="499">
        <f t="shared" si="13"/>
        <v>5.9</v>
      </c>
      <c r="O276" s="664">
        <v>2</v>
      </c>
      <c r="P276" s="685">
        <v>3.9</v>
      </c>
      <c r="Q276" s="24" t="s">
        <v>1</v>
      </c>
    </row>
    <row r="277" spans="1:17" s="54" customFormat="1" ht="18" customHeight="1">
      <c r="A277" s="879"/>
      <c r="B277" s="881"/>
      <c r="C277" s="884"/>
      <c r="D277" s="698" t="s">
        <v>499</v>
      </c>
      <c r="E277" s="562" t="s">
        <v>500</v>
      </c>
      <c r="F277" s="449" t="s">
        <v>580</v>
      </c>
      <c r="G277" s="759" t="s">
        <v>601</v>
      </c>
      <c r="H277" s="479" t="s">
        <v>482</v>
      </c>
      <c r="I277" s="480" t="s">
        <v>483</v>
      </c>
      <c r="J277" s="371">
        <v>4</v>
      </c>
      <c r="K277" s="388">
        <f>4963.7/1000</f>
        <v>4.9637</v>
      </c>
      <c r="L277" s="375" t="s">
        <v>438</v>
      </c>
      <c r="M277" s="377" t="s">
        <v>449</v>
      </c>
      <c r="N277" s="499">
        <f t="shared" si="13"/>
        <v>5.3</v>
      </c>
      <c r="O277" s="664">
        <v>1.8</v>
      </c>
      <c r="P277" s="685">
        <v>3.5</v>
      </c>
      <c r="Q277" s="374">
        <v>0.039</v>
      </c>
    </row>
    <row r="278" spans="1:17" s="54" customFormat="1" ht="18" customHeight="1">
      <c r="A278" s="879"/>
      <c r="B278" s="881"/>
      <c r="C278" s="884"/>
      <c r="D278" s="712" t="s">
        <v>499</v>
      </c>
      <c r="E278" s="761" t="s">
        <v>500</v>
      </c>
      <c r="F278" s="449" t="s">
        <v>580</v>
      </c>
      <c r="G278" s="759" t="s">
        <v>580</v>
      </c>
      <c r="H278" s="386" t="s">
        <v>602</v>
      </c>
      <c r="I278" s="387" t="s">
        <v>603</v>
      </c>
      <c r="J278" s="371">
        <v>5</v>
      </c>
      <c r="K278" s="388">
        <f>2697.5/1000</f>
        <v>2.6975</v>
      </c>
      <c r="L278" s="375" t="s">
        <v>436</v>
      </c>
      <c r="M278" s="377" t="s">
        <v>448</v>
      </c>
      <c r="N278" s="410">
        <f t="shared" si="13"/>
        <v>40</v>
      </c>
      <c r="O278" s="637">
        <v>13</v>
      </c>
      <c r="P278" s="631">
        <v>27</v>
      </c>
      <c r="Q278" s="335">
        <v>0.13</v>
      </c>
    </row>
    <row r="279" spans="1:17" s="54" customFormat="1" ht="18" customHeight="1">
      <c r="A279" s="879"/>
      <c r="B279" s="881"/>
      <c r="C279" s="884"/>
      <c r="D279" s="698" t="s">
        <v>499</v>
      </c>
      <c r="E279" s="562" t="s">
        <v>500</v>
      </c>
      <c r="F279" s="449" t="s">
        <v>599</v>
      </c>
      <c r="G279" s="759" t="s">
        <v>604</v>
      </c>
      <c r="H279" s="386" t="s">
        <v>605</v>
      </c>
      <c r="I279" s="387" t="s">
        <v>606</v>
      </c>
      <c r="J279" s="371">
        <v>17</v>
      </c>
      <c r="K279" s="388">
        <f>1367.9/1000</f>
        <v>1.3679000000000001</v>
      </c>
      <c r="L279" s="373" t="s">
        <v>410</v>
      </c>
      <c r="M279" s="377" t="s">
        <v>455</v>
      </c>
      <c r="N279" s="499">
        <f t="shared" si="13"/>
        <v>5.699999999999999</v>
      </c>
      <c r="O279" s="664">
        <v>1.6</v>
      </c>
      <c r="P279" s="685">
        <v>4.1</v>
      </c>
      <c r="Q279" s="24" t="s">
        <v>1</v>
      </c>
    </row>
    <row r="280" spans="1:17" s="54" customFormat="1" ht="18" customHeight="1">
      <c r="A280" s="879"/>
      <c r="B280" s="881"/>
      <c r="C280" s="884"/>
      <c r="D280" s="698" t="s">
        <v>499</v>
      </c>
      <c r="E280" s="562" t="s">
        <v>529</v>
      </c>
      <c r="F280" s="449" t="s">
        <v>607</v>
      </c>
      <c r="G280" s="759" t="s">
        <v>607</v>
      </c>
      <c r="H280" s="386" t="s">
        <v>608</v>
      </c>
      <c r="I280" s="387" t="s">
        <v>609</v>
      </c>
      <c r="J280" s="371">
        <v>5</v>
      </c>
      <c r="K280" s="388">
        <f>3965.6/1000</f>
        <v>3.9656</v>
      </c>
      <c r="L280" s="373" t="s">
        <v>410</v>
      </c>
      <c r="M280" s="377" t="s">
        <v>456</v>
      </c>
      <c r="N280" s="410">
        <f t="shared" si="13"/>
        <v>106</v>
      </c>
      <c r="O280" s="637">
        <v>34</v>
      </c>
      <c r="P280" s="631">
        <v>72</v>
      </c>
      <c r="Q280" s="372">
        <v>0.46</v>
      </c>
    </row>
    <row r="281" spans="1:17" s="54" customFormat="1" ht="18" customHeight="1">
      <c r="A281" s="879"/>
      <c r="B281" s="882"/>
      <c r="C281" s="885"/>
      <c r="D281" s="698" t="s">
        <v>499</v>
      </c>
      <c r="E281" s="762" t="s">
        <v>529</v>
      </c>
      <c r="F281" s="758" t="s">
        <v>610</v>
      </c>
      <c r="G281" s="763" t="s">
        <v>611</v>
      </c>
      <c r="H281" s="391" t="s">
        <v>612</v>
      </c>
      <c r="I281" s="392" t="s">
        <v>613</v>
      </c>
      <c r="J281" s="393">
        <v>2</v>
      </c>
      <c r="K281" s="511">
        <f>2585.6/1000</f>
        <v>2.5856</v>
      </c>
      <c r="L281" s="513" t="s">
        <v>410</v>
      </c>
      <c r="M281" s="396" t="s">
        <v>457</v>
      </c>
      <c r="N281" s="488">
        <f t="shared" si="13"/>
        <v>37</v>
      </c>
      <c r="O281" s="655">
        <v>12</v>
      </c>
      <c r="P281" s="652">
        <v>25</v>
      </c>
      <c r="Q281" s="591">
        <v>0.083</v>
      </c>
    </row>
    <row r="282" spans="1:17" s="54" customFormat="1" ht="18" customHeight="1">
      <c r="A282" s="879"/>
      <c r="B282" s="876" t="s">
        <v>538</v>
      </c>
      <c r="C282" s="883">
        <v>41485</v>
      </c>
      <c r="D282" s="709" t="s">
        <v>556</v>
      </c>
      <c r="E282" s="764" t="s">
        <v>524</v>
      </c>
      <c r="F282" s="765" t="s">
        <v>614</v>
      </c>
      <c r="G282" s="766" t="s">
        <v>614</v>
      </c>
      <c r="H282" s="514" t="s">
        <v>615</v>
      </c>
      <c r="I282" s="318" t="s">
        <v>616</v>
      </c>
      <c r="J282" s="319" t="s">
        <v>1</v>
      </c>
      <c r="K282" s="515">
        <f>2316.4/1000</f>
        <v>2.3164000000000002</v>
      </c>
      <c r="L282" s="321" t="s">
        <v>1</v>
      </c>
      <c r="M282" s="323" t="s">
        <v>1</v>
      </c>
      <c r="N282" s="498" t="s">
        <v>617</v>
      </c>
      <c r="O282" s="672" t="s">
        <v>618</v>
      </c>
      <c r="P282" s="666" t="s">
        <v>619</v>
      </c>
      <c r="Q282" s="323" t="s">
        <v>1</v>
      </c>
    </row>
    <row r="283" spans="1:17" s="54" customFormat="1" ht="18" customHeight="1">
      <c r="A283" s="879"/>
      <c r="B283" s="886"/>
      <c r="C283" s="884"/>
      <c r="D283" s="713" t="s">
        <v>523</v>
      </c>
      <c r="E283" s="720" t="s">
        <v>589</v>
      </c>
      <c r="F283" s="754" t="s">
        <v>620</v>
      </c>
      <c r="G283" s="747" t="s">
        <v>621</v>
      </c>
      <c r="H283" s="386" t="s">
        <v>622</v>
      </c>
      <c r="I283" s="387" t="s">
        <v>623</v>
      </c>
      <c r="J283" s="371">
        <v>24</v>
      </c>
      <c r="K283" s="388">
        <f>2320.4/1000</f>
        <v>2.3204000000000002</v>
      </c>
      <c r="L283" s="373" t="s">
        <v>418</v>
      </c>
      <c r="M283" s="24" t="s">
        <v>1</v>
      </c>
      <c r="N283" s="499">
        <f>SUM(O283,P283)</f>
        <v>5</v>
      </c>
      <c r="O283" s="673">
        <v>1.7</v>
      </c>
      <c r="P283" s="667">
        <v>3.3</v>
      </c>
      <c r="Q283" s="24" t="s">
        <v>1</v>
      </c>
    </row>
    <row r="284" spans="1:17" s="54" customFormat="1" ht="18" customHeight="1">
      <c r="A284" s="879"/>
      <c r="B284" s="886"/>
      <c r="C284" s="884"/>
      <c r="D284" s="698" t="s">
        <v>518</v>
      </c>
      <c r="E284" s="752" t="s">
        <v>521</v>
      </c>
      <c r="F284" s="767" t="s">
        <v>520</v>
      </c>
      <c r="G284" s="743" t="s">
        <v>624</v>
      </c>
      <c r="H284" s="887" t="s">
        <v>625</v>
      </c>
      <c r="I284" s="387" t="s">
        <v>458</v>
      </c>
      <c r="J284" s="889">
        <v>10</v>
      </c>
      <c r="K284" s="372">
        <f>546.8/1000</f>
        <v>0.5468</v>
      </c>
      <c r="L284" s="891" t="s">
        <v>418</v>
      </c>
      <c r="M284" s="24" t="s">
        <v>1</v>
      </c>
      <c r="N284" s="410">
        <f>SUM(O284,P284)</f>
        <v>12.899999999999999</v>
      </c>
      <c r="O284" s="664">
        <v>4.2</v>
      </c>
      <c r="P284" s="685">
        <v>8.7</v>
      </c>
      <c r="Q284" s="24" t="s">
        <v>1</v>
      </c>
    </row>
    <row r="285" spans="1:17" s="54" customFormat="1" ht="18" customHeight="1">
      <c r="A285" s="880"/>
      <c r="B285" s="882"/>
      <c r="C285" s="885"/>
      <c r="D285" s="714" t="s">
        <v>518</v>
      </c>
      <c r="E285" s="762" t="s">
        <v>521</v>
      </c>
      <c r="F285" s="768" t="s">
        <v>520</v>
      </c>
      <c r="G285" s="769" t="s">
        <v>624</v>
      </c>
      <c r="H285" s="888"/>
      <c r="I285" s="392" t="s">
        <v>459</v>
      </c>
      <c r="J285" s="890"/>
      <c r="K285" s="511">
        <f>1378.2/1000</f>
        <v>1.3782</v>
      </c>
      <c r="L285" s="892"/>
      <c r="M285" s="501" t="s">
        <v>1</v>
      </c>
      <c r="N285" s="516">
        <f>SUM(O285,P285)</f>
        <v>1.68</v>
      </c>
      <c r="O285" s="691">
        <v>0.73</v>
      </c>
      <c r="P285" s="689">
        <v>0.95</v>
      </c>
      <c r="Q285" s="501" t="s">
        <v>1</v>
      </c>
    </row>
  </sheetData>
  <sheetProtection/>
  <mergeCells count="350">
    <mergeCell ref="A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M1"/>
    <mergeCell ref="N1:P1"/>
    <mergeCell ref="Q1:Q2"/>
    <mergeCell ref="A3:A22"/>
    <mergeCell ref="B3:B22"/>
    <mergeCell ref="C3:C22"/>
    <mergeCell ref="J5:J13"/>
    <mergeCell ref="K5:K13"/>
    <mergeCell ref="L5:L13"/>
    <mergeCell ref="M5:M13"/>
    <mergeCell ref="N5:N13"/>
    <mergeCell ref="O5:O13"/>
    <mergeCell ref="P5:P13"/>
    <mergeCell ref="Q5:Q13"/>
    <mergeCell ref="A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M24"/>
    <mergeCell ref="N24:P24"/>
    <mergeCell ref="Q24:Q25"/>
    <mergeCell ref="A26:A53"/>
    <mergeCell ref="B26:B29"/>
    <mergeCell ref="C26:C27"/>
    <mergeCell ref="B30:B53"/>
    <mergeCell ref="C30:C53"/>
    <mergeCell ref="J34:J35"/>
    <mergeCell ref="K34:K35"/>
    <mergeCell ref="L34:L35"/>
    <mergeCell ref="M34:M35"/>
    <mergeCell ref="N34:N35"/>
    <mergeCell ref="O34:O35"/>
    <mergeCell ref="P34:P35"/>
    <mergeCell ref="Q34:Q35"/>
    <mergeCell ref="J36:J42"/>
    <mergeCell ref="K36:K42"/>
    <mergeCell ref="L36:L42"/>
    <mergeCell ref="M36:M42"/>
    <mergeCell ref="N36:N42"/>
    <mergeCell ref="O36:O42"/>
    <mergeCell ref="P36:P42"/>
    <mergeCell ref="Q36:Q42"/>
    <mergeCell ref="A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M55"/>
    <mergeCell ref="N55:P55"/>
    <mergeCell ref="Q55:Q56"/>
    <mergeCell ref="A57:A79"/>
    <mergeCell ref="B57:B79"/>
    <mergeCell ref="C57:C79"/>
    <mergeCell ref="J58:J59"/>
    <mergeCell ref="K58:K59"/>
    <mergeCell ref="L58:L59"/>
    <mergeCell ref="M58:M59"/>
    <mergeCell ref="N58:N59"/>
    <mergeCell ref="O58:O59"/>
    <mergeCell ref="P58:P59"/>
    <mergeCell ref="Q58:Q59"/>
    <mergeCell ref="J60:J61"/>
    <mergeCell ref="K60:K61"/>
    <mergeCell ref="L60:L61"/>
    <mergeCell ref="M60:M61"/>
    <mergeCell ref="N60:N61"/>
    <mergeCell ref="O60:O61"/>
    <mergeCell ref="P60:P61"/>
    <mergeCell ref="Q60:Q61"/>
    <mergeCell ref="J62:J70"/>
    <mergeCell ref="K62:K70"/>
    <mergeCell ref="L62:L70"/>
    <mergeCell ref="M62:M70"/>
    <mergeCell ref="N62:N70"/>
    <mergeCell ref="O62:O70"/>
    <mergeCell ref="P62:P70"/>
    <mergeCell ref="Q62:Q70"/>
    <mergeCell ref="A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M81"/>
    <mergeCell ref="N81:P81"/>
    <mergeCell ref="Q81:Q82"/>
    <mergeCell ref="A83:A111"/>
    <mergeCell ref="B83:B88"/>
    <mergeCell ref="C83:C88"/>
    <mergeCell ref="B89:B111"/>
    <mergeCell ref="C89:C111"/>
    <mergeCell ref="J92:J93"/>
    <mergeCell ref="K92:K93"/>
    <mergeCell ref="L92:L93"/>
    <mergeCell ref="M92:M93"/>
    <mergeCell ref="N92:N93"/>
    <mergeCell ref="O92:O93"/>
    <mergeCell ref="P92:P93"/>
    <mergeCell ref="Q92:Q93"/>
    <mergeCell ref="J94:J95"/>
    <mergeCell ref="K94:K95"/>
    <mergeCell ref="L94:L95"/>
    <mergeCell ref="M94:M95"/>
    <mergeCell ref="N94:N95"/>
    <mergeCell ref="O94:O95"/>
    <mergeCell ref="P94:P95"/>
    <mergeCell ref="Q94:Q95"/>
    <mergeCell ref="J96:J104"/>
    <mergeCell ref="K96:K104"/>
    <mergeCell ref="L96:L104"/>
    <mergeCell ref="M96:M104"/>
    <mergeCell ref="N96:N104"/>
    <mergeCell ref="O96:O104"/>
    <mergeCell ref="P96:P104"/>
    <mergeCell ref="Q96:Q104"/>
    <mergeCell ref="A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L113:M113"/>
    <mergeCell ref="N113:P113"/>
    <mergeCell ref="Q113:Q114"/>
    <mergeCell ref="A115:A137"/>
    <mergeCell ref="B115:B137"/>
    <mergeCell ref="C115:C137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J119:J127"/>
    <mergeCell ref="K119:K127"/>
    <mergeCell ref="L119:L127"/>
    <mergeCell ref="M119:M127"/>
    <mergeCell ref="N119:N127"/>
    <mergeCell ref="O119:O127"/>
    <mergeCell ref="P119:P127"/>
    <mergeCell ref="Q119:Q127"/>
    <mergeCell ref="A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M139"/>
    <mergeCell ref="N139:P139"/>
    <mergeCell ref="Q139:Q140"/>
    <mergeCell ref="A141:A169"/>
    <mergeCell ref="B141:B169"/>
    <mergeCell ref="C141:C169"/>
    <mergeCell ref="J145:J146"/>
    <mergeCell ref="K145:K146"/>
    <mergeCell ref="L145:L146"/>
    <mergeCell ref="M145:M146"/>
    <mergeCell ref="N145:N146"/>
    <mergeCell ref="O145:O146"/>
    <mergeCell ref="P145:P146"/>
    <mergeCell ref="Q145:Q146"/>
    <mergeCell ref="J147:J148"/>
    <mergeCell ref="K147:K148"/>
    <mergeCell ref="L147:L148"/>
    <mergeCell ref="M147:M148"/>
    <mergeCell ref="N147:N148"/>
    <mergeCell ref="O147:O148"/>
    <mergeCell ref="P147:P148"/>
    <mergeCell ref="Q147:Q148"/>
    <mergeCell ref="J149:J160"/>
    <mergeCell ref="K149:K160"/>
    <mergeCell ref="L149:L160"/>
    <mergeCell ref="M149:M160"/>
    <mergeCell ref="N149:N160"/>
    <mergeCell ref="O149:O160"/>
    <mergeCell ref="P149:P160"/>
    <mergeCell ref="Q149:Q160"/>
    <mergeCell ref="A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L171:M171"/>
    <mergeCell ref="N171:P171"/>
    <mergeCell ref="Q171:Q172"/>
    <mergeCell ref="A173:A187"/>
    <mergeCell ref="B173:B175"/>
    <mergeCell ref="C173:C175"/>
    <mergeCell ref="B176:B187"/>
    <mergeCell ref="C176:C187"/>
    <mergeCell ref="J180:J181"/>
    <mergeCell ref="K180:K181"/>
    <mergeCell ref="L180:L181"/>
    <mergeCell ref="M180:M181"/>
    <mergeCell ref="N180:N181"/>
    <mergeCell ref="O180:O181"/>
    <mergeCell ref="P180:P181"/>
    <mergeCell ref="Q180:Q181"/>
    <mergeCell ref="J182:J183"/>
    <mergeCell ref="K182:K183"/>
    <mergeCell ref="L182:L183"/>
    <mergeCell ref="M182:M183"/>
    <mergeCell ref="N182:N183"/>
    <mergeCell ref="O182:O183"/>
    <mergeCell ref="Q182:Q183"/>
    <mergeCell ref="A189:B190"/>
    <mergeCell ref="C189:C190"/>
    <mergeCell ref="D189:D190"/>
    <mergeCell ref="E189:E190"/>
    <mergeCell ref="F189:F190"/>
    <mergeCell ref="G189:G190"/>
    <mergeCell ref="H189:H190"/>
    <mergeCell ref="I189:I190"/>
    <mergeCell ref="A191:A214"/>
    <mergeCell ref="B191:B214"/>
    <mergeCell ref="C191:C214"/>
    <mergeCell ref="J207:J211"/>
    <mergeCell ref="K207:K211"/>
    <mergeCell ref="P182:P183"/>
    <mergeCell ref="Q207:Q211"/>
    <mergeCell ref="J189:J190"/>
    <mergeCell ref="K189:K190"/>
    <mergeCell ref="L189:M189"/>
    <mergeCell ref="N189:P189"/>
    <mergeCell ref="Q189:Q190"/>
    <mergeCell ref="L207:L211"/>
    <mergeCell ref="M207:M211"/>
    <mergeCell ref="N207:N211"/>
    <mergeCell ref="O207:O211"/>
    <mergeCell ref="P207:P211"/>
    <mergeCell ref="I216:I217"/>
    <mergeCell ref="J216:J217"/>
    <mergeCell ref="K216:K217"/>
    <mergeCell ref="L216:M216"/>
    <mergeCell ref="N216:P216"/>
    <mergeCell ref="A216:B217"/>
    <mergeCell ref="C216:C217"/>
    <mergeCell ref="D216:D217"/>
    <mergeCell ref="E216:E217"/>
    <mergeCell ref="F216:F217"/>
    <mergeCell ref="G216:G217"/>
    <mergeCell ref="Q216:Q217"/>
    <mergeCell ref="A218:A240"/>
    <mergeCell ref="B218:B224"/>
    <mergeCell ref="C219:C224"/>
    <mergeCell ref="B225:B240"/>
    <mergeCell ref="C225:C226"/>
    <mergeCell ref="C227:C234"/>
    <mergeCell ref="C236:C237"/>
    <mergeCell ref="C238:C240"/>
    <mergeCell ref="H216:H217"/>
    <mergeCell ref="N242:P242"/>
    <mergeCell ref="A242:B243"/>
    <mergeCell ref="C242:C243"/>
    <mergeCell ref="D242:D243"/>
    <mergeCell ref="E242:E243"/>
    <mergeCell ref="F242:F243"/>
    <mergeCell ref="G242:G243"/>
    <mergeCell ref="G252:G253"/>
    <mergeCell ref="H242:H243"/>
    <mergeCell ref="I242:I243"/>
    <mergeCell ref="J242:J243"/>
    <mergeCell ref="K242:K243"/>
    <mergeCell ref="L242:M242"/>
    <mergeCell ref="N252:P252"/>
    <mergeCell ref="Q242:Q243"/>
    <mergeCell ref="A244:A250"/>
    <mergeCell ref="B244:B250"/>
    <mergeCell ref="C244:C250"/>
    <mergeCell ref="A252:B253"/>
    <mergeCell ref="C252:C253"/>
    <mergeCell ref="D252:D253"/>
    <mergeCell ref="E252:E253"/>
    <mergeCell ref="F252:F253"/>
    <mergeCell ref="L265:L266"/>
    <mergeCell ref="H252:H253"/>
    <mergeCell ref="I252:I253"/>
    <mergeCell ref="J252:J253"/>
    <mergeCell ref="K252:K253"/>
    <mergeCell ref="L252:M252"/>
    <mergeCell ref="G271:G272"/>
    <mergeCell ref="Q252:Q253"/>
    <mergeCell ref="A254:A269"/>
    <mergeCell ref="B254:B269"/>
    <mergeCell ref="C254:C269"/>
    <mergeCell ref="H263:H264"/>
    <mergeCell ref="J263:J264"/>
    <mergeCell ref="L263:L264"/>
    <mergeCell ref="H265:H266"/>
    <mergeCell ref="J265:J266"/>
    <mergeCell ref="I271:I272"/>
    <mergeCell ref="J271:J272"/>
    <mergeCell ref="K271:K272"/>
    <mergeCell ref="L271:M271"/>
    <mergeCell ref="N271:P271"/>
    <mergeCell ref="A271:B272"/>
    <mergeCell ref="C271:C272"/>
    <mergeCell ref="D271:D272"/>
    <mergeCell ref="E271:E272"/>
    <mergeCell ref="F271:F272"/>
    <mergeCell ref="Q271:Q272"/>
    <mergeCell ref="A273:A285"/>
    <mergeCell ref="B273:B281"/>
    <mergeCell ref="C273:C281"/>
    <mergeCell ref="B282:B285"/>
    <mergeCell ref="C282:C285"/>
    <mergeCell ref="H284:H285"/>
    <mergeCell ref="J284:J285"/>
    <mergeCell ref="L284:L285"/>
    <mergeCell ref="H271:H272"/>
  </mergeCells>
  <printOptions/>
  <pageMargins left="0.3937007874015748" right="0.3937007874015748" top="0.7874015748031497" bottom="0.4330708661417323" header="0.5118110236220472" footer="0.31496062992125984"/>
  <pageSetup horizontalDpi="600" verticalDpi="600" orientation="landscape" paperSize="9" scale="61" r:id="rId1"/>
  <headerFooter alignWithMargins="0">
    <oddHeader>&amp;C&amp;"ＭＳ ゴシック,標準"&amp;12｢水環境中の放射性物質影響調査業務｣水生生物の放射性核種分析結果一覧（平成25年度７月調査）</oddHeader>
    <oddFooter xml:space="preserve">&amp;L&amp;"ＭＳ 明朝,標準"&amp;12※採取した水生生物は基本的には複数個体を分析試料とし、その全量を分析に供した。
※但し、特記事項で胃内容物について記載のある種については、胃内容物を取り除いた上で、その全量を分析に供した。
※N.D.は、検出下限値未満であることを示す。
※和名の下線は、当該の試料の中で最も多く採取された種であることを示す。
※成長段階の赤字は、鱗または耳石による年齢査定の結果を示す。&amp;R&amp;"ＭＳ 明朝,標準"&amp;16 </oddFooter>
  </headerFooter>
  <rowBreaks count="9" manualBreakCount="9">
    <brk id="22" max="16" man="1"/>
    <brk id="54" max="16" man="1"/>
    <brk id="80" max="16" man="1"/>
    <brk id="112" max="16" man="1"/>
    <brk id="138" max="16" man="1"/>
    <brk id="170" max="16" man="1"/>
    <brk id="188" max="16" man="1"/>
    <brk id="215" max="16" man="1"/>
    <brk id="24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2014-12-12T03:13:42Z</cp:lastPrinted>
  <dcterms:created xsi:type="dcterms:W3CDTF">2014-07-04T06:27:33Z</dcterms:created>
  <dcterms:modified xsi:type="dcterms:W3CDTF">2015-10-16T05:06:13Z</dcterms:modified>
  <cp:category/>
  <cp:version/>
  <cp:contentType/>
  <cp:contentStatus/>
</cp:coreProperties>
</file>